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A25700FF-75BC-43AB-8064-29F260598FF2}" xr6:coauthVersionLast="47" xr6:coauthVersionMax="47" xr10:uidLastSave="{00000000-0000-0000-0000-000000000000}"/>
  <bookViews>
    <workbookView xWindow="29895" yWindow="870" windowWidth="21600" windowHeight="11295" firstSheet="1" activeTab="5" xr2:uid="{00000000-000D-0000-FFFF-FFFF00000000}"/>
  </bookViews>
  <sheets>
    <sheet name="Totals Combined SR 7" sheetId="3" r:id="rId1"/>
    <sheet name="RAB &amp; DETENT BASINS" sheetId="12" r:id="rId2"/>
    <sheet name="Totals Combined Ramps &amp; State R" sheetId="10" r:id="rId3"/>
    <sheet name="Totals Combined SideRoads" sheetId="11" r:id="rId4"/>
    <sheet name="Sheet Reference" sheetId="5" r:id="rId5"/>
    <sheet name="Seeding calcs" sheetId="4" r:id="rId6"/>
  </sheets>
  <definedNames>
    <definedName name="_xlnm.Print_Area" localSheetId="4">'Sheet Reference'!$A$2:$H$21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4" l="1"/>
  <c r="AA176" i="10"/>
  <c r="AB176" i="10"/>
  <c r="AC176" i="10"/>
  <c r="AD176" i="10"/>
  <c r="AE176" i="10"/>
  <c r="Z176" i="10"/>
  <c r="X176" i="10"/>
  <c r="AA171" i="10"/>
  <c r="AB171" i="10"/>
  <c r="AC171" i="10"/>
  <c r="AD171" i="10"/>
  <c r="AE171" i="10"/>
  <c r="Z171" i="10"/>
  <c r="X171" i="10"/>
  <c r="W176" i="10"/>
  <c r="W171" i="10"/>
  <c r="W161" i="10"/>
  <c r="W159" i="10"/>
  <c r="W156" i="10"/>
  <c r="W153" i="10"/>
  <c r="W151" i="10"/>
  <c r="W167" i="10"/>
  <c r="Y133" i="10" l="1"/>
  <c r="Y139" i="10"/>
  <c r="Y137" i="10"/>
  <c r="Y129" i="10"/>
  <c r="Y126" i="10"/>
  <c r="AE62" i="10"/>
  <c r="X62" i="10"/>
  <c r="AD286" i="3"/>
  <c r="W286" i="3"/>
  <c r="V286" i="3"/>
  <c r="AD662" i="3"/>
  <c r="AD564" i="3"/>
  <c r="AB564" i="3"/>
  <c r="Z564" i="3"/>
  <c r="W564" i="3"/>
  <c r="AC564" i="3"/>
  <c r="AA564" i="3"/>
  <c r="Y564" i="3"/>
  <c r="X564" i="3"/>
  <c r="V564" i="3"/>
  <c r="AD561" i="3"/>
  <c r="AC561" i="3"/>
  <c r="AB561" i="3"/>
  <c r="AA561" i="3"/>
  <c r="Z561" i="3"/>
  <c r="Y561" i="3"/>
  <c r="X561" i="3"/>
  <c r="W561" i="3"/>
  <c r="V561" i="3"/>
  <c r="T528" i="3"/>
  <c r="W512" i="3"/>
  <c r="T286" i="3"/>
  <c r="M286" i="3"/>
  <c r="L286" i="3"/>
  <c r="W242" i="3"/>
  <c r="AD40" i="3"/>
  <c r="AC40" i="3"/>
  <c r="AB40" i="3"/>
  <c r="AA40" i="3"/>
  <c r="Z40" i="3"/>
  <c r="Y40" i="3"/>
  <c r="W40" i="3"/>
  <c r="V40" i="3"/>
  <c r="AA37" i="3"/>
  <c r="AB37" i="3"/>
  <c r="AC37" i="3"/>
  <c r="AD37" i="3"/>
  <c r="Z37" i="3"/>
  <c r="V37" i="3"/>
  <c r="B9" i="4"/>
  <c r="B6" i="4"/>
  <c r="B3" i="4"/>
  <c r="B2" i="4" s="1"/>
  <c r="B5" i="4"/>
  <c r="B7" i="4" s="1"/>
  <c r="B4" i="4"/>
  <c r="W160" i="11"/>
  <c r="Y120" i="10"/>
  <c r="V65" i="11"/>
  <c r="W65" i="11"/>
  <c r="X65" i="11"/>
  <c r="Y65" i="11"/>
  <c r="Z65" i="11"/>
  <c r="AA65" i="11"/>
  <c r="AB65" i="11"/>
  <c r="U65" i="11"/>
  <c r="W205" i="10"/>
  <c r="X60" i="10"/>
  <c r="Y60" i="10"/>
  <c r="Z60" i="10"/>
  <c r="AA60" i="10"/>
  <c r="AB60" i="10"/>
  <c r="AC60" i="10"/>
  <c r="AD60" i="10"/>
  <c r="AE60" i="10"/>
  <c r="W60" i="10"/>
  <c r="N208" i="10"/>
  <c r="I42" i="10"/>
  <c r="Y325" i="3"/>
  <c r="X55" i="3"/>
  <c r="CB533" i="3"/>
  <c r="CB532" i="3"/>
  <c r="CB531" i="3"/>
  <c r="CB530" i="3"/>
  <c r="Y141" i="10" l="1"/>
  <c r="B8" i="4"/>
  <c r="CB529" i="3"/>
  <c r="CB528" i="3"/>
  <c r="CB525" i="3"/>
  <c r="CB524" i="3"/>
  <c r="CB523" i="3"/>
  <c r="CB522" i="3"/>
  <c r="CB291" i="3"/>
  <c r="CB190" i="3"/>
  <c r="CB189" i="3"/>
  <c r="CB188" i="3"/>
  <c r="CB183" i="3"/>
  <c r="CB182" i="3"/>
  <c r="BV136" i="11"/>
  <c r="BV135" i="11"/>
  <c r="BV134" i="11"/>
  <c r="BV133" i="11"/>
  <c r="BV132" i="11"/>
  <c r="BV131" i="11"/>
  <c r="P578" i="3"/>
  <c r="X533" i="3"/>
  <c r="W540" i="3"/>
  <c r="N379" i="3"/>
  <c r="N377" i="3"/>
  <c r="O222" i="10"/>
  <c r="Y222" i="10" s="1"/>
  <c r="O214" i="10"/>
  <c r="Y214" i="10" s="1"/>
  <c r="O210" i="10"/>
  <c r="Y218" i="10"/>
  <c r="W218" i="10"/>
  <c r="AE222" i="10"/>
  <c r="X222" i="10"/>
  <c r="Z222" i="10"/>
  <c r="AA222" i="10"/>
  <c r="AB222" i="10"/>
  <c r="AC222" i="10"/>
  <c r="AD222" i="10"/>
  <c r="W222" i="10"/>
  <c r="O221" i="10"/>
  <c r="O220" i="10"/>
  <c r="O219" i="10"/>
  <c r="CC221" i="10"/>
  <c r="CB221" i="10"/>
  <c r="BJ221" i="10"/>
  <c r="AG221" i="10"/>
  <c r="L221" i="10"/>
  <c r="U221" i="10" s="1"/>
  <c r="K221" i="10"/>
  <c r="T221" i="10" s="1"/>
  <c r="J221" i="10"/>
  <c r="S221" i="10" s="1"/>
  <c r="I221" i="10"/>
  <c r="R221" i="10" s="1"/>
  <c r="H221" i="10"/>
  <c r="Q221" i="10" s="1"/>
  <c r="G221" i="10"/>
  <c r="P221" i="10" s="1"/>
  <c r="F221" i="10"/>
  <c r="E221" i="10"/>
  <c r="N221" i="10" s="1"/>
  <c r="D221" i="10"/>
  <c r="M221" i="10" s="1"/>
  <c r="D220" i="10"/>
  <c r="E220" i="10"/>
  <c r="G220" i="10"/>
  <c r="H220" i="10"/>
  <c r="I220" i="10"/>
  <c r="J220" i="10"/>
  <c r="K220" i="10"/>
  <c r="T220" i="10" s="1"/>
  <c r="M220" i="10"/>
  <c r="N220" i="10"/>
  <c r="P220" i="10"/>
  <c r="Q220" i="10"/>
  <c r="R220" i="10"/>
  <c r="S220" i="10"/>
  <c r="AG220" i="10"/>
  <c r="BJ220" i="10"/>
  <c r="F220" i="10" s="1"/>
  <c r="CB220" i="10"/>
  <c r="L220" i="10" s="1"/>
  <c r="U220" i="10" s="1"/>
  <c r="CC220" i="10"/>
  <c r="BJ222" i="10"/>
  <c r="BJ219" i="10"/>
  <c r="F219" i="10" s="1"/>
  <c r="BJ218" i="10"/>
  <c r="F218" i="10" s="1"/>
  <c r="F248" i="10"/>
  <c r="F247" i="10"/>
  <c r="F246" i="10"/>
  <c r="F245" i="10"/>
  <c r="F244" i="10"/>
  <c r="F243" i="10"/>
  <c r="F242" i="10"/>
  <c r="F241" i="10"/>
  <c r="F240" i="10"/>
  <c r="F239" i="10"/>
  <c r="F238" i="10"/>
  <c r="F237" i="10"/>
  <c r="F236" i="10"/>
  <c r="F235" i="10"/>
  <c r="F234" i="10"/>
  <c r="F233" i="10"/>
  <c r="F232" i="10"/>
  <c r="F231" i="10"/>
  <c r="F230" i="10"/>
  <c r="F229" i="10"/>
  <c r="F228" i="10"/>
  <c r="F227" i="10"/>
  <c r="F226" i="10"/>
  <c r="F225" i="10"/>
  <c r="F224" i="10"/>
  <c r="F223" i="10"/>
  <c r="F217" i="10"/>
  <c r="F216" i="10"/>
  <c r="F213" i="10"/>
  <c r="F207" i="10"/>
  <c r="F206" i="10"/>
  <c r="F205" i="10"/>
  <c r="F204" i="10"/>
  <c r="F203" i="10"/>
  <c r="F202" i="10"/>
  <c r="F201" i="10"/>
  <c r="F200" i="10"/>
  <c r="F199" i="10"/>
  <c r="F198" i="10"/>
  <c r="F197" i="10"/>
  <c r="F196" i="10"/>
  <c r="F195" i="10"/>
  <c r="F194" i="10"/>
  <c r="F193" i="10"/>
  <c r="F192" i="10"/>
  <c r="F191" i="10"/>
  <c r="F190" i="10"/>
  <c r="F189" i="10"/>
  <c r="F188" i="10"/>
  <c r="F187" i="10"/>
  <c r="F186" i="10"/>
  <c r="F185" i="10"/>
  <c r="F184" i="10"/>
  <c r="BJ212" i="10"/>
  <c r="F212" i="10" s="1"/>
  <c r="BK211" i="10"/>
  <c r="BJ211" i="10"/>
  <c r="BJ210" i="10"/>
  <c r="F210" i="10" s="1"/>
  <c r="BK209" i="10"/>
  <c r="BJ209" i="10"/>
  <c r="BJ208" i="10"/>
  <c r="F208" i="10" s="1"/>
  <c r="F211" i="10" l="1"/>
  <c r="O212" i="10" s="1"/>
  <c r="F209" i="10"/>
  <c r="O218" i="10"/>
  <c r="O213" i="10"/>
  <c r="O217" i="10"/>
  <c r="Y209" i="10"/>
  <c r="M14" i="12"/>
  <c r="T19" i="12"/>
  <c r="L19" i="12"/>
  <c r="T16" i="12"/>
  <c r="T17" i="12"/>
  <c r="M17" i="12"/>
  <c r="K17" i="12"/>
  <c r="K16" i="12"/>
  <c r="K15" i="12"/>
  <c r="K14" i="12"/>
  <c r="D14" i="12"/>
  <c r="K13" i="12"/>
  <c r="D13" i="12"/>
  <c r="C13" i="12"/>
  <c r="M224" i="11"/>
  <c r="M220" i="11"/>
  <c r="BV228" i="11"/>
  <c r="BV227" i="11"/>
  <c r="BV226" i="11"/>
  <c r="BV225" i="11"/>
  <c r="BV224" i="11"/>
  <c r="BV223" i="11"/>
  <c r="BV222" i="11"/>
  <c r="BV221" i="11"/>
  <c r="BV220" i="11"/>
  <c r="BV219" i="11"/>
  <c r="BV218" i="11"/>
  <c r="BV217" i="11"/>
  <c r="BV216" i="11"/>
  <c r="BV215" i="11"/>
  <c r="BV214" i="11"/>
  <c r="BV213" i="11"/>
  <c r="BV212" i="11"/>
  <c r="BV211" i="11"/>
  <c r="BQ211" i="11"/>
  <c r="BL211" i="11"/>
  <c r="BV210" i="11"/>
  <c r="BV209" i="11"/>
  <c r="BV208" i="11"/>
  <c r="BV207" i="11"/>
  <c r="BV206" i="11"/>
  <c r="BQ210" i="11"/>
  <c r="BL210" i="11"/>
  <c r="BQ209" i="11"/>
  <c r="BL209" i="11"/>
  <c r="BQ208" i="11"/>
  <c r="BL208" i="11"/>
  <c r="BQ207" i="11"/>
  <c r="BL207" i="11"/>
  <c r="BQ206" i="11"/>
  <c r="BL206" i="11"/>
  <c r="BQ205" i="11"/>
  <c r="BL205" i="11"/>
  <c r="BV205" i="11"/>
  <c r="BV204" i="11"/>
  <c r="BV203" i="11"/>
  <c r="BV202" i="11"/>
  <c r="BV201" i="11"/>
  <c r="BV200" i="11"/>
  <c r="BV199" i="11"/>
  <c r="BV198" i="11"/>
  <c r="BV197" i="11"/>
  <c r="BV196" i="11"/>
  <c r="BV195" i="11"/>
  <c r="BV194" i="11"/>
  <c r="R194" i="11"/>
  <c r="Q194" i="11"/>
  <c r="P194" i="11"/>
  <c r="O194" i="11"/>
  <c r="N194" i="11"/>
  <c r="M194" i="11"/>
  <c r="L194" i="11"/>
  <c r="L190" i="11"/>
  <c r="L192" i="11"/>
  <c r="M167" i="11"/>
  <c r="L167" i="11"/>
  <c r="M165" i="11"/>
  <c r="L165" i="11"/>
  <c r="BV193" i="11"/>
  <c r="BV192" i="11"/>
  <c r="BU193" i="11"/>
  <c r="BV191" i="11"/>
  <c r="S189" i="11"/>
  <c r="R189" i="11"/>
  <c r="Q189" i="11"/>
  <c r="P189" i="11"/>
  <c r="O189" i="11"/>
  <c r="N189" i="11"/>
  <c r="L189" i="11"/>
  <c r="L187" i="11"/>
  <c r="BU187" i="11"/>
  <c r="BV186" i="11"/>
  <c r="BV185" i="11"/>
  <c r="BV184" i="11"/>
  <c r="BV183" i="11"/>
  <c r="BV182" i="11"/>
  <c r="BV181" i="11"/>
  <c r="BV180" i="11"/>
  <c r="BV179" i="11"/>
  <c r="BV178" i="11"/>
  <c r="BV177" i="11"/>
  <c r="BV176" i="11"/>
  <c r="BV175" i="11"/>
  <c r="BV174" i="11"/>
  <c r="BV173" i="11"/>
  <c r="BV172" i="11"/>
  <c r="BV171" i="11"/>
  <c r="BV169" i="11"/>
  <c r="BV168" i="11"/>
  <c r="BV167" i="11"/>
  <c r="R167" i="11"/>
  <c r="Q167" i="11"/>
  <c r="P167" i="11"/>
  <c r="O167" i="11"/>
  <c r="N165" i="11"/>
  <c r="O163" i="11"/>
  <c r="N163" i="11"/>
  <c r="M163" i="11"/>
  <c r="L163" i="11"/>
  <c r="R163" i="11"/>
  <c r="Q163" i="11"/>
  <c r="S163" i="11"/>
  <c r="BU166" i="11"/>
  <c r="BV273" i="11"/>
  <c r="BV272" i="11"/>
  <c r="BV271" i="11"/>
  <c r="BV270" i="11"/>
  <c r="BV269" i="11"/>
  <c r="BV268" i="11"/>
  <c r="BV267" i="11"/>
  <c r="BV266" i="11"/>
  <c r="BV265" i="11"/>
  <c r="BV264" i="11"/>
  <c r="BV263" i="11"/>
  <c r="BV262" i="11"/>
  <c r="BV261" i="11"/>
  <c r="BV260" i="11"/>
  <c r="S247" i="11"/>
  <c r="F246" i="11"/>
  <c r="N246" i="11" s="1"/>
  <c r="N239" i="11"/>
  <c r="N240" i="11"/>
  <c r="BV247" i="11"/>
  <c r="BV246" i="11"/>
  <c r="BV245" i="11"/>
  <c r="BV244" i="11"/>
  <c r="BV243" i="11"/>
  <c r="BV242" i="11"/>
  <c r="BV240" i="11"/>
  <c r="BV241" i="11"/>
  <c r="N159" i="11"/>
  <c r="N160" i="11"/>
  <c r="N161" i="11"/>
  <c r="M161" i="11"/>
  <c r="L161" i="11"/>
  <c r="BG162" i="11"/>
  <c r="AW162" i="11"/>
  <c r="BV159" i="11"/>
  <c r="BV158" i="11"/>
  <c r="BV157" i="11"/>
  <c r="F157" i="11"/>
  <c r="BV156" i="11"/>
  <c r="BV155" i="11"/>
  <c r="BV154" i="11"/>
  <c r="BV153" i="11"/>
  <c r="BV152" i="11"/>
  <c r="BV151" i="11"/>
  <c r="BV150" i="11"/>
  <c r="BV149" i="11"/>
  <c r="BV148" i="11"/>
  <c r="BV147" i="11"/>
  <c r="BV146" i="11"/>
  <c r="O250" i="10" l="1"/>
  <c r="BV145" i="11"/>
  <c r="BV144" i="11"/>
  <c r="BV143" i="11"/>
  <c r="BV142" i="11"/>
  <c r="BV141" i="11"/>
  <c r="BV140" i="11"/>
  <c r="BV139" i="11"/>
  <c r="BV138" i="11"/>
  <c r="E134" i="11"/>
  <c r="BV137" i="11"/>
  <c r="BV130" i="11"/>
  <c r="BV129" i="11"/>
  <c r="BV128" i="11"/>
  <c r="V120" i="11"/>
  <c r="W120" i="11"/>
  <c r="X120" i="11"/>
  <c r="Y120" i="11"/>
  <c r="Z120" i="11"/>
  <c r="AA120" i="11"/>
  <c r="U120" i="11"/>
  <c r="U114" i="11"/>
  <c r="U111" i="11"/>
  <c r="M120" i="11"/>
  <c r="N120" i="11"/>
  <c r="O120" i="11"/>
  <c r="P120" i="11"/>
  <c r="Q120" i="11"/>
  <c r="R120" i="11"/>
  <c r="L120" i="11"/>
  <c r="U117" i="11"/>
  <c r="M115" i="11"/>
  <c r="S111" i="11"/>
  <c r="M111" i="11"/>
  <c r="L111" i="11"/>
  <c r="BV116" i="11"/>
  <c r="BV115" i="11"/>
  <c r="BV114" i="11"/>
  <c r="BV113" i="11"/>
  <c r="BV112" i="11"/>
  <c r="BV111" i="11"/>
  <c r="BV110" i="11"/>
  <c r="X98" i="11"/>
  <c r="U98" i="11"/>
  <c r="U94" i="11"/>
  <c r="L94" i="11"/>
  <c r="BV98" i="11"/>
  <c r="BV97" i="11"/>
  <c r="BV96" i="11"/>
  <c r="BV95" i="11"/>
  <c r="BV94" i="11"/>
  <c r="BV93" i="11"/>
  <c r="BV92" i="11"/>
  <c r="M88" i="11"/>
  <c r="L88" i="11"/>
  <c r="S86" i="11"/>
  <c r="S80" i="11"/>
  <c r="S79" i="11"/>
  <c r="S78" i="11"/>
  <c r="S77" i="11"/>
  <c r="S76" i="11"/>
  <c r="N76" i="11"/>
  <c r="M76" i="11"/>
  <c r="L76" i="11"/>
  <c r="BV85" i="11"/>
  <c r="BV84" i="11"/>
  <c r="BV83" i="11"/>
  <c r="BV82" i="11"/>
  <c r="BV81" i="11"/>
  <c r="BV80" i="11"/>
  <c r="E80" i="11"/>
  <c r="BV77" i="11"/>
  <c r="BV75" i="11"/>
  <c r="BV68" i="11"/>
  <c r="BV67" i="11"/>
  <c r="BV64" i="11"/>
  <c r="BV63" i="11"/>
  <c r="BV62" i="11"/>
  <c r="BV61" i="11"/>
  <c r="BV60" i="11"/>
  <c r="BV29" i="11"/>
  <c r="BV28" i="11"/>
  <c r="BV27" i="11"/>
  <c r="BV26" i="11"/>
  <c r="BV25" i="11"/>
  <c r="BV24" i="11"/>
  <c r="BV23" i="11"/>
  <c r="BV22" i="11"/>
  <c r="BV21" i="11"/>
  <c r="BV20" i="11"/>
  <c r="BV19" i="11"/>
  <c r="BV18" i="11"/>
  <c r="BV17" i="11"/>
  <c r="BV16" i="11"/>
  <c r="BV15" i="11"/>
  <c r="BV14" i="11"/>
  <c r="S13" i="11"/>
  <c r="N13" i="11"/>
  <c r="M13" i="11"/>
  <c r="F13" i="11"/>
  <c r="BV13" i="11"/>
  <c r="BV12" i="11"/>
  <c r="BV11" i="11"/>
  <c r="F59" i="10"/>
  <c r="O59" i="10" s="1"/>
  <c r="F58" i="10"/>
  <c r="F57" i="10"/>
  <c r="F56" i="10"/>
  <c r="AG59" i="10"/>
  <c r="CC59" i="10"/>
  <c r="AG58" i="10"/>
  <c r="CC58" i="10"/>
  <c r="AG57" i="10"/>
  <c r="CC57" i="10"/>
  <c r="AG56" i="10"/>
  <c r="CC56" i="10"/>
  <c r="N537" i="3"/>
  <c r="N535" i="3"/>
  <c r="O56" i="10" l="1"/>
  <c r="O64" i="10" s="1"/>
  <c r="Y250" i="10"/>
  <c r="E538" i="3"/>
  <c r="E537" i="3"/>
  <c r="E536" i="3"/>
  <c r="E535" i="3"/>
  <c r="E534" i="3"/>
  <c r="AF537" i="3"/>
  <c r="CC537" i="3"/>
  <c r="AF536" i="3"/>
  <c r="CC536" i="3"/>
  <c r="AF535" i="3"/>
  <c r="CC535" i="3"/>
  <c r="AF534" i="3"/>
  <c r="CC534" i="3"/>
  <c r="Y64" i="10" l="1"/>
  <c r="BV58" i="11"/>
  <c r="BV57" i="11"/>
  <c r="U45" i="11"/>
  <c r="BV44" i="11"/>
  <c r="BV43" i="11"/>
  <c r="BV42" i="11"/>
  <c r="BV41" i="11"/>
  <c r="BV40" i="11"/>
  <c r="M40" i="11"/>
  <c r="L40" i="11"/>
  <c r="CB248" i="10"/>
  <c r="CB247" i="10"/>
  <c r="CB246" i="10"/>
  <c r="CB245" i="10"/>
  <c r="CB244" i="10"/>
  <c r="E243" i="10"/>
  <c r="CB243" i="10"/>
  <c r="CB242" i="10"/>
  <c r="CB241" i="10"/>
  <c r="CB240" i="10"/>
  <c r="CB239" i="10"/>
  <c r="CB238" i="10"/>
  <c r="CB237" i="10"/>
  <c r="E237" i="10" l="1"/>
  <c r="CB236" i="10"/>
  <c r="CA235" i="10"/>
  <c r="CA234" i="10"/>
  <c r="CB233" i="10"/>
  <c r="CB232" i="10"/>
  <c r="CB231" i="10"/>
  <c r="CB230" i="10"/>
  <c r="CB229" i="10"/>
  <c r="CB228" i="10"/>
  <c r="CB227" i="10"/>
  <c r="CB226" i="10"/>
  <c r="CA225" i="10"/>
  <c r="CA224" i="10"/>
  <c r="CB224" i="10"/>
  <c r="E224" i="10"/>
  <c r="CB223" i="10"/>
  <c r="CB222" i="10"/>
  <c r="CB219" i="10"/>
  <c r="CB218" i="10"/>
  <c r="CB217" i="10"/>
  <c r="CB216" i="10"/>
  <c r="CB212" i="10"/>
  <c r="E212" i="10"/>
  <c r="E211" i="10"/>
  <c r="CA211" i="10"/>
  <c r="CA210" i="10"/>
  <c r="D211" i="10"/>
  <c r="CB209" i="10"/>
  <c r="E209" i="10"/>
  <c r="D209" i="10"/>
  <c r="D204" i="10"/>
  <c r="CB203" i="10"/>
  <c r="CA201" i="10"/>
  <c r="CB202" i="10"/>
  <c r="CB201" i="10"/>
  <c r="E200" i="10"/>
  <c r="E202" i="10"/>
  <c r="E201" i="10"/>
  <c r="CB200" i="10"/>
  <c r="CB199" i="10"/>
  <c r="CB198" i="10"/>
  <c r="CB197" i="10"/>
  <c r="CB196" i="10"/>
  <c r="CB195" i="10"/>
  <c r="CB194" i="10"/>
  <c r="CB193" i="10"/>
  <c r="CB192" i="10"/>
  <c r="CB191" i="10"/>
  <c r="CB190" i="10"/>
  <c r="M16" i="12"/>
  <c r="E15" i="12"/>
  <c r="F15" i="12"/>
  <c r="G15" i="12"/>
  <c r="H15" i="12"/>
  <c r="I15" i="12"/>
  <c r="R16" i="12" s="1"/>
  <c r="J15" i="12"/>
  <c r="E16" i="12"/>
  <c r="F16" i="12"/>
  <c r="O16" i="12" s="1"/>
  <c r="G16" i="12"/>
  <c r="H16" i="12"/>
  <c r="Q16" i="12" s="1"/>
  <c r="I16" i="12"/>
  <c r="J16" i="12"/>
  <c r="E17" i="12"/>
  <c r="F17" i="12"/>
  <c r="G17" i="12"/>
  <c r="H17" i="12"/>
  <c r="Q17" i="12" s="1"/>
  <c r="I17" i="12"/>
  <c r="R17" i="12" s="1"/>
  <c r="J17" i="12"/>
  <c r="S17" i="12" s="1"/>
  <c r="T14" i="12"/>
  <c r="J14" i="12"/>
  <c r="I14" i="12"/>
  <c r="H14" i="12"/>
  <c r="Q14" i="12" s="1"/>
  <c r="G14" i="12"/>
  <c r="F14" i="12"/>
  <c r="O15" i="12" s="1"/>
  <c r="E14" i="12"/>
  <c r="M15" i="12"/>
  <c r="AF16" i="12"/>
  <c r="AF17" i="12"/>
  <c r="CC15" i="12"/>
  <c r="AF15" i="12"/>
  <c r="CC14" i="12"/>
  <c r="AF14" i="12"/>
  <c r="CC13" i="12"/>
  <c r="AF13" i="12"/>
  <c r="CB189" i="10"/>
  <c r="CB188" i="10"/>
  <c r="CB187" i="10"/>
  <c r="CB186" i="10"/>
  <c r="CB185" i="10"/>
  <c r="CB184" i="10"/>
  <c r="CB178" i="10"/>
  <c r="CB177" i="10"/>
  <c r="CB176" i="10"/>
  <c r="CB175" i="10"/>
  <c r="CA176" i="10"/>
  <c r="CB174" i="10"/>
  <c r="CB173" i="10"/>
  <c r="CB172" i="10"/>
  <c r="CB171" i="10"/>
  <c r="CB170" i="10"/>
  <c r="CB169" i="10"/>
  <c r="CB168" i="10"/>
  <c r="CA167" i="10"/>
  <c r="CB167" i="10"/>
  <c r="CB166" i="10"/>
  <c r="CA163" i="10"/>
  <c r="CB162" i="10"/>
  <c r="CB161" i="10"/>
  <c r="CB160" i="10"/>
  <c r="H159" i="10"/>
  <c r="CA159" i="10"/>
  <c r="CA158" i="10"/>
  <c r="BX159" i="10"/>
  <c r="CB157" i="10"/>
  <c r="CB156" i="10"/>
  <c r="CA155" i="10"/>
  <c r="CA154" i="10"/>
  <c r="BX154" i="10"/>
  <c r="BR155" i="10"/>
  <c r="CB153" i="10"/>
  <c r="CB152" i="10"/>
  <c r="CB151" i="10"/>
  <c r="CB150" i="10"/>
  <c r="CB149" i="10"/>
  <c r="CB148" i="10"/>
  <c r="CB147" i="10"/>
  <c r="F133" i="10"/>
  <c r="CB139" i="10"/>
  <c r="CB138" i="10"/>
  <c r="CB137" i="10"/>
  <c r="CB136" i="10"/>
  <c r="CB135" i="10"/>
  <c r="CB134" i="10"/>
  <c r="CB133" i="10"/>
  <c r="CB132" i="10"/>
  <c r="CB131" i="10"/>
  <c r="CB130" i="10"/>
  <c r="CB129" i="10"/>
  <c r="CB128" i="10"/>
  <c r="CB127" i="10"/>
  <c r="CB126" i="10"/>
  <c r="CB125" i="10"/>
  <c r="CB123" i="10"/>
  <c r="CB121" i="10"/>
  <c r="F119" i="10"/>
  <c r="F120" i="10"/>
  <c r="F121" i="10"/>
  <c r="F122" i="10"/>
  <c r="F123" i="10"/>
  <c r="F124" i="10"/>
  <c r="F125" i="10"/>
  <c r="F126" i="10"/>
  <c r="F127" i="10"/>
  <c r="F128" i="10"/>
  <c r="F129" i="10"/>
  <c r="F130" i="10"/>
  <c r="F131" i="10"/>
  <c r="F132" i="10"/>
  <c r="F134" i="10"/>
  <c r="F135" i="10"/>
  <c r="F136" i="10"/>
  <c r="F137" i="10"/>
  <c r="F138" i="10"/>
  <c r="F139" i="10"/>
  <c r="F118" i="10"/>
  <c r="CB120" i="10"/>
  <c r="CC11" i="12"/>
  <c r="AF11" i="12"/>
  <c r="CC10" i="12"/>
  <c r="AF10" i="12"/>
  <c r="CC9" i="12"/>
  <c r="AF9" i="12"/>
  <c r="CC8" i="12"/>
  <c r="AF8" i="12"/>
  <c r="CB111" i="10"/>
  <c r="CB109" i="10"/>
  <c r="CB108" i="10"/>
  <c r="CB107" i="10"/>
  <c r="CB106" i="10"/>
  <c r="CB105" i="10"/>
  <c r="CB104" i="10"/>
  <c r="CB103" i="10"/>
  <c r="CB102" i="10"/>
  <c r="CB101" i="10"/>
  <c r="CB100" i="10"/>
  <c r="CB99" i="10"/>
  <c r="CB98" i="10"/>
  <c r="CB97" i="10"/>
  <c r="CB89" i="10"/>
  <c r="CB88" i="10"/>
  <c r="CB87" i="10"/>
  <c r="CB86" i="10"/>
  <c r="CB85" i="10"/>
  <c r="AG118" i="10"/>
  <c r="CB72" i="10"/>
  <c r="CB70" i="10"/>
  <c r="CB69" i="10"/>
  <c r="CB55" i="10"/>
  <c r="CB54" i="10"/>
  <c r="CB53" i="10"/>
  <c r="CB52" i="10"/>
  <c r="CB51" i="10"/>
  <c r="CB50" i="10"/>
  <c r="CB49" i="10"/>
  <c r="CB43" i="10"/>
  <c r="CB42" i="10"/>
  <c r="CB41" i="10"/>
  <c r="CB40" i="10"/>
  <c r="CB39" i="10"/>
  <c r="CB38" i="10"/>
  <c r="CB37" i="10"/>
  <c r="CB36" i="10"/>
  <c r="CB35" i="10"/>
  <c r="CB34" i="10"/>
  <c r="CB33" i="10"/>
  <c r="BJ188" i="3"/>
  <c r="BI183" i="3"/>
  <c r="BI181" i="3"/>
  <c r="P15" i="12" l="1"/>
  <c r="P17" i="12"/>
  <c r="L17" i="12"/>
  <c r="S15" i="12"/>
  <c r="O17" i="12"/>
  <c r="L14" i="12"/>
  <c r="S16" i="12"/>
  <c r="L15" i="12"/>
  <c r="P14" i="12"/>
  <c r="P16" i="12"/>
  <c r="T15" i="12"/>
  <c r="T11" i="12" s="1"/>
  <c r="O14" i="12"/>
  <c r="R14" i="12"/>
  <c r="R15" i="12"/>
  <c r="S14" i="12"/>
  <c r="L16" i="12"/>
  <c r="Q15" i="12"/>
  <c r="O126" i="10"/>
  <c r="O128" i="10"/>
  <c r="N201" i="10"/>
  <c r="O135" i="10"/>
  <c r="O121" i="10"/>
  <c r="O129" i="10"/>
  <c r="O138" i="10"/>
  <c r="O125" i="10"/>
  <c r="O133" i="10"/>
  <c r="O137" i="10"/>
  <c r="O124" i="10"/>
  <c r="O136" i="10"/>
  <c r="O123" i="10"/>
  <c r="O120" i="10"/>
  <c r="O132" i="10"/>
  <c r="O130" i="10"/>
  <c r="O131" i="10"/>
  <c r="O127" i="10"/>
  <c r="O122" i="10"/>
  <c r="O134" i="10"/>
  <c r="K578" i="3"/>
  <c r="K577" i="3"/>
  <c r="D545" i="3"/>
  <c r="E660" i="3"/>
  <c r="E659" i="3"/>
  <c r="E658" i="3"/>
  <c r="E657" i="3"/>
  <c r="E656" i="3"/>
  <c r="E655" i="3"/>
  <c r="E654" i="3"/>
  <c r="E653" i="3"/>
  <c r="E652" i="3"/>
  <c r="E651" i="3"/>
  <c r="E650" i="3"/>
  <c r="E649" i="3"/>
  <c r="E648" i="3"/>
  <c r="E647" i="3"/>
  <c r="E646" i="3"/>
  <c r="E645" i="3"/>
  <c r="E644" i="3"/>
  <c r="E643" i="3"/>
  <c r="E642" i="3"/>
  <c r="E641" i="3"/>
  <c r="E640" i="3"/>
  <c r="E639" i="3"/>
  <c r="E638" i="3"/>
  <c r="E637" i="3"/>
  <c r="E636" i="3"/>
  <c r="E635" i="3"/>
  <c r="E634" i="3"/>
  <c r="E633" i="3"/>
  <c r="E632" i="3"/>
  <c r="E631" i="3"/>
  <c r="E630" i="3"/>
  <c r="E629" i="3"/>
  <c r="E628" i="3"/>
  <c r="E627" i="3"/>
  <c r="E626" i="3"/>
  <c r="E625" i="3"/>
  <c r="E624" i="3"/>
  <c r="E623" i="3"/>
  <c r="E622" i="3"/>
  <c r="E621" i="3"/>
  <c r="E620" i="3"/>
  <c r="E619" i="3"/>
  <c r="E618" i="3"/>
  <c r="E617" i="3"/>
  <c r="E616" i="3"/>
  <c r="E615" i="3"/>
  <c r="E614" i="3"/>
  <c r="E613" i="3"/>
  <c r="E612" i="3"/>
  <c r="E611" i="3"/>
  <c r="E610" i="3"/>
  <c r="E609" i="3"/>
  <c r="E608" i="3"/>
  <c r="E607" i="3"/>
  <c r="E606" i="3"/>
  <c r="E605" i="3"/>
  <c r="E604" i="3"/>
  <c r="E603" i="3"/>
  <c r="E602" i="3"/>
  <c r="E601" i="3"/>
  <c r="E600" i="3"/>
  <c r="E599" i="3"/>
  <c r="E598" i="3"/>
  <c r="E597" i="3"/>
  <c r="E596" i="3"/>
  <c r="E595" i="3"/>
  <c r="E594" i="3"/>
  <c r="E593" i="3"/>
  <c r="E592" i="3"/>
  <c r="E591" i="3"/>
  <c r="E590" i="3"/>
  <c r="E589" i="3"/>
  <c r="E588" i="3"/>
  <c r="E587" i="3"/>
  <c r="E586" i="3"/>
  <c r="E585" i="3"/>
  <c r="E584" i="3"/>
  <c r="E583" i="3"/>
  <c r="E582" i="3"/>
  <c r="E581" i="3"/>
  <c r="E580" i="3"/>
  <c r="E579" i="3"/>
  <c r="E578" i="3"/>
  <c r="E577" i="3"/>
  <c r="E576" i="3"/>
  <c r="E575" i="3"/>
  <c r="E574" i="3"/>
  <c r="E573" i="3"/>
  <c r="E572" i="3"/>
  <c r="E571" i="3"/>
  <c r="E570" i="3"/>
  <c r="E569" i="3"/>
  <c r="E568" i="3"/>
  <c r="E567" i="3"/>
  <c r="E566" i="3"/>
  <c r="E565" i="3"/>
  <c r="E564" i="3"/>
  <c r="E563" i="3"/>
  <c r="E562" i="3"/>
  <c r="E561" i="3"/>
  <c r="E560" i="3"/>
  <c r="E559" i="3"/>
  <c r="E558" i="3"/>
  <c r="E557" i="3"/>
  <c r="E556" i="3"/>
  <c r="E555" i="3"/>
  <c r="E554" i="3"/>
  <c r="E553" i="3"/>
  <c r="E552" i="3"/>
  <c r="E551" i="3"/>
  <c r="E550" i="3"/>
  <c r="E549" i="3"/>
  <c r="E548" i="3"/>
  <c r="E547" i="3"/>
  <c r="E546" i="3"/>
  <c r="E545" i="3"/>
  <c r="E544" i="3"/>
  <c r="E543" i="3"/>
  <c r="E542" i="3"/>
  <c r="E541" i="3"/>
  <c r="E540" i="3"/>
  <c r="E539" i="3"/>
  <c r="E533" i="3"/>
  <c r="E532" i="3"/>
  <c r="E531" i="3"/>
  <c r="E530" i="3"/>
  <c r="E529" i="3"/>
  <c r="E528" i="3"/>
  <c r="E527" i="3"/>
  <c r="E526" i="3"/>
  <c r="E525" i="3"/>
  <c r="E524" i="3"/>
  <c r="E523" i="3"/>
  <c r="E522" i="3"/>
  <c r="E521" i="3"/>
  <c r="E520" i="3"/>
  <c r="E519" i="3"/>
  <c r="E518" i="3"/>
  <c r="E517" i="3"/>
  <c r="E516" i="3"/>
  <c r="E515" i="3"/>
  <c r="E514" i="3"/>
  <c r="E513" i="3"/>
  <c r="E512" i="3"/>
  <c r="E511" i="3"/>
  <c r="E510" i="3"/>
  <c r="E509" i="3"/>
  <c r="E508" i="3"/>
  <c r="E507" i="3"/>
  <c r="E506" i="3"/>
  <c r="E505" i="3"/>
  <c r="E504" i="3"/>
  <c r="E503" i="3"/>
  <c r="E502" i="3"/>
  <c r="E501" i="3"/>
  <c r="E500" i="3"/>
  <c r="E499" i="3"/>
  <c r="E498" i="3"/>
  <c r="E497" i="3"/>
  <c r="E496" i="3"/>
  <c r="E495" i="3"/>
  <c r="E494" i="3"/>
  <c r="E493" i="3"/>
  <c r="E492" i="3"/>
  <c r="E491" i="3"/>
  <c r="E490" i="3"/>
  <c r="E489" i="3"/>
  <c r="E488" i="3"/>
  <c r="E487" i="3"/>
  <c r="E486" i="3"/>
  <c r="E485" i="3"/>
  <c r="E484" i="3"/>
  <c r="E483" i="3"/>
  <c r="E482" i="3"/>
  <c r="E481" i="3"/>
  <c r="E480" i="3"/>
  <c r="E479" i="3"/>
  <c r="E478" i="3"/>
  <c r="E477" i="3"/>
  <c r="E476" i="3"/>
  <c r="E475" i="3"/>
  <c r="E474" i="3"/>
  <c r="E473" i="3"/>
  <c r="E472" i="3"/>
  <c r="E471" i="3"/>
  <c r="E470" i="3"/>
  <c r="E469" i="3"/>
  <c r="E468" i="3"/>
  <c r="E467" i="3"/>
  <c r="E466" i="3"/>
  <c r="E465" i="3"/>
  <c r="E464" i="3"/>
  <c r="E463" i="3"/>
  <c r="E462" i="3"/>
  <c r="E461" i="3"/>
  <c r="E460" i="3"/>
  <c r="E459" i="3"/>
  <c r="E458" i="3"/>
  <c r="E457" i="3"/>
  <c r="E456" i="3"/>
  <c r="E455" i="3"/>
  <c r="E454" i="3"/>
  <c r="E453" i="3"/>
  <c r="E452" i="3"/>
  <c r="E451" i="3"/>
  <c r="E450" i="3"/>
  <c r="E449" i="3"/>
  <c r="E448" i="3"/>
  <c r="E447" i="3"/>
  <c r="E446" i="3"/>
  <c r="E445" i="3"/>
  <c r="E444" i="3"/>
  <c r="E443" i="3"/>
  <c r="E442" i="3"/>
  <c r="E441" i="3"/>
  <c r="E440" i="3"/>
  <c r="E439" i="3"/>
  <c r="E438" i="3"/>
  <c r="E437" i="3"/>
  <c r="E436" i="3"/>
  <c r="E435" i="3"/>
  <c r="E434" i="3"/>
  <c r="E433" i="3"/>
  <c r="E432" i="3"/>
  <c r="E431" i="3"/>
  <c r="E430" i="3"/>
  <c r="E429" i="3"/>
  <c r="E428" i="3"/>
  <c r="E427" i="3"/>
  <c r="E426" i="3"/>
  <c r="E425" i="3"/>
  <c r="E424" i="3"/>
  <c r="E423" i="3"/>
  <c r="E422" i="3"/>
  <c r="E421" i="3"/>
  <c r="E420" i="3"/>
  <c r="E419" i="3"/>
  <c r="E418" i="3"/>
  <c r="E417" i="3"/>
  <c r="E416" i="3"/>
  <c r="E415" i="3"/>
  <c r="E414" i="3"/>
  <c r="E413" i="3"/>
  <c r="E412" i="3"/>
  <c r="E411" i="3"/>
  <c r="E410" i="3"/>
  <c r="E409" i="3"/>
  <c r="E408" i="3"/>
  <c r="E407" i="3"/>
  <c r="E406" i="3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6" i="3"/>
  <c r="E375" i="3"/>
  <c r="N376" i="3" s="1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F329" i="3"/>
  <c r="F334" i="3"/>
  <c r="BM331" i="3"/>
  <c r="BM330" i="3"/>
  <c r="E198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7" i="3"/>
  <c r="N198" i="3" s="1"/>
  <c r="E196" i="3"/>
  <c r="E195" i="3"/>
  <c r="E194" i="3"/>
  <c r="E193" i="3"/>
  <c r="E192" i="3"/>
  <c r="E191" i="3"/>
  <c r="E190" i="3"/>
  <c r="E189" i="3"/>
  <c r="E188" i="3"/>
  <c r="E187" i="3"/>
  <c r="E186" i="3"/>
  <c r="N186" i="3" s="1"/>
  <c r="E184" i="3"/>
  <c r="N185" i="3" s="1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N54" i="3" s="1"/>
  <c r="F310" i="3"/>
  <c r="D264" i="3"/>
  <c r="D221" i="3"/>
  <c r="F180" i="3"/>
  <c r="D134" i="3"/>
  <c r="D130" i="3"/>
  <c r="D135" i="3"/>
  <c r="C93" i="3"/>
  <c r="F38" i="3"/>
  <c r="M11" i="12" l="1"/>
  <c r="M19" i="12" s="1"/>
  <c r="L11" i="12"/>
  <c r="Y123" i="10"/>
  <c r="N200" i="3"/>
  <c r="N195" i="3"/>
  <c r="N196" i="3"/>
  <c r="N194" i="3"/>
  <c r="N374" i="3"/>
  <c r="N378" i="3"/>
  <c r="O141" i="10"/>
  <c r="N191" i="3"/>
  <c r="X192" i="3" s="1"/>
  <c r="N188" i="3"/>
  <c r="N184" i="3"/>
  <c r="N375" i="3"/>
  <c r="N197" i="3"/>
  <c r="N199" i="3"/>
  <c r="N190" i="3"/>
  <c r="N189" i="3"/>
  <c r="N181" i="3"/>
  <c r="N187" i="3"/>
  <c r="N183" i="3"/>
  <c r="N182" i="3"/>
  <c r="N180" i="3"/>
  <c r="C20" i="3"/>
  <c r="C8" i="3"/>
  <c r="BW274" i="11"/>
  <c r="BW273" i="11"/>
  <c r="BW272" i="11"/>
  <c r="BW271" i="11"/>
  <c r="BW270" i="11"/>
  <c r="BW269" i="11"/>
  <c r="BW268" i="11"/>
  <c r="BW267" i="11"/>
  <c r="BW266" i="11"/>
  <c r="BW265" i="11"/>
  <c r="BW264" i="11"/>
  <c r="BW263" i="11"/>
  <c r="BW262" i="11"/>
  <c r="BW261" i="11"/>
  <c r="BW260" i="11"/>
  <c r="BW259" i="11"/>
  <c r="BW258" i="11"/>
  <c r="BW248" i="11"/>
  <c r="BW247" i="11"/>
  <c r="BW246" i="11"/>
  <c r="BW245" i="11"/>
  <c r="BW244" i="11"/>
  <c r="BW243" i="11"/>
  <c r="BW242" i="11"/>
  <c r="BW241" i="11"/>
  <c r="BW240" i="11"/>
  <c r="BW239" i="11"/>
  <c r="BW238" i="11"/>
  <c r="BW229" i="11"/>
  <c r="BW228" i="11"/>
  <c r="BW227" i="11"/>
  <c r="BW226" i="11"/>
  <c r="BW225" i="11"/>
  <c r="BW224" i="11"/>
  <c r="BW223" i="11"/>
  <c r="BW222" i="11"/>
  <c r="BW221" i="11"/>
  <c r="BW220" i="11"/>
  <c r="BW219" i="11"/>
  <c r="BW218" i="11"/>
  <c r="BW217" i="11"/>
  <c r="BW216" i="11"/>
  <c r="BW215" i="11"/>
  <c r="BW214" i="11"/>
  <c r="BW213" i="11"/>
  <c r="BW212" i="11"/>
  <c r="BW211" i="11"/>
  <c r="BW210" i="11"/>
  <c r="BW209" i="11"/>
  <c r="BW208" i="11"/>
  <c r="BW207" i="11"/>
  <c r="BW206" i="11"/>
  <c r="BW205" i="11"/>
  <c r="BW204" i="11"/>
  <c r="BW203" i="11"/>
  <c r="BW202" i="11"/>
  <c r="BW201" i="11"/>
  <c r="BW200" i="11"/>
  <c r="BW199" i="11"/>
  <c r="BW198" i="11"/>
  <c r="BW197" i="11"/>
  <c r="BW196" i="11"/>
  <c r="BW195" i="11"/>
  <c r="BW194" i="11"/>
  <c r="BW192" i="11"/>
  <c r="BW191" i="11"/>
  <c r="BW190" i="11"/>
  <c r="BW189" i="11"/>
  <c r="BW187" i="11"/>
  <c r="BW186" i="11"/>
  <c r="BW185" i="11"/>
  <c r="BW184" i="11"/>
  <c r="BW183" i="11"/>
  <c r="BW182" i="11"/>
  <c r="BW181" i="11"/>
  <c r="BW180" i="11"/>
  <c r="BW179" i="11"/>
  <c r="BW178" i="11"/>
  <c r="BW177" i="11"/>
  <c r="BW176" i="11"/>
  <c r="BW175" i="11"/>
  <c r="BW174" i="11"/>
  <c r="BW173" i="11"/>
  <c r="BW172" i="11"/>
  <c r="BW171" i="11"/>
  <c r="BW170" i="11"/>
  <c r="BW169" i="11"/>
  <c r="BW168" i="11"/>
  <c r="BW167" i="11"/>
  <c r="BW165" i="11"/>
  <c r="BW164" i="11"/>
  <c r="BW163" i="11"/>
  <c r="BW161" i="11"/>
  <c r="BW160" i="11"/>
  <c r="BW159" i="11"/>
  <c r="BW158" i="11"/>
  <c r="BW157" i="11"/>
  <c r="BW156" i="11"/>
  <c r="BW155" i="11"/>
  <c r="BW154" i="11"/>
  <c r="BW153" i="11"/>
  <c r="BW152" i="11"/>
  <c r="BW151" i="11"/>
  <c r="BW150" i="11"/>
  <c r="BW149" i="11"/>
  <c r="BW148" i="11"/>
  <c r="BW147" i="11"/>
  <c r="BW146" i="11"/>
  <c r="BW145" i="11"/>
  <c r="BW144" i="11"/>
  <c r="BW143" i="11"/>
  <c r="BW142" i="11"/>
  <c r="BW141" i="11"/>
  <c r="BW140" i="11"/>
  <c r="BW139" i="11"/>
  <c r="BW138" i="11"/>
  <c r="BW137" i="11"/>
  <c r="BW136" i="11"/>
  <c r="BW135" i="11"/>
  <c r="BW134" i="11"/>
  <c r="BW133" i="11"/>
  <c r="BW132" i="11"/>
  <c r="BW131" i="11"/>
  <c r="BW130" i="11"/>
  <c r="BW129" i="11"/>
  <c r="BW128" i="11"/>
  <c r="BW127" i="11"/>
  <c r="BW126" i="11"/>
  <c r="BW117" i="11"/>
  <c r="BW116" i="11"/>
  <c r="BW115" i="11"/>
  <c r="BW114" i="11"/>
  <c r="BW113" i="11"/>
  <c r="BW112" i="11"/>
  <c r="BW111" i="11"/>
  <c r="BW110" i="11"/>
  <c r="BW109" i="11"/>
  <c r="BW99" i="11"/>
  <c r="BW98" i="11"/>
  <c r="BW97" i="11"/>
  <c r="BW96" i="11"/>
  <c r="BW95" i="11"/>
  <c r="BW94" i="11"/>
  <c r="BW93" i="11"/>
  <c r="BW92" i="11"/>
  <c r="BW91" i="11"/>
  <c r="BW86" i="11"/>
  <c r="BW85" i="11"/>
  <c r="BW84" i="11"/>
  <c r="BW83" i="11"/>
  <c r="BW82" i="11"/>
  <c r="BW81" i="11"/>
  <c r="BW80" i="11"/>
  <c r="BW79" i="11"/>
  <c r="BW78" i="11"/>
  <c r="BW77" i="11"/>
  <c r="BW76" i="11"/>
  <c r="BW75" i="11"/>
  <c r="BW69" i="11"/>
  <c r="BW68" i="11"/>
  <c r="BW67" i="11"/>
  <c r="BW66" i="11"/>
  <c r="BW65" i="11"/>
  <c r="BW64" i="11"/>
  <c r="BW63" i="11"/>
  <c r="BW62" i="11"/>
  <c r="BW61" i="11"/>
  <c r="BW60" i="11"/>
  <c r="BW59" i="11"/>
  <c r="BW58" i="11"/>
  <c r="BW57" i="11"/>
  <c r="BW45" i="11"/>
  <c r="BW44" i="11"/>
  <c r="BW43" i="11"/>
  <c r="BW42" i="11"/>
  <c r="BW41" i="11"/>
  <c r="BW40" i="11"/>
  <c r="BW39" i="11"/>
  <c r="BW30" i="11"/>
  <c r="BW29" i="11"/>
  <c r="BW28" i="11"/>
  <c r="BW27" i="11"/>
  <c r="BW26" i="11"/>
  <c r="BW25" i="11"/>
  <c r="BW24" i="11"/>
  <c r="BW22" i="11"/>
  <c r="BW21" i="11"/>
  <c r="BW20" i="11"/>
  <c r="BW19" i="11"/>
  <c r="BW18" i="11"/>
  <c r="BW17" i="11"/>
  <c r="BW16" i="11"/>
  <c r="BW15" i="11"/>
  <c r="BW14" i="11"/>
  <c r="BW13" i="11"/>
  <c r="BW12" i="11"/>
  <c r="BW11" i="11"/>
  <c r="BW10" i="11"/>
  <c r="BW9" i="11"/>
  <c r="BW23" i="11"/>
  <c r="K109" i="11"/>
  <c r="CC248" i="10"/>
  <c r="CC247" i="10"/>
  <c r="CC246" i="10"/>
  <c r="CC245" i="10"/>
  <c r="CC244" i="10"/>
  <c r="CC243" i="10"/>
  <c r="CC242" i="10"/>
  <c r="CC241" i="10"/>
  <c r="CC240" i="10"/>
  <c r="CC239" i="10"/>
  <c r="CC238" i="10"/>
  <c r="CC237" i="10"/>
  <c r="CC236" i="10"/>
  <c r="CC234" i="10"/>
  <c r="CC233" i="10"/>
  <c r="CC232" i="10"/>
  <c r="CC231" i="10"/>
  <c r="CC230" i="10"/>
  <c r="CC229" i="10"/>
  <c r="CC228" i="10"/>
  <c r="CC227" i="10"/>
  <c r="CC226" i="10"/>
  <c r="CC224" i="10"/>
  <c r="CC223" i="10"/>
  <c r="CC222" i="10"/>
  <c r="CC219" i="10"/>
  <c r="CC218" i="10"/>
  <c r="CC217" i="10"/>
  <c r="CC216" i="10"/>
  <c r="CC213" i="10"/>
  <c r="CC212" i="10"/>
  <c r="CC210" i="10"/>
  <c r="CC208" i="10"/>
  <c r="CC207" i="10"/>
  <c r="CC206" i="10"/>
  <c r="CC205" i="10"/>
  <c r="CC203" i="10"/>
  <c r="CC201" i="10"/>
  <c r="CC200" i="10"/>
  <c r="CC199" i="10"/>
  <c r="CC198" i="10"/>
  <c r="CC197" i="10"/>
  <c r="CC196" i="10"/>
  <c r="CC195" i="10"/>
  <c r="CC194" i="10"/>
  <c r="CC193" i="10"/>
  <c r="CC192" i="10"/>
  <c r="CC191" i="10"/>
  <c r="CC190" i="10"/>
  <c r="CC189" i="10"/>
  <c r="CC188" i="10"/>
  <c r="CC187" i="10"/>
  <c r="CC186" i="10"/>
  <c r="CC185" i="10"/>
  <c r="CC184" i="10"/>
  <c r="CC179" i="10"/>
  <c r="CC178" i="10"/>
  <c r="CC177" i="10"/>
  <c r="CC173" i="10"/>
  <c r="CC172" i="10"/>
  <c r="CC171" i="10"/>
  <c r="CC170" i="10"/>
  <c r="CC169" i="10"/>
  <c r="CC168" i="10"/>
  <c r="CC166" i="10"/>
  <c r="CC165" i="10"/>
  <c r="CC163" i="10"/>
  <c r="CC162" i="10"/>
  <c r="CC161" i="10"/>
  <c r="CC160" i="10"/>
  <c r="CC158" i="10"/>
  <c r="CC157" i="10"/>
  <c r="CC156" i="10"/>
  <c r="CC154" i="10"/>
  <c r="CC153" i="10"/>
  <c r="CC152" i="10"/>
  <c r="CC151" i="10"/>
  <c r="CC150" i="10"/>
  <c r="CC149" i="10"/>
  <c r="CC148" i="10"/>
  <c r="CC147" i="10"/>
  <c r="CC139" i="10"/>
  <c r="CC138" i="10"/>
  <c r="CC137" i="10"/>
  <c r="CC136" i="10"/>
  <c r="CC135" i="10"/>
  <c r="CC134" i="10"/>
  <c r="CC133" i="10"/>
  <c r="CC132" i="10"/>
  <c r="CC131" i="10"/>
  <c r="CC130" i="10"/>
  <c r="CC129" i="10"/>
  <c r="CC128" i="10"/>
  <c r="CC127" i="10"/>
  <c r="CC126" i="10"/>
  <c r="CC125" i="10"/>
  <c r="CC124" i="10"/>
  <c r="CC123" i="10"/>
  <c r="CC122" i="10"/>
  <c r="CC121" i="10"/>
  <c r="CC120" i="10"/>
  <c r="CC119" i="10"/>
  <c r="CC118" i="10"/>
  <c r="CC111" i="10"/>
  <c r="CC110" i="10"/>
  <c r="CC109" i="10"/>
  <c r="CC108" i="10"/>
  <c r="CC107" i="10"/>
  <c r="CC106" i="10"/>
  <c r="CC105" i="10"/>
  <c r="CC104" i="10"/>
  <c r="CC103" i="10"/>
  <c r="CC102" i="10"/>
  <c r="CC101" i="10"/>
  <c r="CC100" i="10"/>
  <c r="CC99" i="10"/>
  <c r="CC98" i="10"/>
  <c r="CC97" i="10"/>
  <c r="CC96" i="10"/>
  <c r="CC95" i="10"/>
  <c r="CC94" i="10"/>
  <c r="CC93" i="10"/>
  <c r="CC92" i="10"/>
  <c r="CC90" i="10"/>
  <c r="CC89" i="10"/>
  <c r="CC88" i="10"/>
  <c r="CC87" i="10"/>
  <c r="CC86" i="10"/>
  <c r="CC85" i="10"/>
  <c r="CC84" i="10"/>
  <c r="CC83" i="10"/>
  <c r="CC77" i="10"/>
  <c r="CC76" i="10"/>
  <c r="CC75" i="10"/>
  <c r="CC74" i="10"/>
  <c r="CC73" i="10"/>
  <c r="CC72" i="10"/>
  <c r="CC71" i="10"/>
  <c r="CC70" i="10"/>
  <c r="CC69" i="10"/>
  <c r="CC68" i="10"/>
  <c r="CC62" i="10"/>
  <c r="CC61" i="10"/>
  <c r="CC60" i="10"/>
  <c r="CC55" i="10"/>
  <c r="CC54" i="10"/>
  <c r="CC53" i="10"/>
  <c r="CC52" i="10"/>
  <c r="CC51" i="10"/>
  <c r="CC50" i="10"/>
  <c r="CC49" i="10"/>
  <c r="CC43" i="10"/>
  <c r="CC42" i="10"/>
  <c r="CC41" i="10"/>
  <c r="CC40" i="10"/>
  <c r="CC39" i="10"/>
  <c r="CC38" i="10"/>
  <c r="CC37" i="10"/>
  <c r="CC36" i="10"/>
  <c r="CC35" i="10"/>
  <c r="CC34" i="10"/>
  <c r="CC33" i="10"/>
  <c r="CC32" i="10"/>
  <c r="CC31" i="10"/>
  <c r="CC10" i="10"/>
  <c r="CC11" i="10"/>
  <c r="CC12" i="10"/>
  <c r="CC13" i="10"/>
  <c r="CC14" i="10"/>
  <c r="CC15" i="10"/>
  <c r="CC16" i="10"/>
  <c r="CC17" i="10"/>
  <c r="CC18" i="10"/>
  <c r="CC19" i="10"/>
  <c r="CC20" i="10"/>
  <c r="CC21" i="10"/>
  <c r="CC22" i="10"/>
  <c r="CC23" i="10"/>
  <c r="CC24" i="10"/>
  <c r="CC25" i="10"/>
  <c r="CC9" i="10"/>
  <c r="K660" i="3"/>
  <c r="K659" i="3"/>
  <c r="K658" i="3"/>
  <c r="K657" i="3"/>
  <c r="K656" i="3"/>
  <c r="K655" i="3"/>
  <c r="K654" i="3"/>
  <c r="K653" i="3"/>
  <c r="K652" i="3"/>
  <c r="K651" i="3"/>
  <c r="K650" i="3"/>
  <c r="K649" i="3"/>
  <c r="K648" i="3"/>
  <c r="K647" i="3"/>
  <c r="K646" i="3"/>
  <c r="K645" i="3"/>
  <c r="K644" i="3"/>
  <c r="K643" i="3"/>
  <c r="K642" i="3"/>
  <c r="K641" i="3"/>
  <c r="K640" i="3"/>
  <c r="K639" i="3"/>
  <c r="K638" i="3"/>
  <c r="K637" i="3"/>
  <c r="K636" i="3"/>
  <c r="K635" i="3"/>
  <c r="K634" i="3"/>
  <c r="K633" i="3"/>
  <c r="K632" i="3"/>
  <c r="K631" i="3"/>
  <c r="K630" i="3"/>
  <c r="K629" i="3"/>
  <c r="K628" i="3"/>
  <c r="K627" i="3"/>
  <c r="K626" i="3"/>
  <c r="K625" i="3"/>
  <c r="K624" i="3"/>
  <c r="K623" i="3"/>
  <c r="K622" i="3"/>
  <c r="K621" i="3"/>
  <c r="K620" i="3"/>
  <c r="K619" i="3"/>
  <c r="K618" i="3"/>
  <c r="K617" i="3"/>
  <c r="K616" i="3"/>
  <c r="K615" i="3"/>
  <c r="K614" i="3"/>
  <c r="K613" i="3"/>
  <c r="K612" i="3"/>
  <c r="K611" i="3"/>
  <c r="K610" i="3"/>
  <c r="K609" i="3"/>
  <c r="K608" i="3"/>
  <c r="K607" i="3"/>
  <c r="K606" i="3"/>
  <c r="K605" i="3"/>
  <c r="K604" i="3"/>
  <c r="K603" i="3"/>
  <c r="K602" i="3"/>
  <c r="K601" i="3"/>
  <c r="K600" i="3"/>
  <c r="K599" i="3"/>
  <c r="K598" i="3"/>
  <c r="K597" i="3"/>
  <c r="K596" i="3"/>
  <c r="K595" i="3"/>
  <c r="K594" i="3"/>
  <c r="K593" i="3"/>
  <c r="K592" i="3"/>
  <c r="K591" i="3"/>
  <c r="K590" i="3"/>
  <c r="K589" i="3"/>
  <c r="K588" i="3"/>
  <c r="K587" i="3"/>
  <c r="K586" i="3"/>
  <c r="K585" i="3"/>
  <c r="K584" i="3"/>
  <c r="K583" i="3"/>
  <c r="K582" i="3"/>
  <c r="K581" i="3"/>
  <c r="K580" i="3"/>
  <c r="K579" i="3"/>
  <c r="K576" i="3"/>
  <c r="K575" i="3"/>
  <c r="K574" i="3"/>
  <c r="K573" i="3"/>
  <c r="K572" i="3"/>
  <c r="K571" i="3"/>
  <c r="K570" i="3"/>
  <c r="K569" i="3"/>
  <c r="K568" i="3"/>
  <c r="K567" i="3"/>
  <c r="K566" i="3"/>
  <c r="K565" i="3"/>
  <c r="K564" i="3"/>
  <c r="K563" i="3"/>
  <c r="K562" i="3"/>
  <c r="K561" i="3"/>
  <c r="K560" i="3"/>
  <c r="K559" i="3"/>
  <c r="K558" i="3"/>
  <c r="K557" i="3"/>
  <c r="K556" i="3"/>
  <c r="K555" i="3"/>
  <c r="K554" i="3"/>
  <c r="K553" i="3"/>
  <c r="K552" i="3"/>
  <c r="K551" i="3"/>
  <c r="K550" i="3"/>
  <c r="K549" i="3"/>
  <c r="K548" i="3"/>
  <c r="K547" i="3"/>
  <c r="K546" i="3"/>
  <c r="K545" i="3"/>
  <c r="K544" i="3"/>
  <c r="K543" i="3"/>
  <c r="K542" i="3"/>
  <c r="K541" i="3"/>
  <c r="K540" i="3"/>
  <c r="K539" i="3"/>
  <c r="K538" i="3"/>
  <c r="K533" i="3"/>
  <c r="K532" i="3"/>
  <c r="K531" i="3"/>
  <c r="K530" i="3"/>
  <c r="K529" i="3"/>
  <c r="K528" i="3"/>
  <c r="K527" i="3"/>
  <c r="K526" i="3"/>
  <c r="K525" i="3"/>
  <c r="K524" i="3"/>
  <c r="K523" i="3"/>
  <c r="K522" i="3"/>
  <c r="K521" i="3"/>
  <c r="K520" i="3"/>
  <c r="K519" i="3"/>
  <c r="K518" i="3"/>
  <c r="K517" i="3"/>
  <c r="K516" i="3"/>
  <c r="K515" i="3"/>
  <c r="K514" i="3"/>
  <c r="K513" i="3"/>
  <c r="K512" i="3"/>
  <c r="K511" i="3"/>
  <c r="K510" i="3"/>
  <c r="K509" i="3"/>
  <c r="K508" i="3"/>
  <c r="K507" i="3"/>
  <c r="K506" i="3"/>
  <c r="K505" i="3"/>
  <c r="K504" i="3"/>
  <c r="K503" i="3"/>
  <c r="K502" i="3"/>
  <c r="K501" i="3"/>
  <c r="K500" i="3"/>
  <c r="K499" i="3"/>
  <c r="K498" i="3"/>
  <c r="K497" i="3"/>
  <c r="K496" i="3"/>
  <c r="K495" i="3"/>
  <c r="K494" i="3"/>
  <c r="K493" i="3"/>
  <c r="K492" i="3"/>
  <c r="K491" i="3"/>
  <c r="K490" i="3"/>
  <c r="K489" i="3"/>
  <c r="K488" i="3"/>
  <c r="K487" i="3"/>
  <c r="K486" i="3"/>
  <c r="K485" i="3"/>
  <c r="K484" i="3"/>
  <c r="K483" i="3"/>
  <c r="K482" i="3"/>
  <c r="K481" i="3"/>
  <c r="K480" i="3"/>
  <c r="K479" i="3"/>
  <c r="K478" i="3"/>
  <c r="K477" i="3"/>
  <c r="K476" i="3"/>
  <c r="K475" i="3"/>
  <c r="K474" i="3"/>
  <c r="K473" i="3"/>
  <c r="K472" i="3"/>
  <c r="K471" i="3"/>
  <c r="K470" i="3"/>
  <c r="K469" i="3"/>
  <c r="K468" i="3"/>
  <c r="K467" i="3"/>
  <c r="K466" i="3"/>
  <c r="K465" i="3"/>
  <c r="K464" i="3"/>
  <c r="K463" i="3"/>
  <c r="K462" i="3"/>
  <c r="K461" i="3"/>
  <c r="K460" i="3"/>
  <c r="K459" i="3"/>
  <c r="K458" i="3"/>
  <c r="K457" i="3"/>
  <c r="K456" i="3"/>
  <c r="K455" i="3"/>
  <c r="K454" i="3"/>
  <c r="K453" i="3"/>
  <c r="K452" i="3"/>
  <c r="K451" i="3"/>
  <c r="K450" i="3"/>
  <c r="K449" i="3"/>
  <c r="K448" i="3"/>
  <c r="K447" i="3"/>
  <c r="K446" i="3"/>
  <c r="K445" i="3"/>
  <c r="K444" i="3"/>
  <c r="K443" i="3"/>
  <c r="K442" i="3"/>
  <c r="K441" i="3"/>
  <c r="K440" i="3"/>
  <c r="K439" i="3"/>
  <c r="K438" i="3"/>
  <c r="K437" i="3"/>
  <c r="K436" i="3"/>
  <c r="K435" i="3"/>
  <c r="K434" i="3"/>
  <c r="K433" i="3"/>
  <c r="K432" i="3"/>
  <c r="K431" i="3"/>
  <c r="K430" i="3"/>
  <c r="K429" i="3"/>
  <c r="K428" i="3"/>
  <c r="K427" i="3"/>
  <c r="K426" i="3"/>
  <c r="K425" i="3"/>
  <c r="K424" i="3"/>
  <c r="K423" i="3"/>
  <c r="K422" i="3"/>
  <c r="K421" i="3"/>
  <c r="K420" i="3"/>
  <c r="K419" i="3"/>
  <c r="K418" i="3"/>
  <c r="K417" i="3"/>
  <c r="K416" i="3"/>
  <c r="K415" i="3"/>
  <c r="K414" i="3"/>
  <c r="K413" i="3"/>
  <c r="K412" i="3"/>
  <c r="K411" i="3"/>
  <c r="K410" i="3"/>
  <c r="K409" i="3"/>
  <c r="K408" i="3"/>
  <c r="K407" i="3"/>
  <c r="K406" i="3"/>
  <c r="K405" i="3"/>
  <c r="K404" i="3"/>
  <c r="K403" i="3"/>
  <c r="K402" i="3"/>
  <c r="K401" i="3"/>
  <c r="K400" i="3"/>
  <c r="K399" i="3"/>
  <c r="K398" i="3"/>
  <c r="K397" i="3"/>
  <c r="K396" i="3"/>
  <c r="K395" i="3"/>
  <c r="K394" i="3"/>
  <c r="K393" i="3"/>
  <c r="K392" i="3"/>
  <c r="K391" i="3"/>
  <c r="K390" i="3"/>
  <c r="K389" i="3"/>
  <c r="K388" i="3"/>
  <c r="K387" i="3"/>
  <c r="K386" i="3"/>
  <c r="K385" i="3"/>
  <c r="K384" i="3"/>
  <c r="K383" i="3"/>
  <c r="K382" i="3"/>
  <c r="K381" i="3"/>
  <c r="K380" i="3"/>
  <c r="K379" i="3"/>
  <c r="K378" i="3"/>
  <c r="K376" i="3"/>
  <c r="K375" i="3"/>
  <c r="K374" i="3"/>
  <c r="K373" i="3"/>
  <c r="K372" i="3"/>
  <c r="K371" i="3"/>
  <c r="K370" i="3"/>
  <c r="K369" i="3"/>
  <c r="K368" i="3"/>
  <c r="K367" i="3"/>
  <c r="K366" i="3"/>
  <c r="K365" i="3"/>
  <c r="K364" i="3"/>
  <c r="K363" i="3"/>
  <c r="K362" i="3"/>
  <c r="K361" i="3"/>
  <c r="K360" i="3"/>
  <c r="K359" i="3"/>
  <c r="K358" i="3"/>
  <c r="K357" i="3"/>
  <c r="K356" i="3"/>
  <c r="K355" i="3"/>
  <c r="K354" i="3"/>
  <c r="K353" i="3"/>
  <c r="K352" i="3"/>
  <c r="K351" i="3"/>
  <c r="K350" i="3"/>
  <c r="K349" i="3"/>
  <c r="K348" i="3"/>
  <c r="K347" i="3"/>
  <c r="K346" i="3"/>
  <c r="K345" i="3"/>
  <c r="K344" i="3"/>
  <c r="K343" i="3"/>
  <c r="K342" i="3"/>
  <c r="K341" i="3"/>
  <c r="K340" i="3"/>
  <c r="K339" i="3"/>
  <c r="K338" i="3"/>
  <c r="K337" i="3"/>
  <c r="K336" i="3"/>
  <c r="K335" i="3"/>
  <c r="K334" i="3"/>
  <c r="K333" i="3"/>
  <c r="K332" i="3"/>
  <c r="K331" i="3"/>
  <c r="K330" i="3"/>
  <c r="K329" i="3"/>
  <c r="K328" i="3"/>
  <c r="K327" i="3"/>
  <c r="K326" i="3"/>
  <c r="K325" i="3"/>
  <c r="K324" i="3"/>
  <c r="K323" i="3"/>
  <c r="K322" i="3"/>
  <c r="K321" i="3"/>
  <c r="K320" i="3"/>
  <c r="K319" i="3"/>
  <c r="K318" i="3"/>
  <c r="K317" i="3"/>
  <c r="K316" i="3"/>
  <c r="K315" i="3"/>
  <c r="K314" i="3"/>
  <c r="K313" i="3"/>
  <c r="K312" i="3"/>
  <c r="K311" i="3"/>
  <c r="K310" i="3"/>
  <c r="K309" i="3"/>
  <c r="K308" i="3"/>
  <c r="K307" i="3"/>
  <c r="K306" i="3"/>
  <c r="K305" i="3"/>
  <c r="K304" i="3"/>
  <c r="K303" i="3"/>
  <c r="K302" i="3"/>
  <c r="K301" i="3"/>
  <c r="K300" i="3"/>
  <c r="K299" i="3"/>
  <c r="K298" i="3"/>
  <c r="K297" i="3"/>
  <c r="K296" i="3"/>
  <c r="K295" i="3"/>
  <c r="K294" i="3"/>
  <c r="K293" i="3"/>
  <c r="K292" i="3"/>
  <c r="K291" i="3"/>
  <c r="K290" i="3"/>
  <c r="K289" i="3"/>
  <c r="K288" i="3"/>
  <c r="K287" i="3"/>
  <c r="K286" i="3"/>
  <c r="K283" i="3"/>
  <c r="K282" i="3"/>
  <c r="K281" i="3"/>
  <c r="K280" i="3"/>
  <c r="K279" i="3"/>
  <c r="K278" i="3"/>
  <c r="K277" i="3"/>
  <c r="K276" i="3"/>
  <c r="K275" i="3"/>
  <c r="K274" i="3"/>
  <c r="K273" i="3"/>
  <c r="K272" i="3"/>
  <c r="K271" i="3"/>
  <c r="T271" i="3" s="1"/>
  <c r="K270" i="3"/>
  <c r="K269" i="3"/>
  <c r="T270" i="3" s="1"/>
  <c r="K268" i="3"/>
  <c r="K267" i="3"/>
  <c r="K266" i="3"/>
  <c r="K265" i="3"/>
  <c r="K264" i="3"/>
  <c r="K263" i="3"/>
  <c r="K262" i="3"/>
  <c r="K261" i="3"/>
  <c r="K260" i="3"/>
  <c r="K259" i="3"/>
  <c r="K258" i="3"/>
  <c r="K257" i="3"/>
  <c r="K256" i="3"/>
  <c r="K255" i="3"/>
  <c r="K254" i="3"/>
  <c r="K253" i="3"/>
  <c r="K252" i="3"/>
  <c r="K251" i="3"/>
  <c r="K250" i="3"/>
  <c r="K249" i="3"/>
  <c r="K248" i="3"/>
  <c r="K247" i="3"/>
  <c r="T247" i="3" s="1"/>
  <c r="K246" i="3"/>
  <c r="K245" i="3"/>
  <c r="T246" i="3" s="1"/>
  <c r="K244" i="3"/>
  <c r="K243" i="3"/>
  <c r="K242" i="3"/>
  <c r="K241" i="3"/>
  <c r="K240" i="3"/>
  <c r="K239" i="3"/>
  <c r="K238" i="3"/>
  <c r="K237" i="3"/>
  <c r="K236" i="3"/>
  <c r="K235" i="3"/>
  <c r="K234" i="3"/>
  <c r="K233" i="3"/>
  <c r="K232" i="3"/>
  <c r="K231" i="3"/>
  <c r="K230" i="3"/>
  <c r="K229" i="3"/>
  <c r="K228" i="3"/>
  <c r="K227" i="3"/>
  <c r="K226" i="3"/>
  <c r="K225" i="3"/>
  <c r="K224" i="3"/>
  <c r="K223" i="3"/>
  <c r="T223" i="3" s="1"/>
  <c r="K222" i="3"/>
  <c r="K221" i="3"/>
  <c r="T222" i="3" s="1"/>
  <c r="K220" i="3"/>
  <c r="K219" i="3"/>
  <c r="K218" i="3"/>
  <c r="K217" i="3"/>
  <c r="K216" i="3"/>
  <c r="K215" i="3"/>
  <c r="K214" i="3"/>
  <c r="K213" i="3"/>
  <c r="K212" i="3"/>
  <c r="K211" i="3"/>
  <c r="K210" i="3"/>
  <c r="K209" i="3"/>
  <c r="K208" i="3"/>
  <c r="K207" i="3"/>
  <c r="K206" i="3"/>
  <c r="K205" i="3"/>
  <c r="K204" i="3"/>
  <c r="K203" i="3"/>
  <c r="K202" i="3"/>
  <c r="K201" i="3"/>
  <c r="K200" i="3"/>
  <c r="K199" i="3"/>
  <c r="T199" i="3" s="1"/>
  <c r="K198" i="3"/>
  <c r="K197" i="3"/>
  <c r="T198" i="3" s="1"/>
  <c r="K196" i="3"/>
  <c r="K195" i="3"/>
  <c r="K194" i="3"/>
  <c r="K193" i="3"/>
  <c r="K192" i="3"/>
  <c r="K191" i="3"/>
  <c r="K190" i="3"/>
  <c r="K189" i="3"/>
  <c r="K188" i="3"/>
  <c r="K187" i="3"/>
  <c r="K186" i="3"/>
  <c r="K184" i="3"/>
  <c r="K183" i="3"/>
  <c r="K182" i="3"/>
  <c r="K181" i="3"/>
  <c r="K180" i="3"/>
  <c r="K179" i="3"/>
  <c r="K178" i="3"/>
  <c r="K177" i="3"/>
  <c r="K176" i="3"/>
  <c r="K175" i="3"/>
  <c r="K174" i="3"/>
  <c r="T174" i="3" s="1"/>
  <c r="K173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3" i="3"/>
  <c r="K152" i="3"/>
  <c r="K151" i="3"/>
  <c r="K150" i="3"/>
  <c r="T150" i="3" s="1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T126" i="3" s="1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T78" i="3" s="1"/>
  <c r="K77" i="3"/>
  <c r="K76" i="3"/>
  <c r="T77" i="3" s="1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CC26" i="3"/>
  <c r="CC27" i="3"/>
  <c r="CC28" i="3"/>
  <c r="CC29" i="3"/>
  <c r="CC30" i="3"/>
  <c r="CC31" i="3"/>
  <c r="CC32" i="3"/>
  <c r="CC33" i="3"/>
  <c r="CC34" i="3"/>
  <c r="CC36" i="3"/>
  <c r="CC37" i="3"/>
  <c r="CC38" i="3"/>
  <c r="CC39" i="3"/>
  <c r="CC40" i="3"/>
  <c r="CC41" i="3"/>
  <c r="CC42" i="3"/>
  <c r="CC43" i="3"/>
  <c r="CC44" i="3"/>
  <c r="CC45" i="3"/>
  <c r="CC46" i="3"/>
  <c r="CC47" i="3"/>
  <c r="CC48" i="3"/>
  <c r="CC49" i="3"/>
  <c r="CC50" i="3"/>
  <c r="CC51" i="3"/>
  <c r="CC52" i="3"/>
  <c r="CC53" i="3"/>
  <c r="CC54" i="3"/>
  <c r="CC55" i="3"/>
  <c r="CC56" i="3"/>
  <c r="CC57" i="3"/>
  <c r="CC58" i="3"/>
  <c r="CC59" i="3"/>
  <c r="CC60" i="3"/>
  <c r="CC61" i="3"/>
  <c r="CC62" i="3"/>
  <c r="CC63" i="3"/>
  <c r="CC64" i="3"/>
  <c r="CC65" i="3"/>
  <c r="CC66" i="3"/>
  <c r="CC67" i="3"/>
  <c r="CC68" i="3"/>
  <c r="CC69" i="3"/>
  <c r="CC70" i="3"/>
  <c r="CC71" i="3"/>
  <c r="CC72" i="3"/>
  <c r="CC73" i="3"/>
  <c r="CC74" i="3"/>
  <c r="CC75" i="3"/>
  <c r="CC76" i="3"/>
  <c r="CC77" i="3"/>
  <c r="CC78" i="3"/>
  <c r="CC79" i="3"/>
  <c r="CC80" i="3"/>
  <c r="CC81" i="3"/>
  <c r="CC82" i="3"/>
  <c r="CC83" i="3"/>
  <c r="CC84" i="3"/>
  <c r="CC85" i="3"/>
  <c r="CC86" i="3"/>
  <c r="CC87" i="3"/>
  <c r="CC88" i="3"/>
  <c r="CC89" i="3"/>
  <c r="CC90" i="3"/>
  <c r="CC91" i="3"/>
  <c r="CC92" i="3"/>
  <c r="CC93" i="3"/>
  <c r="CC94" i="3"/>
  <c r="CC95" i="3"/>
  <c r="CC96" i="3"/>
  <c r="CC97" i="3"/>
  <c r="CC98" i="3"/>
  <c r="CC99" i="3"/>
  <c r="CC100" i="3"/>
  <c r="CC101" i="3"/>
  <c r="CC103" i="3"/>
  <c r="CC104" i="3"/>
  <c r="CC106" i="3"/>
  <c r="CC107" i="3"/>
  <c r="CC108" i="3"/>
  <c r="CC109" i="3"/>
  <c r="CC110" i="3"/>
  <c r="CC111" i="3"/>
  <c r="CC112" i="3"/>
  <c r="CC113" i="3"/>
  <c r="CC114" i="3"/>
  <c r="CC115" i="3"/>
  <c r="CC116" i="3"/>
  <c r="CC117" i="3"/>
  <c r="CC118" i="3"/>
  <c r="CC119" i="3"/>
  <c r="CC120" i="3"/>
  <c r="CC121" i="3"/>
  <c r="CC122" i="3"/>
  <c r="CC123" i="3"/>
  <c r="CC124" i="3"/>
  <c r="CC125" i="3"/>
  <c r="CC126" i="3"/>
  <c r="CC127" i="3"/>
  <c r="CC128" i="3"/>
  <c r="CC129" i="3"/>
  <c r="CC130" i="3"/>
  <c r="CC131" i="3"/>
  <c r="CC132" i="3"/>
  <c r="CC133" i="3"/>
  <c r="CC134" i="3"/>
  <c r="CC135" i="3"/>
  <c r="CC136" i="3"/>
  <c r="CC137" i="3"/>
  <c r="CC138" i="3"/>
  <c r="CC139" i="3"/>
  <c r="CC140" i="3"/>
  <c r="CC141" i="3"/>
  <c r="CC142" i="3"/>
  <c r="CC143" i="3"/>
  <c r="CC144" i="3"/>
  <c r="CC145" i="3"/>
  <c r="CC146" i="3"/>
  <c r="CC147" i="3"/>
  <c r="CC148" i="3"/>
  <c r="CC149" i="3"/>
  <c r="CC150" i="3"/>
  <c r="CC151" i="3"/>
  <c r="CC152" i="3"/>
  <c r="CC153" i="3"/>
  <c r="CC154" i="3"/>
  <c r="CC155" i="3"/>
  <c r="CC156" i="3"/>
  <c r="CC157" i="3"/>
  <c r="CC158" i="3"/>
  <c r="CC159" i="3"/>
  <c r="CC160" i="3"/>
  <c r="CC161" i="3"/>
  <c r="CC162" i="3"/>
  <c r="CC163" i="3"/>
  <c r="CC164" i="3"/>
  <c r="CC165" i="3"/>
  <c r="CC166" i="3"/>
  <c r="CC167" i="3"/>
  <c r="CC168" i="3"/>
  <c r="CC169" i="3"/>
  <c r="CC170" i="3"/>
  <c r="CC171" i="3"/>
  <c r="CC172" i="3"/>
  <c r="CC173" i="3"/>
  <c r="CC174" i="3"/>
  <c r="CC175" i="3"/>
  <c r="CC176" i="3"/>
  <c r="CC177" i="3"/>
  <c r="CC178" i="3"/>
  <c r="CC179" i="3"/>
  <c r="CC180" i="3"/>
  <c r="CC181" i="3"/>
  <c r="CC182" i="3"/>
  <c r="CC183" i="3"/>
  <c r="CC184" i="3"/>
  <c r="CC186" i="3"/>
  <c r="CC187" i="3"/>
  <c r="CC188" i="3"/>
  <c r="CC189" i="3"/>
  <c r="CC190" i="3"/>
  <c r="CC191" i="3"/>
  <c r="CC192" i="3"/>
  <c r="CC193" i="3"/>
  <c r="CC194" i="3"/>
  <c r="CC195" i="3"/>
  <c r="CC196" i="3"/>
  <c r="CC197" i="3"/>
  <c r="CC198" i="3"/>
  <c r="CC199" i="3"/>
  <c r="CC200" i="3"/>
  <c r="CC201" i="3"/>
  <c r="CC202" i="3"/>
  <c r="CC203" i="3"/>
  <c r="CC204" i="3"/>
  <c r="CC205" i="3"/>
  <c r="CC206" i="3"/>
  <c r="CC207" i="3"/>
  <c r="CC208" i="3"/>
  <c r="CC209" i="3"/>
  <c r="CC210" i="3"/>
  <c r="CC211" i="3"/>
  <c r="CC212" i="3"/>
  <c r="CC213" i="3"/>
  <c r="CC214" i="3"/>
  <c r="CC215" i="3"/>
  <c r="CC216" i="3"/>
  <c r="CC217" i="3"/>
  <c r="CC218" i="3"/>
  <c r="CC219" i="3"/>
  <c r="CC220" i="3"/>
  <c r="CC221" i="3"/>
  <c r="CC222" i="3"/>
  <c r="CC223" i="3"/>
  <c r="CC224" i="3"/>
  <c r="CC225" i="3"/>
  <c r="CC226" i="3"/>
  <c r="CC227" i="3"/>
  <c r="CC228" i="3"/>
  <c r="CC229" i="3"/>
  <c r="CC230" i="3"/>
  <c r="CC231" i="3"/>
  <c r="CC232" i="3"/>
  <c r="CC233" i="3"/>
  <c r="CC234" i="3"/>
  <c r="CC235" i="3"/>
  <c r="CC236" i="3"/>
  <c r="CC237" i="3"/>
  <c r="CC238" i="3"/>
  <c r="CC239" i="3"/>
  <c r="CC240" i="3"/>
  <c r="CC241" i="3"/>
  <c r="CC242" i="3"/>
  <c r="CC243" i="3"/>
  <c r="CC244" i="3"/>
  <c r="CC245" i="3"/>
  <c r="CC246" i="3"/>
  <c r="CC247" i="3"/>
  <c r="CC248" i="3"/>
  <c r="CC249" i="3"/>
  <c r="CC250" i="3"/>
  <c r="CC251" i="3"/>
  <c r="CC252" i="3"/>
  <c r="CC253" i="3"/>
  <c r="CC254" i="3"/>
  <c r="CC255" i="3"/>
  <c r="CC256" i="3"/>
  <c r="CC257" i="3"/>
  <c r="CC258" i="3"/>
  <c r="CC259" i="3"/>
  <c r="CC260" i="3"/>
  <c r="CC261" i="3"/>
  <c r="CC262" i="3"/>
  <c r="CC263" i="3"/>
  <c r="CC264" i="3"/>
  <c r="CC265" i="3"/>
  <c r="CC266" i="3"/>
  <c r="CC267" i="3"/>
  <c r="CC268" i="3"/>
  <c r="CC269" i="3"/>
  <c r="CC270" i="3"/>
  <c r="CC271" i="3"/>
  <c r="CC272" i="3"/>
  <c r="CC273" i="3"/>
  <c r="CC274" i="3"/>
  <c r="CC275" i="3"/>
  <c r="CC276" i="3"/>
  <c r="CC277" i="3"/>
  <c r="CC278" i="3"/>
  <c r="CC279" i="3"/>
  <c r="CC280" i="3"/>
  <c r="CC281" i="3"/>
  <c r="CC282" i="3"/>
  <c r="CC283" i="3"/>
  <c r="CC284" i="3"/>
  <c r="CC286" i="3"/>
  <c r="CC287" i="3"/>
  <c r="CC288" i="3"/>
  <c r="CC289" i="3"/>
  <c r="CC290" i="3"/>
  <c r="CC291" i="3"/>
  <c r="CC292" i="3"/>
  <c r="CC293" i="3"/>
  <c r="CC294" i="3"/>
  <c r="CC295" i="3"/>
  <c r="CC296" i="3"/>
  <c r="CC297" i="3"/>
  <c r="CC298" i="3"/>
  <c r="CC299" i="3"/>
  <c r="CC300" i="3"/>
  <c r="CC301" i="3"/>
  <c r="CC302" i="3"/>
  <c r="CC303" i="3"/>
  <c r="CC304" i="3"/>
  <c r="CC305" i="3"/>
  <c r="CC306" i="3"/>
  <c r="CC307" i="3"/>
  <c r="CC308" i="3"/>
  <c r="CC309" i="3"/>
  <c r="CC310" i="3"/>
  <c r="CC311" i="3"/>
  <c r="CC312" i="3"/>
  <c r="CC313" i="3"/>
  <c r="CC314" i="3"/>
  <c r="CC315" i="3"/>
  <c r="CC316" i="3"/>
  <c r="CC317" i="3"/>
  <c r="CC318" i="3"/>
  <c r="CC319" i="3"/>
  <c r="CC320" i="3"/>
  <c r="CC321" i="3"/>
  <c r="CC322" i="3"/>
  <c r="CC323" i="3"/>
  <c r="CC324" i="3"/>
  <c r="CC325" i="3"/>
  <c r="CC326" i="3"/>
  <c r="CC327" i="3"/>
  <c r="CC328" i="3"/>
  <c r="CC329" i="3"/>
  <c r="CC330" i="3"/>
  <c r="CC331" i="3"/>
  <c r="CC332" i="3"/>
  <c r="CC333" i="3"/>
  <c r="CC334" i="3"/>
  <c r="CC335" i="3"/>
  <c r="CC336" i="3"/>
  <c r="CC337" i="3"/>
  <c r="CC338" i="3"/>
  <c r="CC339" i="3"/>
  <c r="CC340" i="3"/>
  <c r="CC341" i="3"/>
  <c r="CC342" i="3"/>
  <c r="CC343" i="3"/>
  <c r="CC344" i="3"/>
  <c r="CC345" i="3"/>
  <c r="CC346" i="3"/>
  <c r="CC347" i="3"/>
  <c r="CC348" i="3"/>
  <c r="CC349" i="3"/>
  <c r="CC350" i="3"/>
  <c r="CC351" i="3"/>
  <c r="CC352" i="3"/>
  <c r="CC353" i="3"/>
  <c r="CC354" i="3"/>
  <c r="CC355" i="3"/>
  <c r="CC356" i="3"/>
  <c r="CC357" i="3"/>
  <c r="CC358" i="3"/>
  <c r="CC359" i="3"/>
  <c r="CC360" i="3"/>
  <c r="CC361" i="3"/>
  <c r="CC362" i="3"/>
  <c r="CC363" i="3"/>
  <c r="CC364" i="3"/>
  <c r="CC365" i="3"/>
  <c r="CC366" i="3"/>
  <c r="CC367" i="3"/>
  <c r="CC368" i="3"/>
  <c r="CC369" i="3"/>
  <c r="CC370" i="3"/>
  <c r="CC371" i="3"/>
  <c r="CC372" i="3"/>
  <c r="CC373" i="3"/>
  <c r="CC374" i="3"/>
  <c r="CC375" i="3"/>
  <c r="CC376" i="3"/>
  <c r="CC378" i="3"/>
  <c r="CC379" i="3"/>
  <c r="CC380" i="3"/>
  <c r="CC381" i="3"/>
  <c r="CC382" i="3"/>
  <c r="CC383" i="3"/>
  <c r="CC384" i="3"/>
  <c r="CC385" i="3"/>
  <c r="CC386" i="3"/>
  <c r="CC387" i="3"/>
  <c r="CC388" i="3"/>
  <c r="CC389" i="3"/>
  <c r="CC390" i="3"/>
  <c r="CC391" i="3"/>
  <c r="CC392" i="3"/>
  <c r="CC393" i="3"/>
  <c r="CC394" i="3"/>
  <c r="CC395" i="3"/>
  <c r="CC396" i="3"/>
  <c r="CC397" i="3"/>
  <c r="CC398" i="3"/>
  <c r="CC399" i="3"/>
  <c r="CC400" i="3"/>
  <c r="CC401" i="3"/>
  <c r="CC402" i="3"/>
  <c r="CC403" i="3"/>
  <c r="CC404" i="3"/>
  <c r="CC405" i="3"/>
  <c r="CC406" i="3"/>
  <c r="CC407" i="3"/>
  <c r="CC408" i="3"/>
  <c r="CC409" i="3"/>
  <c r="CC410" i="3"/>
  <c r="CC411" i="3"/>
  <c r="CC412" i="3"/>
  <c r="CC413" i="3"/>
  <c r="CC414" i="3"/>
  <c r="CC415" i="3"/>
  <c r="CC416" i="3"/>
  <c r="CC417" i="3"/>
  <c r="CC418" i="3"/>
  <c r="CC419" i="3"/>
  <c r="CC420" i="3"/>
  <c r="CC421" i="3"/>
  <c r="CC422" i="3"/>
  <c r="CC423" i="3"/>
  <c r="CC424" i="3"/>
  <c r="CC425" i="3"/>
  <c r="CC426" i="3"/>
  <c r="CC427" i="3"/>
  <c r="CC428" i="3"/>
  <c r="CC429" i="3"/>
  <c r="CC430" i="3"/>
  <c r="CC431" i="3"/>
  <c r="CC432" i="3"/>
  <c r="CC433" i="3"/>
  <c r="CC434" i="3"/>
  <c r="CC435" i="3"/>
  <c r="CC436" i="3"/>
  <c r="CC437" i="3"/>
  <c r="CC438" i="3"/>
  <c r="CC439" i="3"/>
  <c r="CC440" i="3"/>
  <c r="CC441" i="3"/>
  <c r="CC442" i="3"/>
  <c r="CC443" i="3"/>
  <c r="CC444" i="3"/>
  <c r="CC445" i="3"/>
  <c r="CC446" i="3"/>
  <c r="CC447" i="3"/>
  <c r="CC448" i="3"/>
  <c r="CC449" i="3"/>
  <c r="CC450" i="3"/>
  <c r="CC451" i="3"/>
  <c r="CC452" i="3"/>
  <c r="CC453" i="3"/>
  <c r="CC454" i="3"/>
  <c r="CC455" i="3"/>
  <c r="CC456" i="3"/>
  <c r="CC457" i="3"/>
  <c r="CC458" i="3"/>
  <c r="CC459" i="3"/>
  <c r="CC460" i="3"/>
  <c r="CC461" i="3"/>
  <c r="CC462" i="3"/>
  <c r="CC463" i="3"/>
  <c r="CC464" i="3"/>
  <c r="CC465" i="3"/>
  <c r="CC466" i="3"/>
  <c r="CC467" i="3"/>
  <c r="CC468" i="3"/>
  <c r="CC469" i="3"/>
  <c r="CC470" i="3"/>
  <c r="CC471" i="3"/>
  <c r="CC472" i="3"/>
  <c r="CC473" i="3"/>
  <c r="CC474" i="3"/>
  <c r="CC475" i="3"/>
  <c r="CC476" i="3"/>
  <c r="CC477" i="3"/>
  <c r="CC478" i="3"/>
  <c r="CC479" i="3"/>
  <c r="CC480" i="3"/>
  <c r="CC481" i="3"/>
  <c r="CC482" i="3"/>
  <c r="CC483" i="3"/>
  <c r="CC484" i="3"/>
  <c r="CC485" i="3"/>
  <c r="CC486" i="3"/>
  <c r="CC487" i="3"/>
  <c r="CC488" i="3"/>
  <c r="CC489" i="3"/>
  <c r="CC490" i="3"/>
  <c r="CC491" i="3"/>
  <c r="CC492" i="3"/>
  <c r="CC493" i="3"/>
  <c r="CC494" i="3"/>
  <c r="CC495" i="3"/>
  <c r="CC496" i="3"/>
  <c r="CC497" i="3"/>
  <c r="CC498" i="3"/>
  <c r="CC499" i="3"/>
  <c r="CC500" i="3"/>
  <c r="CC501" i="3"/>
  <c r="CC502" i="3"/>
  <c r="CC503" i="3"/>
  <c r="CC504" i="3"/>
  <c r="CC505" i="3"/>
  <c r="CC506" i="3"/>
  <c r="CC507" i="3"/>
  <c r="CC508" i="3"/>
  <c r="CC509" i="3"/>
  <c r="CC510" i="3"/>
  <c r="CC511" i="3"/>
  <c r="CC512" i="3"/>
  <c r="CC513" i="3"/>
  <c r="CC514" i="3"/>
  <c r="CC515" i="3"/>
  <c r="CC516" i="3"/>
  <c r="CC517" i="3"/>
  <c r="CC518" i="3"/>
  <c r="CC519" i="3"/>
  <c r="CC520" i="3"/>
  <c r="CC521" i="3"/>
  <c r="CC522" i="3"/>
  <c r="CC523" i="3"/>
  <c r="CC524" i="3"/>
  <c r="CC525" i="3"/>
  <c r="CC526" i="3"/>
  <c r="CC528" i="3"/>
  <c r="CC529" i="3"/>
  <c r="CC530" i="3"/>
  <c r="CC531" i="3"/>
  <c r="CC532" i="3"/>
  <c r="CC533" i="3"/>
  <c r="CC538" i="3"/>
  <c r="CC539" i="3"/>
  <c r="CC540" i="3"/>
  <c r="CC541" i="3"/>
  <c r="CC542" i="3"/>
  <c r="CC543" i="3"/>
  <c r="CC544" i="3"/>
  <c r="CC545" i="3"/>
  <c r="CC546" i="3"/>
  <c r="CC547" i="3"/>
  <c r="CC548" i="3"/>
  <c r="CC549" i="3"/>
  <c r="CC550" i="3"/>
  <c r="CC551" i="3"/>
  <c r="CC552" i="3"/>
  <c r="CC553" i="3"/>
  <c r="CC555" i="3"/>
  <c r="CC556" i="3"/>
  <c r="CC557" i="3"/>
  <c r="CC558" i="3"/>
  <c r="CC559" i="3"/>
  <c r="CC560" i="3"/>
  <c r="CC562" i="3"/>
  <c r="CC563" i="3"/>
  <c r="CC564" i="3"/>
  <c r="CC565" i="3"/>
  <c r="CC566" i="3"/>
  <c r="CC567" i="3"/>
  <c r="CC568" i="3"/>
  <c r="CC569" i="3"/>
  <c r="CC570" i="3"/>
  <c r="CC571" i="3"/>
  <c r="CC572" i="3"/>
  <c r="CC573" i="3"/>
  <c r="CC574" i="3"/>
  <c r="CC575" i="3"/>
  <c r="CC576" i="3"/>
  <c r="CC577" i="3"/>
  <c r="CC578" i="3"/>
  <c r="CC580" i="3"/>
  <c r="CC581" i="3"/>
  <c r="CC582" i="3"/>
  <c r="CC583" i="3"/>
  <c r="CC584" i="3"/>
  <c r="CC585" i="3"/>
  <c r="CC586" i="3"/>
  <c r="CC587" i="3"/>
  <c r="CC588" i="3"/>
  <c r="CC589" i="3"/>
  <c r="CC590" i="3"/>
  <c r="CC591" i="3"/>
  <c r="CC592" i="3"/>
  <c r="CC593" i="3"/>
  <c r="CC594" i="3"/>
  <c r="CC595" i="3"/>
  <c r="CC596" i="3"/>
  <c r="CC597" i="3"/>
  <c r="CC598" i="3"/>
  <c r="CC599" i="3"/>
  <c r="CC600" i="3"/>
  <c r="CC601" i="3"/>
  <c r="CC602" i="3"/>
  <c r="CC603" i="3"/>
  <c r="CC604" i="3"/>
  <c r="CC605" i="3"/>
  <c r="CC606" i="3"/>
  <c r="CC607" i="3"/>
  <c r="CC608" i="3"/>
  <c r="CC609" i="3"/>
  <c r="CC610" i="3"/>
  <c r="CC611" i="3"/>
  <c r="CC612" i="3"/>
  <c r="CC613" i="3"/>
  <c r="CC614" i="3"/>
  <c r="CC615" i="3"/>
  <c r="CC616" i="3"/>
  <c r="CC617" i="3"/>
  <c r="CC618" i="3"/>
  <c r="CC619" i="3"/>
  <c r="CC620" i="3"/>
  <c r="CC621" i="3"/>
  <c r="CC622" i="3"/>
  <c r="CC623" i="3"/>
  <c r="CC624" i="3"/>
  <c r="CC625" i="3"/>
  <c r="CC626" i="3"/>
  <c r="CC627" i="3"/>
  <c r="CC628" i="3"/>
  <c r="CC629" i="3"/>
  <c r="CC630" i="3"/>
  <c r="CC631" i="3"/>
  <c r="CC632" i="3"/>
  <c r="CC633" i="3"/>
  <c r="CC634" i="3"/>
  <c r="CC635" i="3"/>
  <c r="CC636" i="3"/>
  <c r="CC637" i="3"/>
  <c r="CC638" i="3"/>
  <c r="CC639" i="3"/>
  <c r="CC640" i="3"/>
  <c r="CC641" i="3"/>
  <c r="CC642" i="3"/>
  <c r="CC643" i="3"/>
  <c r="CC644" i="3"/>
  <c r="CC645" i="3"/>
  <c r="CC646" i="3"/>
  <c r="CC647" i="3"/>
  <c r="CC648" i="3"/>
  <c r="CC649" i="3"/>
  <c r="CC650" i="3"/>
  <c r="CC651" i="3"/>
  <c r="CC652" i="3"/>
  <c r="CC653" i="3"/>
  <c r="CC654" i="3"/>
  <c r="CC655" i="3"/>
  <c r="CC656" i="3"/>
  <c r="CC657" i="3"/>
  <c r="CC658" i="3"/>
  <c r="CC659" i="3"/>
  <c r="CC660" i="3"/>
  <c r="CC9" i="3"/>
  <c r="CC11" i="3"/>
  <c r="CC12" i="3"/>
  <c r="CC13" i="3"/>
  <c r="CC15" i="3"/>
  <c r="CC16" i="3"/>
  <c r="CC17" i="3"/>
  <c r="CC18" i="3"/>
  <c r="CC19" i="3"/>
  <c r="CC20" i="3"/>
  <c r="CC21" i="3"/>
  <c r="CC22" i="3"/>
  <c r="CC24" i="3"/>
  <c r="CC25" i="3"/>
  <c r="CC8" i="3"/>
  <c r="J274" i="11"/>
  <c r="I274" i="11"/>
  <c r="H274" i="11"/>
  <c r="G274" i="11"/>
  <c r="J273" i="11"/>
  <c r="I273" i="11"/>
  <c r="H273" i="11"/>
  <c r="G273" i="11"/>
  <c r="J272" i="11"/>
  <c r="I272" i="11"/>
  <c r="H272" i="11"/>
  <c r="G272" i="11"/>
  <c r="J271" i="11"/>
  <c r="I271" i="11"/>
  <c r="H271" i="11"/>
  <c r="G271" i="11"/>
  <c r="J270" i="11"/>
  <c r="I270" i="11"/>
  <c r="H270" i="11"/>
  <c r="G270" i="11"/>
  <c r="J269" i="11"/>
  <c r="I269" i="11"/>
  <c r="H269" i="11"/>
  <c r="G269" i="11"/>
  <c r="J268" i="11"/>
  <c r="I268" i="11"/>
  <c r="H268" i="11"/>
  <c r="G268" i="11"/>
  <c r="J267" i="11"/>
  <c r="I267" i="11"/>
  <c r="H267" i="11"/>
  <c r="G267" i="11"/>
  <c r="J266" i="11"/>
  <c r="I266" i="11"/>
  <c r="H266" i="11"/>
  <c r="G266" i="11"/>
  <c r="J265" i="11"/>
  <c r="I265" i="11"/>
  <c r="H265" i="11"/>
  <c r="G265" i="11"/>
  <c r="J264" i="11"/>
  <c r="I264" i="11"/>
  <c r="H264" i="11"/>
  <c r="G264" i="11"/>
  <c r="J263" i="11"/>
  <c r="I263" i="11"/>
  <c r="H263" i="11"/>
  <c r="G263" i="11"/>
  <c r="J262" i="11"/>
  <c r="I262" i="11"/>
  <c r="H262" i="11"/>
  <c r="G262" i="11"/>
  <c r="J261" i="11"/>
  <c r="I261" i="11"/>
  <c r="H261" i="11"/>
  <c r="G261" i="11"/>
  <c r="J260" i="11"/>
  <c r="I260" i="11"/>
  <c r="H260" i="11"/>
  <c r="G260" i="11"/>
  <c r="J259" i="11"/>
  <c r="I259" i="11"/>
  <c r="H259" i="11"/>
  <c r="G259" i="11"/>
  <c r="J258" i="11"/>
  <c r="I258" i="11"/>
  <c r="H258" i="11"/>
  <c r="G258" i="11"/>
  <c r="I248" i="11"/>
  <c r="G248" i="11"/>
  <c r="I247" i="11"/>
  <c r="G247" i="11"/>
  <c r="I246" i="11"/>
  <c r="G246" i="11"/>
  <c r="J245" i="11"/>
  <c r="I245" i="11"/>
  <c r="H245" i="11"/>
  <c r="G245" i="11"/>
  <c r="J244" i="11"/>
  <c r="R244" i="11" s="1"/>
  <c r="I244" i="11"/>
  <c r="H244" i="11"/>
  <c r="G244" i="11"/>
  <c r="J243" i="11"/>
  <c r="I243" i="11"/>
  <c r="H243" i="11"/>
  <c r="G243" i="11"/>
  <c r="J242" i="11"/>
  <c r="I242" i="11"/>
  <c r="H242" i="11"/>
  <c r="G242" i="11"/>
  <c r="J241" i="11"/>
  <c r="I241" i="11"/>
  <c r="H241" i="11"/>
  <c r="G241" i="11"/>
  <c r="J240" i="11"/>
  <c r="I240" i="11"/>
  <c r="H240" i="11"/>
  <c r="G240" i="11"/>
  <c r="J239" i="11"/>
  <c r="I239" i="11"/>
  <c r="H239" i="11"/>
  <c r="G239" i="11"/>
  <c r="J238" i="11"/>
  <c r="R239" i="11" s="1"/>
  <c r="I238" i="11"/>
  <c r="H238" i="11"/>
  <c r="G238" i="11"/>
  <c r="J229" i="11"/>
  <c r="I229" i="11"/>
  <c r="H229" i="11"/>
  <c r="G229" i="11"/>
  <c r="J228" i="11"/>
  <c r="I228" i="11"/>
  <c r="H228" i="11"/>
  <c r="G228" i="11"/>
  <c r="J227" i="11"/>
  <c r="I227" i="11"/>
  <c r="H227" i="11"/>
  <c r="G227" i="11"/>
  <c r="J226" i="11"/>
  <c r="I226" i="11"/>
  <c r="H226" i="11"/>
  <c r="G226" i="11"/>
  <c r="J225" i="11"/>
  <c r="I225" i="11"/>
  <c r="H225" i="11"/>
  <c r="G225" i="11"/>
  <c r="J224" i="11"/>
  <c r="R225" i="11" s="1"/>
  <c r="I224" i="11"/>
  <c r="H224" i="11"/>
  <c r="G224" i="11"/>
  <c r="J223" i="11"/>
  <c r="I223" i="11"/>
  <c r="H223" i="11"/>
  <c r="G223" i="11"/>
  <c r="J222" i="11"/>
  <c r="I222" i="11"/>
  <c r="H222" i="11"/>
  <c r="G222" i="11"/>
  <c r="J221" i="11"/>
  <c r="I221" i="11"/>
  <c r="H221" i="11"/>
  <c r="G221" i="11"/>
  <c r="J220" i="11"/>
  <c r="I220" i="11"/>
  <c r="H220" i="11"/>
  <c r="G220" i="11"/>
  <c r="J219" i="11"/>
  <c r="I219" i="11"/>
  <c r="H219" i="11"/>
  <c r="G219" i="11"/>
  <c r="J218" i="11"/>
  <c r="R219" i="11" s="1"/>
  <c r="I218" i="11"/>
  <c r="H218" i="11"/>
  <c r="G218" i="11"/>
  <c r="J217" i="11"/>
  <c r="I217" i="11"/>
  <c r="H217" i="11"/>
  <c r="G217" i="11"/>
  <c r="J216" i="11"/>
  <c r="I216" i="11"/>
  <c r="H216" i="11"/>
  <c r="G216" i="11"/>
  <c r="J215" i="11"/>
  <c r="I215" i="11"/>
  <c r="H215" i="11"/>
  <c r="G215" i="11"/>
  <c r="J214" i="11"/>
  <c r="I214" i="11"/>
  <c r="H214" i="11"/>
  <c r="G214" i="11"/>
  <c r="J213" i="11"/>
  <c r="I213" i="11"/>
  <c r="H213" i="11"/>
  <c r="G213" i="11"/>
  <c r="J212" i="11"/>
  <c r="R213" i="11" s="1"/>
  <c r="I212" i="11"/>
  <c r="H212" i="11"/>
  <c r="G212" i="11"/>
  <c r="J211" i="11"/>
  <c r="I211" i="11"/>
  <c r="H211" i="11"/>
  <c r="G211" i="11"/>
  <c r="J210" i="11"/>
  <c r="I210" i="11"/>
  <c r="H210" i="11"/>
  <c r="G210" i="11"/>
  <c r="J209" i="11"/>
  <c r="I209" i="11"/>
  <c r="H209" i="11"/>
  <c r="G209" i="11"/>
  <c r="J208" i="11"/>
  <c r="I208" i="11"/>
  <c r="H208" i="11"/>
  <c r="G208" i="11"/>
  <c r="J207" i="11"/>
  <c r="I207" i="11"/>
  <c r="H207" i="11"/>
  <c r="G207" i="11"/>
  <c r="J206" i="11"/>
  <c r="I206" i="11"/>
  <c r="H206" i="11"/>
  <c r="G206" i="11"/>
  <c r="J205" i="11"/>
  <c r="R205" i="11" s="1"/>
  <c r="I205" i="11"/>
  <c r="H205" i="11"/>
  <c r="G205" i="11"/>
  <c r="J204" i="11"/>
  <c r="I204" i="11"/>
  <c r="H204" i="11"/>
  <c r="G204" i="11"/>
  <c r="J203" i="11"/>
  <c r="I203" i="11"/>
  <c r="H203" i="11"/>
  <c r="G203" i="11"/>
  <c r="J202" i="11"/>
  <c r="I202" i="11"/>
  <c r="H202" i="11"/>
  <c r="G202" i="11"/>
  <c r="J201" i="11"/>
  <c r="I201" i="11"/>
  <c r="H201" i="11"/>
  <c r="G201" i="11"/>
  <c r="J200" i="11"/>
  <c r="R201" i="11" s="1"/>
  <c r="I200" i="11"/>
  <c r="H200" i="11"/>
  <c r="G200" i="11"/>
  <c r="J199" i="11"/>
  <c r="I199" i="11"/>
  <c r="H199" i="11"/>
  <c r="G199" i="11"/>
  <c r="J198" i="11"/>
  <c r="I198" i="11"/>
  <c r="H198" i="11"/>
  <c r="G198" i="11"/>
  <c r="J197" i="11"/>
  <c r="I197" i="11"/>
  <c r="H197" i="11"/>
  <c r="G197" i="11"/>
  <c r="J196" i="11"/>
  <c r="I196" i="11"/>
  <c r="H196" i="11"/>
  <c r="G196" i="11"/>
  <c r="J195" i="11"/>
  <c r="I195" i="11"/>
  <c r="H195" i="11"/>
  <c r="G195" i="11"/>
  <c r="J194" i="11"/>
  <c r="R195" i="11" s="1"/>
  <c r="I194" i="11"/>
  <c r="H194" i="11"/>
  <c r="G194" i="11"/>
  <c r="J193" i="11"/>
  <c r="I193" i="11"/>
  <c r="H193" i="11"/>
  <c r="G193" i="11"/>
  <c r="J192" i="11"/>
  <c r="I192" i="11"/>
  <c r="H192" i="11"/>
  <c r="G192" i="11"/>
  <c r="J191" i="11"/>
  <c r="I191" i="11"/>
  <c r="H191" i="11"/>
  <c r="G191" i="11"/>
  <c r="J190" i="11"/>
  <c r="I190" i="11"/>
  <c r="H190" i="11"/>
  <c r="G190" i="11"/>
  <c r="J189" i="11"/>
  <c r="I189" i="11"/>
  <c r="H189" i="11"/>
  <c r="G189" i="11"/>
  <c r="J188" i="11"/>
  <c r="I188" i="11"/>
  <c r="H188" i="11"/>
  <c r="G188" i="11"/>
  <c r="J187" i="11"/>
  <c r="I187" i="11"/>
  <c r="H187" i="11"/>
  <c r="G187" i="11"/>
  <c r="J186" i="11"/>
  <c r="I186" i="11"/>
  <c r="H186" i="11"/>
  <c r="G186" i="11"/>
  <c r="J185" i="11"/>
  <c r="I185" i="11"/>
  <c r="H185" i="11"/>
  <c r="G185" i="11"/>
  <c r="J184" i="11"/>
  <c r="I184" i="11"/>
  <c r="H184" i="11"/>
  <c r="G184" i="11"/>
  <c r="I183" i="11"/>
  <c r="G183" i="11"/>
  <c r="I182" i="11"/>
  <c r="G182" i="11"/>
  <c r="I181" i="11"/>
  <c r="G181" i="11"/>
  <c r="I180" i="11"/>
  <c r="G180" i="11"/>
  <c r="I179" i="11"/>
  <c r="G179" i="11"/>
  <c r="I178" i="11"/>
  <c r="G178" i="11"/>
  <c r="I177" i="11"/>
  <c r="G177" i="11"/>
  <c r="I176" i="11"/>
  <c r="G176" i="11"/>
  <c r="J175" i="11"/>
  <c r="I175" i="11"/>
  <c r="H175" i="11"/>
  <c r="G175" i="11"/>
  <c r="J174" i="11"/>
  <c r="I174" i="11"/>
  <c r="H174" i="11"/>
  <c r="G174" i="11"/>
  <c r="J173" i="11"/>
  <c r="I173" i="11"/>
  <c r="H173" i="11"/>
  <c r="G173" i="11"/>
  <c r="J172" i="11"/>
  <c r="R172" i="11" s="1"/>
  <c r="I172" i="11"/>
  <c r="H172" i="11"/>
  <c r="G172" i="11"/>
  <c r="J171" i="11"/>
  <c r="I171" i="11"/>
  <c r="H171" i="11"/>
  <c r="G171" i="11"/>
  <c r="J170" i="11"/>
  <c r="I170" i="11"/>
  <c r="H170" i="11"/>
  <c r="G170" i="11"/>
  <c r="J169" i="11"/>
  <c r="I169" i="11"/>
  <c r="H169" i="11"/>
  <c r="G169" i="11"/>
  <c r="J168" i="11"/>
  <c r="I168" i="11"/>
  <c r="H168" i="11"/>
  <c r="G168" i="11"/>
  <c r="J167" i="11"/>
  <c r="I167" i="11"/>
  <c r="H167" i="11"/>
  <c r="G167" i="11"/>
  <c r="J166" i="11"/>
  <c r="I166" i="11"/>
  <c r="H166" i="11"/>
  <c r="G166" i="11"/>
  <c r="J165" i="11"/>
  <c r="I165" i="11"/>
  <c r="H165" i="11"/>
  <c r="G165" i="11"/>
  <c r="J164" i="11"/>
  <c r="I164" i="11"/>
  <c r="H164" i="11"/>
  <c r="G164" i="11"/>
  <c r="J163" i="11"/>
  <c r="I163" i="11"/>
  <c r="H163" i="11"/>
  <c r="G163" i="11"/>
  <c r="J162" i="11"/>
  <c r="I162" i="11"/>
  <c r="H162" i="11"/>
  <c r="G162" i="11"/>
  <c r="J161" i="11"/>
  <c r="I161" i="11"/>
  <c r="H161" i="11"/>
  <c r="G161" i="11"/>
  <c r="J160" i="11"/>
  <c r="R160" i="11" s="1"/>
  <c r="I160" i="11"/>
  <c r="H160" i="11"/>
  <c r="G160" i="11"/>
  <c r="J159" i="11"/>
  <c r="I159" i="11"/>
  <c r="H159" i="11"/>
  <c r="G159" i="11"/>
  <c r="J158" i="11"/>
  <c r="I158" i="11"/>
  <c r="H158" i="11"/>
  <c r="G158" i="11"/>
  <c r="J157" i="11"/>
  <c r="R157" i="11" s="1"/>
  <c r="I157" i="11"/>
  <c r="H157" i="11"/>
  <c r="G157" i="11"/>
  <c r="J156" i="11"/>
  <c r="I156" i="11"/>
  <c r="H156" i="11"/>
  <c r="G156" i="11"/>
  <c r="J155" i="11"/>
  <c r="I155" i="11"/>
  <c r="H155" i="11"/>
  <c r="G155" i="11"/>
  <c r="J154" i="11"/>
  <c r="R154" i="11" s="1"/>
  <c r="I154" i="11"/>
  <c r="H154" i="11"/>
  <c r="G154" i="11"/>
  <c r="J153" i="11"/>
  <c r="I153" i="11"/>
  <c r="H153" i="11"/>
  <c r="G153" i="11"/>
  <c r="J152" i="11"/>
  <c r="I152" i="11"/>
  <c r="H152" i="11"/>
  <c r="G152" i="11"/>
  <c r="J151" i="11"/>
  <c r="R152" i="11" s="1"/>
  <c r="I151" i="11"/>
  <c r="H151" i="11"/>
  <c r="G151" i="11"/>
  <c r="J150" i="11"/>
  <c r="I150" i="11"/>
  <c r="H150" i="11"/>
  <c r="G150" i="11"/>
  <c r="J149" i="11"/>
  <c r="I149" i="11"/>
  <c r="H149" i="11"/>
  <c r="G149" i="11"/>
  <c r="J148" i="11"/>
  <c r="R148" i="11" s="1"/>
  <c r="I148" i="11"/>
  <c r="H148" i="11"/>
  <c r="G148" i="11"/>
  <c r="J147" i="11"/>
  <c r="I147" i="11"/>
  <c r="H147" i="11"/>
  <c r="G147" i="11"/>
  <c r="J146" i="11"/>
  <c r="I146" i="11"/>
  <c r="H146" i="11"/>
  <c r="G146" i="11"/>
  <c r="J145" i="11"/>
  <c r="I145" i="11"/>
  <c r="H145" i="11"/>
  <c r="G145" i="11"/>
  <c r="J144" i="11"/>
  <c r="I144" i="11"/>
  <c r="H144" i="11"/>
  <c r="G144" i="11"/>
  <c r="J143" i="11"/>
  <c r="I143" i="11"/>
  <c r="H143" i="11"/>
  <c r="G143" i="11"/>
  <c r="J142" i="11"/>
  <c r="R142" i="11" s="1"/>
  <c r="I142" i="11"/>
  <c r="H142" i="11"/>
  <c r="G142" i="11"/>
  <c r="J141" i="11"/>
  <c r="I141" i="11"/>
  <c r="H141" i="11"/>
  <c r="G141" i="11"/>
  <c r="J140" i="11"/>
  <c r="I140" i="11"/>
  <c r="H140" i="11"/>
  <c r="G140" i="11"/>
  <c r="J139" i="11"/>
  <c r="I139" i="11"/>
  <c r="H139" i="11"/>
  <c r="G139" i="11"/>
  <c r="J138" i="11"/>
  <c r="I138" i="11"/>
  <c r="H138" i="11"/>
  <c r="G138" i="11"/>
  <c r="J137" i="11"/>
  <c r="I137" i="11"/>
  <c r="H137" i="11"/>
  <c r="G137" i="11"/>
  <c r="J136" i="11"/>
  <c r="R136" i="11" s="1"/>
  <c r="I136" i="11"/>
  <c r="H136" i="11"/>
  <c r="G136" i="11"/>
  <c r="J135" i="11"/>
  <c r="I135" i="11"/>
  <c r="H135" i="11"/>
  <c r="G135" i="11"/>
  <c r="J134" i="11"/>
  <c r="I134" i="11"/>
  <c r="H134" i="11"/>
  <c r="G134" i="11"/>
  <c r="J133" i="11"/>
  <c r="I133" i="11"/>
  <c r="H133" i="11"/>
  <c r="G133" i="11"/>
  <c r="J132" i="11"/>
  <c r="I132" i="11"/>
  <c r="H132" i="11"/>
  <c r="G132" i="11"/>
  <c r="J131" i="11"/>
  <c r="I131" i="11"/>
  <c r="H131" i="11"/>
  <c r="G131" i="11"/>
  <c r="J130" i="11"/>
  <c r="R130" i="11" s="1"/>
  <c r="I130" i="11"/>
  <c r="H130" i="11"/>
  <c r="G130" i="11"/>
  <c r="J129" i="11"/>
  <c r="I129" i="11"/>
  <c r="H129" i="11"/>
  <c r="G129" i="11"/>
  <c r="J128" i="11"/>
  <c r="I128" i="11"/>
  <c r="H128" i="11"/>
  <c r="G128" i="11"/>
  <c r="I127" i="11"/>
  <c r="G127" i="11"/>
  <c r="I126" i="11"/>
  <c r="G126" i="11"/>
  <c r="J117" i="11"/>
  <c r="I117" i="11"/>
  <c r="H117" i="11"/>
  <c r="G117" i="11"/>
  <c r="J116" i="11"/>
  <c r="I116" i="11"/>
  <c r="H116" i="11"/>
  <c r="G116" i="11"/>
  <c r="J115" i="11"/>
  <c r="R116" i="11" s="1"/>
  <c r="I115" i="11"/>
  <c r="H115" i="11"/>
  <c r="G115" i="11"/>
  <c r="J114" i="11"/>
  <c r="I114" i="11"/>
  <c r="H114" i="11"/>
  <c r="G114" i="11"/>
  <c r="J113" i="11"/>
  <c r="I113" i="11"/>
  <c r="H113" i="11"/>
  <c r="G113" i="11"/>
  <c r="J112" i="11"/>
  <c r="I112" i="11"/>
  <c r="H112" i="11"/>
  <c r="G112" i="11"/>
  <c r="J111" i="11"/>
  <c r="I111" i="11"/>
  <c r="H111" i="11"/>
  <c r="G111" i="11"/>
  <c r="J110" i="11"/>
  <c r="I110" i="11"/>
  <c r="H110" i="11"/>
  <c r="G110" i="11"/>
  <c r="J109" i="11"/>
  <c r="R110" i="11" s="1"/>
  <c r="I109" i="11"/>
  <c r="H109" i="11"/>
  <c r="G109" i="11"/>
  <c r="I99" i="11"/>
  <c r="G99" i="11"/>
  <c r="I98" i="11"/>
  <c r="G98" i="11"/>
  <c r="I97" i="11"/>
  <c r="G97" i="11"/>
  <c r="J96" i="11"/>
  <c r="I96" i="11"/>
  <c r="H96" i="11"/>
  <c r="G96" i="11"/>
  <c r="J95" i="11"/>
  <c r="I95" i="11"/>
  <c r="H95" i="11"/>
  <c r="G95" i="11"/>
  <c r="I94" i="11"/>
  <c r="G94" i="11"/>
  <c r="I93" i="11"/>
  <c r="G93" i="11"/>
  <c r="I92" i="11"/>
  <c r="G92" i="11"/>
  <c r="I91" i="11"/>
  <c r="G91" i="11"/>
  <c r="J86" i="11"/>
  <c r="I86" i="11"/>
  <c r="H86" i="11"/>
  <c r="G86" i="11"/>
  <c r="J85" i="11"/>
  <c r="I85" i="11"/>
  <c r="H85" i="11"/>
  <c r="G85" i="11"/>
  <c r="J84" i="11"/>
  <c r="I84" i="11"/>
  <c r="H84" i="11"/>
  <c r="G84" i="11"/>
  <c r="J83" i="11"/>
  <c r="I83" i="11"/>
  <c r="H83" i="11"/>
  <c r="G83" i="11"/>
  <c r="J82" i="11"/>
  <c r="I82" i="11"/>
  <c r="H82" i="11"/>
  <c r="G82" i="11"/>
  <c r="J81" i="11"/>
  <c r="I81" i="11"/>
  <c r="H81" i="11"/>
  <c r="P81" i="11" s="1"/>
  <c r="G81" i="11"/>
  <c r="J80" i="11"/>
  <c r="I80" i="11"/>
  <c r="H80" i="11"/>
  <c r="G80" i="11"/>
  <c r="J79" i="11"/>
  <c r="I79" i="11"/>
  <c r="H79" i="11"/>
  <c r="G79" i="11"/>
  <c r="J78" i="11"/>
  <c r="I78" i="11"/>
  <c r="H78" i="11"/>
  <c r="G78" i="11"/>
  <c r="J77" i="11"/>
  <c r="I77" i="11"/>
  <c r="H77" i="11"/>
  <c r="G77" i="11"/>
  <c r="J76" i="11"/>
  <c r="I76" i="11"/>
  <c r="H76" i="11"/>
  <c r="G76" i="11"/>
  <c r="J75" i="11"/>
  <c r="I75" i="11"/>
  <c r="H75" i="11"/>
  <c r="G75" i="11"/>
  <c r="J69" i="11"/>
  <c r="I69" i="11"/>
  <c r="H69" i="11"/>
  <c r="G69" i="11"/>
  <c r="J68" i="11"/>
  <c r="I68" i="11"/>
  <c r="H68" i="11"/>
  <c r="G68" i="11"/>
  <c r="J67" i="11"/>
  <c r="I67" i="11"/>
  <c r="H67" i="11"/>
  <c r="G67" i="11"/>
  <c r="J66" i="11"/>
  <c r="I66" i="11"/>
  <c r="H66" i="11"/>
  <c r="G66" i="11"/>
  <c r="J65" i="11"/>
  <c r="I65" i="11"/>
  <c r="H65" i="11"/>
  <c r="G65" i="11"/>
  <c r="J64" i="11"/>
  <c r="I64" i="11"/>
  <c r="H64" i="11"/>
  <c r="G64" i="11"/>
  <c r="J63" i="11"/>
  <c r="I63" i="11"/>
  <c r="H63" i="11"/>
  <c r="G63" i="11"/>
  <c r="J62" i="11"/>
  <c r="I62" i="11"/>
  <c r="H62" i="11"/>
  <c r="G62" i="11"/>
  <c r="J61" i="11"/>
  <c r="I61" i="11"/>
  <c r="H61" i="11"/>
  <c r="G61" i="11"/>
  <c r="J60" i="11"/>
  <c r="I60" i="11"/>
  <c r="H60" i="11"/>
  <c r="G60" i="11"/>
  <c r="J59" i="11"/>
  <c r="I59" i="11"/>
  <c r="H59" i="11"/>
  <c r="G59" i="11"/>
  <c r="J58" i="11"/>
  <c r="I58" i="11"/>
  <c r="H58" i="11"/>
  <c r="G58" i="11"/>
  <c r="J57" i="11"/>
  <c r="I57" i="11"/>
  <c r="H57" i="11"/>
  <c r="G57" i="11"/>
  <c r="J45" i="11"/>
  <c r="I45" i="11"/>
  <c r="H45" i="11"/>
  <c r="G45" i="11"/>
  <c r="J44" i="11"/>
  <c r="I44" i="11"/>
  <c r="H44" i="11"/>
  <c r="G44" i="11"/>
  <c r="J43" i="11"/>
  <c r="I43" i="11"/>
  <c r="H43" i="11"/>
  <c r="G43" i="11"/>
  <c r="J42" i="11"/>
  <c r="I42" i="11"/>
  <c r="H42" i="11"/>
  <c r="G42" i="11"/>
  <c r="J41" i="11"/>
  <c r="I41" i="11"/>
  <c r="H41" i="11"/>
  <c r="G41" i="11"/>
  <c r="J40" i="11"/>
  <c r="I40" i="11"/>
  <c r="H40" i="11"/>
  <c r="G40" i="11"/>
  <c r="J39" i="11"/>
  <c r="I39" i="11"/>
  <c r="H39" i="11"/>
  <c r="G39" i="11"/>
  <c r="J30" i="11"/>
  <c r="I30" i="11"/>
  <c r="H30" i="11"/>
  <c r="G30" i="11"/>
  <c r="J29" i="11"/>
  <c r="I29" i="11"/>
  <c r="H29" i="11"/>
  <c r="G29" i="11"/>
  <c r="J28" i="11"/>
  <c r="I28" i="11"/>
  <c r="H28" i="11"/>
  <c r="G28" i="11"/>
  <c r="J27" i="11"/>
  <c r="I27" i="11"/>
  <c r="H27" i="11"/>
  <c r="G27" i="11"/>
  <c r="J26" i="11"/>
  <c r="I26" i="11"/>
  <c r="H26" i="11"/>
  <c r="G26" i="11"/>
  <c r="J25" i="11"/>
  <c r="I25" i="11"/>
  <c r="H25" i="11"/>
  <c r="G25" i="11"/>
  <c r="J24" i="11"/>
  <c r="I24" i="11"/>
  <c r="H24" i="11"/>
  <c r="G24" i="11"/>
  <c r="J23" i="11"/>
  <c r="I23" i="11"/>
  <c r="H23" i="11"/>
  <c r="G23" i="11"/>
  <c r="J22" i="11"/>
  <c r="I22" i="11"/>
  <c r="H22" i="11"/>
  <c r="G22" i="11"/>
  <c r="J21" i="11"/>
  <c r="I21" i="11"/>
  <c r="H21" i="11"/>
  <c r="G21" i="11"/>
  <c r="J20" i="11"/>
  <c r="I20" i="11"/>
  <c r="H20" i="11"/>
  <c r="G20" i="11"/>
  <c r="J19" i="11"/>
  <c r="I19" i="11"/>
  <c r="H19" i="11"/>
  <c r="G19" i="11"/>
  <c r="J18" i="11"/>
  <c r="I18" i="11"/>
  <c r="H18" i="11"/>
  <c r="G18" i="11"/>
  <c r="J17" i="11"/>
  <c r="I17" i="11"/>
  <c r="H17" i="11"/>
  <c r="G17" i="11"/>
  <c r="J16" i="11"/>
  <c r="I16" i="11"/>
  <c r="H16" i="11"/>
  <c r="G16" i="11"/>
  <c r="J15" i="11"/>
  <c r="I15" i="11"/>
  <c r="H15" i="11"/>
  <c r="G15" i="11"/>
  <c r="J14" i="11"/>
  <c r="I14" i="11"/>
  <c r="H14" i="11"/>
  <c r="G14" i="11"/>
  <c r="J13" i="11"/>
  <c r="I13" i="11"/>
  <c r="H13" i="11"/>
  <c r="G13" i="11"/>
  <c r="J12" i="11"/>
  <c r="I12" i="11"/>
  <c r="H12" i="11"/>
  <c r="G12" i="11"/>
  <c r="J11" i="11"/>
  <c r="I11" i="11"/>
  <c r="H11" i="11"/>
  <c r="G11" i="11"/>
  <c r="J10" i="11"/>
  <c r="I10" i="11"/>
  <c r="H10" i="11"/>
  <c r="G10" i="11"/>
  <c r="J9" i="11"/>
  <c r="I9" i="11"/>
  <c r="K248" i="10"/>
  <c r="J248" i="10"/>
  <c r="I248" i="10"/>
  <c r="H248" i="10"/>
  <c r="K247" i="10"/>
  <c r="J247" i="10"/>
  <c r="I247" i="10"/>
  <c r="H247" i="10"/>
  <c r="K246" i="10"/>
  <c r="J246" i="10"/>
  <c r="I246" i="10"/>
  <c r="H246" i="10"/>
  <c r="K245" i="10"/>
  <c r="J245" i="10"/>
  <c r="I245" i="10"/>
  <c r="H245" i="10"/>
  <c r="K244" i="10"/>
  <c r="J244" i="10"/>
  <c r="I244" i="10"/>
  <c r="H244" i="10"/>
  <c r="K243" i="10"/>
  <c r="J243" i="10"/>
  <c r="I243" i="10"/>
  <c r="H243" i="10"/>
  <c r="K242" i="10"/>
  <c r="J242" i="10"/>
  <c r="I242" i="10"/>
  <c r="H242" i="10"/>
  <c r="K241" i="10"/>
  <c r="J241" i="10"/>
  <c r="I241" i="10"/>
  <c r="H241" i="10"/>
  <c r="K240" i="10"/>
  <c r="J240" i="10"/>
  <c r="I240" i="10"/>
  <c r="H240" i="10"/>
  <c r="K239" i="10"/>
  <c r="J239" i="10"/>
  <c r="I239" i="10"/>
  <c r="H239" i="10"/>
  <c r="K238" i="10"/>
  <c r="J238" i="10"/>
  <c r="I238" i="10"/>
  <c r="H238" i="10"/>
  <c r="K237" i="10"/>
  <c r="J237" i="10"/>
  <c r="I237" i="10"/>
  <c r="H237" i="10"/>
  <c r="K236" i="10"/>
  <c r="J236" i="10"/>
  <c r="I236" i="10"/>
  <c r="H236" i="10"/>
  <c r="K235" i="10"/>
  <c r="J235" i="10"/>
  <c r="I235" i="10"/>
  <c r="H235" i="10"/>
  <c r="K234" i="10"/>
  <c r="J234" i="10"/>
  <c r="I234" i="10"/>
  <c r="H234" i="10"/>
  <c r="K233" i="10"/>
  <c r="J233" i="10"/>
  <c r="I233" i="10"/>
  <c r="H233" i="10"/>
  <c r="K232" i="10"/>
  <c r="J232" i="10"/>
  <c r="I232" i="10"/>
  <c r="H232" i="10"/>
  <c r="K231" i="10"/>
  <c r="J231" i="10"/>
  <c r="I231" i="10"/>
  <c r="H231" i="10"/>
  <c r="K230" i="10"/>
  <c r="J230" i="10"/>
  <c r="I230" i="10"/>
  <c r="H230" i="10"/>
  <c r="K229" i="10"/>
  <c r="J229" i="10"/>
  <c r="I229" i="10"/>
  <c r="H229" i="10"/>
  <c r="K228" i="10"/>
  <c r="J228" i="10"/>
  <c r="I228" i="10"/>
  <c r="H228" i="10"/>
  <c r="K227" i="10"/>
  <c r="J227" i="10"/>
  <c r="I227" i="10"/>
  <c r="H227" i="10"/>
  <c r="K226" i="10"/>
  <c r="J226" i="10"/>
  <c r="I226" i="10"/>
  <c r="H226" i="10"/>
  <c r="K225" i="10"/>
  <c r="J225" i="10"/>
  <c r="I225" i="10"/>
  <c r="H225" i="10"/>
  <c r="K224" i="10"/>
  <c r="J224" i="10"/>
  <c r="I224" i="10"/>
  <c r="H224" i="10"/>
  <c r="K223" i="10"/>
  <c r="J223" i="10"/>
  <c r="I223" i="10"/>
  <c r="H223" i="10"/>
  <c r="K219" i="10"/>
  <c r="J219" i="10"/>
  <c r="I219" i="10"/>
  <c r="H219" i="10"/>
  <c r="K218" i="10"/>
  <c r="J218" i="10"/>
  <c r="I218" i="10"/>
  <c r="H218" i="10"/>
  <c r="K217" i="10"/>
  <c r="J217" i="10"/>
  <c r="I217" i="10"/>
  <c r="H217" i="10"/>
  <c r="K216" i="10"/>
  <c r="J216" i="10"/>
  <c r="I216" i="10"/>
  <c r="H216" i="10"/>
  <c r="K213" i="10"/>
  <c r="J213" i="10"/>
  <c r="I213" i="10"/>
  <c r="H213" i="10"/>
  <c r="K212" i="10"/>
  <c r="J212" i="10"/>
  <c r="I212" i="10"/>
  <c r="H212" i="10"/>
  <c r="K211" i="10"/>
  <c r="J211" i="10"/>
  <c r="I211" i="10"/>
  <c r="H211" i="10"/>
  <c r="K210" i="10"/>
  <c r="J210" i="10"/>
  <c r="I210" i="10"/>
  <c r="H210" i="10"/>
  <c r="K209" i="10"/>
  <c r="J209" i="10"/>
  <c r="I209" i="10"/>
  <c r="H209" i="10"/>
  <c r="K208" i="10"/>
  <c r="J208" i="10"/>
  <c r="I208" i="10"/>
  <c r="H208" i="10"/>
  <c r="K207" i="10"/>
  <c r="J207" i="10"/>
  <c r="I207" i="10"/>
  <c r="H207" i="10"/>
  <c r="K206" i="10"/>
  <c r="J206" i="10"/>
  <c r="I206" i="10"/>
  <c r="H206" i="10"/>
  <c r="K205" i="10"/>
  <c r="J205" i="10"/>
  <c r="I205" i="10"/>
  <c r="H205" i="10"/>
  <c r="K204" i="10"/>
  <c r="J204" i="10"/>
  <c r="I204" i="10"/>
  <c r="H204" i="10"/>
  <c r="K203" i="10"/>
  <c r="J203" i="10"/>
  <c r="I203" i="10"/>
  <c r="H203" i="10"/>
  <c r="K202" i="10"/>
  <c r="J202" i="10"/>
  <c r="I202" i="10"/>
  <c r="H202" i="10"/>
  <c r="K201" i="10"/>
  <c r="J201" i="10"/>
  <c r="I201" i="10"/>
  <c r="H201" i="10"/>
  <c r="K200" i="10"/>
  <c r="J200" i="10"/>
  <c r="I200" i="10"/>
  <c r="H200" i="10"/>
  <c r="K199" i="10"/>
  <c r="J199" i="10"/>
  <c r="I199" i="10"/>
  <c r="H199" i="10"/>
  <c r="K198" i="10"/>
  <c r="J198" i="10"/>
  <c r="I198" i="10"/>
  <c r="H198" i="10"/>
  <c r="K197" i="10"/>
  <c r="J197" i="10"/>
  <c r="I197" i="10"/>
  <c r="H197" i="10"/>
  <c r="K196" i="10"/>
  <c r="J196" i="10"/>
  <c r="I196" i="10"/>
  <c r="H196" i="10"/>
  <c r="K195" i="10"/>
  <c r="J195" i="10"/>
  <c r="I195" i="10"/>
  <c r="H195" i="10"/>
  <c r="K194" i="10"/>
  <c r="J194" i="10"/>
  <c r="I194" i="10"/>
  <c r="H194" i="10"/>
  <c r="K193" i="10"/>
  <c r="J193" i="10"/>
  <c r="I193" i="10"/>
  <c r="H193" i="10"/>
  <c r="K192" i="10"/>
  <c r="J192" i="10"/>
  <c r="I192" i="10"/>
  <c r="H192" i="10"/>
  <c r="K191" i="10"/>
  <c r="J191" i="10"/>
  <c r="I191" i="10"/>
  <c r="H191" i="10"/>
  <c r="K190" i="10"/>
  <c r="J190" i="10"/>
  <c r="I190" i="10"/>
  <c r="H190" i="10"/>
  <c r="J189" i="10"/>
  <c r="H189" i="10"/>
  <c r="J188" i="10"/>
  <c r="H188" i="10"/>
  <c r="J187" i="10"/>
  <c r="H187" i="10"/>
  <c r="J186" i="10"/>
  <c r="H186" i="10"/>
  <c r="J185" i="10"/>
  <c r="H185" i="10"/>
  <c r="J184" i="10"/>
  <c r="H184" i="10"/>
  <c r="K179" i="10"/>
  <c r="J179" i="10"/>
  <c r="I179" i="10"/>
  <c r="H179" i="10"/>
  <c r="K178" i="10"/>
  <c r="J178" i="10"/>
  <c r="I178" i="10"/>
  <c r="H178" i="10"/>
  <c r="K177" i="10"/>
  <c r="J177" i="10"/>
  <c r="I177" i="10"/>
  <c r="H177" i="10"/>
  <c r="K176" i="10"/>
  <c r="J176" i="10"/>
  <c r="I176" i="10"/>
  <c r="H176" i="10"/>
  <c r="K175" i="10"/>
  <c r="J175" i="10"/>
  <c r="I175" i="10"/>
  <c r="H175" i="10"/>
  <c r="K174" i="10"/>
  <c r="J174" i="10"/>
  <c r="I174" i="10"/>
  <c r="H174" i="10"/>
  <c r="K173" i="10"/>
  <c r="J173" i="10"/>
  <c r="I173" i="10"/>
  <c r="H173" i="10"/>
  <c r="K172" i="10"/>
  <c r="J172" i="10"/>
  <c r="I172" i="10"/>
  <c r="H172" i="10"/>
  <c r="K171" i="10"/>
  <c r="J171" i="10"/>
  <c r="I171" i="10"/>
  <c r="H171" i="10"/>
  <c r="K170" i="10"/>
  <c r="J170" i="10"/>
  <c r="I170" i="10"/>
  <c r="H170" i="10"/>
  <c r="K169" i="10"/>
  <c r="J169" i="10"/>
  <c r="I169" i="10"/>
  <c r="H169" i="10"/>
  <c r="K168" i="10"/>
  <c r="J168" i="10"/>
  <c r="I168" i="10"/>
  <c r="H168" i="10"/>
  <c r="K167" i="10"/>
  <c r="J167" i="10"/>
  <c r="I167" i="10"/>
  <c r="H167" i="10"/>
  <c r="K166" i="10"/>
  <c r="J166" i="10"/>
  <c r="I166" i="10"/>
  <c r="H166" i="10"/>
  <c r="K165" i="10"/>
  <c r="J165" i="10"/>
  <c r="I165" i="10"/>
  <c r="H165" i="10"/>
  <c r="K164" i="10"/>
  <c r="J164" i="10"/>
  <c r="I164" i="10"/>
  <c r="H164" i="10"/>
  <c r="K163" i="10"/>
  <c r="J163" i="10"/>
  <c r="I163" i="10"/>
  <c r="H163" i="10"/>
  <c r="J162" i="10"/>
  <c r="H162" i="10"/>
  <c r="J161" i="10"/>
  <c r="H161" i="10"/>
  <c r="J160" i="10"/>
  <c r="H160" i="10"/>
  <c r="J159" i="10"/>
  <c r="J158" i="10"/>
  <c r="H158" i="10"/>
  <c r="J157" i="10"/>
  <c r="H157" i="10"/>
  <c r="J156" i="10"/>
  <c r="H156" i="10"/>
  <c r="J155" i="10"/>
  <c r="I155" i="10"/>
  <c r="H155" i="10"/>
  <c r="J154" i="10"/>
  <c r="H154" i="10"/>
  <c r="J153" i="10"/>
  <c r="H153" i="10"/>
  <c r="J152" i="10"/>
  <c r="H152" i="10"/>
  <c r="J151" i="10"/>
  <c r="H151" i="10"/>
  <c r="J150" i="10"/>
  <c r="H150" i="10"/>
  <c r="J149" i="10"/>
  <c r="H149" i="10"/>
  <c r="J148" i="10"/>
  <c r="H148" i="10"/>
  <c r="K147" i="10"/>
  <c r="J147" i="10"/>
  <c r="I147" i="10"/>
  <c r="H147" i="10"/>
  <c r="K139" i="10"/>
  <c r="J139" i="10"/>
  <c r="I139" i="10"/>
  <c r="H139" i="10"/>
  <c r="K138" i="10"/>
  <c r="J138" i="10"/>
  <c r="I138" i="10"/>
  <c r="H138" i="10"/>
  <c r="K137" i="10"/>
  <c r="J137" i="10"/>
  <c r="I137" i="10"/>
  <c r="H137" i="10"/>
  <c r="K136" i="10"/>
  <c r="J136" i="10"/>
  <c r="I136" i="10"/>
  <c r="H136" i="10"/>
  <c r="K135" i="10"/>
  <c r="J135" i="10"/>
  <c r="I135" i="10"/>
  <c r="H135" i="10"/>
  <c r="K134" i="10"/>
  <c r="J134" i="10"/>
  <c r="I134" i="10"/>
  <c r="H134" i="10"/>
  <c r="K133" i="10"/>
  <c r="J133" i="10"/>
  <c r="I133" i="10"/>
  <c r="H133" i="10"/>
  <c r="K132" i="10"/>
  <c r="J132" i="10"/>
  <c r="I132" i="10"/>
  <c r="H132" i="10"/>
  <c r="K131" i="10"/>
  <c r="J131" i="10"/>
  <c r="I131" i="10"/>
  <c r="H131" i="10"/>
  <c r="K130" i="10"/>
  <c r="J130" i="10"/>
  <c r="I130" i="10"/>
  <c r="H130" i="10"/>
  <c r="K129" i="10"/>
  <c r="J129" i="10"/>
  <c r="I129" i="10"/>
  <c r="H129" i="10"/>
  <c r="K128" i="10"/>
  <c r="J128" i="10"/>
  <c r="I128" i="10"/>
  <c r="H128" i="10"/>
  <c r="K127" i="10"/>
  <c r="J127" i="10"/>
  <c r="I127" i="10"/>
  <c r="H127" i="10"/>
  <c r="K126" i="10"/>
  <c r="J126" i="10"/>
  <c r="I126" i="10"/>
  <c r="H126" i="10"/>
  <c r="K125" i="10"/>
  <c r="J125" i="10"/>
  <c r="I125" i="10"/>
  <c r="H125" i="10"/>
  <c r="K124" i="10"/>
  <c r="J124" i="10"/>
  <c r="I124" i="10"/>
  <c r="H124" i="10"/>
  <c r="K123" i="10"/>
  <c r="J123" i="10"/>
  <c r="I123" i="10"/>
  <c r="H123" i="10"/>
  <c r="K122" i="10"/>
  <c r="J122" i="10"/>
  <c r="I122" i="10"/>
  <c r="H122" i="10"/>
  <c r="K121" i="10"/>
  <c r="J121" i="10"/>
  <c r="I121" i="10"/>
  <c r="H121" i="10"/>
  <c r="K120" i="10"/>
  <c r="J120" i="10"/>
  <c r="I120" i="10"/>
  <c r="H120" i="10"/>
  <c r="K119" i="10"/>
  <c r="J119" i="10"/>
  <c r="I119" i="10"/>
  <c r="H119" i="10"/>
  <c r="K118" i="10"/>
  <c r="J118" i="10"/>
  <c r="I118" i="10"/>
  <c r="H118" i="10"/>
  <c r="K111" i="10"/>
  <c r="J111" i="10"/>
  <c r="H111" i="10"/>
  <c r="J110" i="10"/>
  <c r="H110" i="10"/>
  <c r="J109" i="10"/>
  <c r="H109" i="10"/>
  <c r="J108" i="10"/>
  <c r="H108" i="10"/>
  <c r="J107" i="10"/>
  <c r="H107" i="10"/>
  <c r="J106" i="10"/>
  <c r="H106" i="10"/>
  <c r="J105" i="10"/>
  <c r="H105" i="10"/>
  <c r="J104" i="10"/>
  <c r="H104" i="10"/>
  <c r="J103" i="10"/>
  <c r="H103" i="10"/>
  <c r="J102" i="10"/>
  <c r="H102" i="10"/>
  <c r="J101" i="10"/>
  <c r="H101" i="10"/>
  <c r="J100" i="10"/>
  <c r="H100" i="10"/>
  <c r="J99" i="10"/>
  <c r="H99" i="10"/>
  <c r="J98" i="10"/>
  <c r="H98" i="10"/>
  <c r="J97" i="10"/>
  <c r="H97" i="10"/>
  <c r="J96" i="10"/>
  <c r="H96" i="10"/>
  <c r="J95" i="10"/>
  <c r="H95" i="10"/>
  <c r="J94" i="10"/>
  <c r="H94" i="10"/>
  <c r="J93" i="10"/>
  <c r="H93" i="10"/>
  <c r="J92" i="10"/>
  <c r="H92" i="10"/>
  <c r="J91" i="10"/>
  <c r="H91" i="10"/>
  <c r="J90" i="10"/>
  <c r="H90" i="10"/>
  <c r="J89" i="10"/>
  <c r="H89" i="10"/>
  <c r="J88" i="10"/>
  <c r="H88" i="10"/>
  <c r="J87" i="10"/>
  <c r="H87" i="10"/>
  <c r="J86" i="10"/>
  <c r="H86" i="10"/>
  <c r="J85" i="10"/>
  <c r="H85" i="10"/>
  <c r="K84" i="10"/>
  <c r="J84" i="10"/>
  <c r="I84" i="10"/>
  <c r="H84" i="10"/>
  <c r="K83" i="10"/>
  <c r="J83" i="10"/>
  <c r="I83" i="10"/>
  <c r="H83" i="10"/>
  <c r="J77" i="10"/>
  <c r="H77" i="10"/>
  <c r="J76" i="10"/>
  <c r="H76" i="10"/>
  <c r="J75" i="10"/>
  <c r="H75" i="10"/>
  <c r="J74" i="10"/>
  <c r="H74" i="10"/>
  <c r="J73" i="10"/>
  <c r="H73" i="10"/>
  <c r="J72" i="10"/>
  <c r="H72" i="10"/>
  <c r="J71" i="10"/>
  <c r="H71" i="10"/>
  <c r="J70" i="10"/>
  <c r="H70" i="10"/>
  <c r="J69" i="10"/>
  <c r="H69" i="10"/>
  <c r="K68" i="10"/>
  <c r="J68" i="10"/>
  <c r="I68" i="10"/>
  <c r="H68" i="10"/>
  <c r="K62" i="10"/>
  <c r="J62" i="10"/>
  <c r="I62" i="10"/>
  <c r="H62" i="10"/>
  <c r="K61" i="10"/>
  <c r="J61" i="10"/>
  <c r="I61" i="10"/>
  <c r="H61" i="10"/>
  <c r="K60" i="10"/>
  <c r="J60" i="10"/>
  <c r="I60" i="10"/>
  <c r="H60" i="10"/>
  <c r="K55" i="10"/>
  <c r="J55" i="10"/>
  <c r="I55" i="10"/>
  <c r="H55" i="10"/>
  <c r="K54" i="10"/>
  <c r="J54" i="10"/>
  <c r="I54" i="10"/>
  <c r="H54" i="10"/>
  <c r="K53" i="10"/>
  <c r="J53" i="10"/>
  <c r="I53" i="10"/>
  <c r="H53" i="10"/>
  <c r="K52" i="10"/>
  <c r="J52" i="10"/>
  <c r="I52" i="10"/>
  <c r="H52" i="10"/>
  <c r="K51" i="10"/>
  <c r="J51" i="10"/>
  <c r="I51" i="10"/>
  <c r="H51" i="10"/>
  <c r="K50" i="10"/>
  <c r="J50" i="10"/>
  <c r="I50" i="10"/>
  <c r="H50" i="10"/>
  <c r="K49" i="10"/>
  <c r="J49" i="10"/>
  <c r="I49" i="10"/>
  <c r="H49" i="10"/>
  <c r="J43" i="10"/>
  <c r="H43" i="10"/>
  <c r="J42" i="10"/>
  <c r="H42" i="10"/>
  <c r="J41" i="10"/>
  <c r="H41" i="10"/>
  <c r="J40" i="10"/>
  <c r="H40" i="10"/>
  <c r="J39" i="10"/>
  <c r="H39" i="10"/>
  <c r="J38" i="10"/>
  <c r="H38" i="10"/>
  <c r="J37" i="10"/>
  <c r="H37" i="10"/>
  <c r="J36" i="10"/>
  <c r="H36" i="10"/>
  <c r="K35" i="10"/>
  <c r="J35" i="10"/>
  <c r="I35" i="10"/>
  <c r="H35" i="10"/>
  <c r="K34" i="10"/>
  <c r="J34" i="10"/>
  <c r="I34" i="10"/>
  <c r="H34" i="10"/>
  <c r="K33" i="10"/>
  <c r="J33" i="10"/>
  <c r="I33" i="10"/>
  <c r="H33" i="10"/>
  <c r="K32" i="10"/>
  <c r="J32" i="10"/>
  <c r="I32" i="10"/>
  <c r="H32" i="10"/>
  <c r="K31" i="10"/>
  <c r="J31" i="10"/>
  <c r="I31" i="10"/>
  <c r="H31" i="10"/>
  <c r="K25" i="10"/>
  <c r="J25" i="10"/>
  <c r="I25" i="10"/>
  <c r="H25" i="10"/>
  <c r="K24" i="10"/>
  <c r="J24" i="10"/>
  <c r="I24" i="10"/>
  <c r="H24" i="10"/>
  <c r="K23" i="10"/>
  <c r="J23" i="10"/>
  <c r="I23" i="10"/>
  <c r="H23" i="10"/>
  <c r="K22" i="10"/>
  <c r="J22" i="10"/>
  <c r="I22" i="10"/>
  <c r="H22" i="10"/>
  <c r="K21" i="10"/>
  <c r="J21" i="10"/>
  <c r="I21" i="10"/>
  <c r="H21" i="10"/>
  <c r="K20" i="10"/>
  <c r="J20" i="10"/>
  <c r="I20" i="10"/>
  <c r="H20" i="10"/>
  <c r="K19" i="10"/>
  <c r="J19" i="10"/>
  <c r="I19" i="10"/>
  <c r="H19" i="10"/>
  <c r="K18" i="10"/>
  <c r="J18" i="10"/>
  <c r="I18" i="10"/>
  <c r="H18" i="10"/>
  <c r="K17" i="10"/>
  <c r="J17" i="10"/>
  <c r="I17" i="10"/>
  <c r="H17" i="10"/>
  <c r="K16" i="10"/>
  <c r="J16" i="10"/>
  <c r="I16" i="10"/>
  <c r="H16" i="10"/>
  <c r="K15" i="10"/>
  <c r="J15" i="10"/>
  <c r="I15" i="10"/>
  <c r="H15" i="10"/>
  <c r="K14" i="10"/>
  <c r="J14" i="10"/>
  <c r="I14" i="10"/>
  <c r="H14" i="10"/>
  <c r="K13" i="10"/>
  <c r="J13" i="10"/>
  <c r="I13" i="10"/>
  <c r="H13" i="10"/>
  <c r="K12" i="10"/>
  <c r="J12" i="10"/>
  <c r="I12" i="10"/>
  <c r="H12" i="10"/>
  <c r="K11" i="10"/>
  <c r="J11" i="10"/>
  <c r="I11" i="10"/>
  <c r="H11" i="10"/>
  <c r="K10" i="10"/>
  <c r="J10" i="10"/>
  <c r="I10" i="10"/>
  <c r="H10" i="10"/>
  <c r="K9" i="10"/>
  <c r="J9" i="10"/>
  <c r="I660" i="3"/>
  <c r="G660" i="3"/>
  <c r="I659" i="3"/>
  <c r="G659" i="3"/>
  <c r="I658" i="3"/>
  <c r="G658" i="3"/>
  <c r="I657" i="3"/>
  <c r="G657" i="3"/>
  <c r="I656" i="3"/>
  <c r="G656" i="3"/>
  <c r="I655" i="3"/>
  <c r="G655" i="3"/>
  <c r="I654" i="3"/>
  <c r="G654" i="3"/>
  <c r="I653" i="3"/>
  <c r="G653" i="3"/>
  <c r="I652" i="3"/>
  <c r="G652" i="3"/>
  <c r="I651" i="3"/>
  <c r="G651" i="3"/>
  <c r="I650" i="3"/>
  <c r="G650" i="3"/>
  <c r="I649" i="3"/>
  <c r="G649" i="3"/>
  <c r="I648" i="3"/>
  <c r="G648" i="3"/>
  <c r="I647" i="3"/>
  <c r="G647" i="3"/>
  <c r="I646" i="3"/>
  <c r="G646" i="3"/>
  <c r="I645" i="3"/>
  <c r="G645" i="3"/>
  <c r="I644" i="3"/>
  <c r="G644" i="3"/>
  <c r="I643" i="3"/>
  <c r="G643" i="3"/>
  <c r="I642" i="3"/>
  <c r="G642" i="3"/>
  <c r="I641" i="3"/>
  <c r="G641" i="3"/>
  <c r="I640" i="3"/>
  <c r="G640" i="3"/>
  <c r="I639" i="3"/>
  <c r="G639" i="3"/>
  <c r="I638" i="3"/>
  <c r="G638" i="3"/>
  <c r="I637" i="3"/>
  <c r="G637" i="3"/>
  <c r="I636" i="3"/>
  <c r="G636" i="3"/>
  <c r="I635" i="3"/>
  <c r="G635" i="3"/>
  <c r="I634" i="3"/>
  <c r="G634" i="3"/>
  <c r="I633" i="3"/>
  <c r="G633" i="3"/>
  <c r="I632" i="3"/>
  <c r="G632" i="3"/>
  <c r="I631" i="3"/>
  <c r="G631" i="3"/>
  <c r="I630" i="3"/>
  <c r="G630" i="3"/>
  <c r="I629" i="3"/>
  <c r="G629" i="3"/>
  <c r="I628" i="3"/>
  <c r="G628" i="3"/>
  <c r="I627" i="3"/>
  <c r="G627" i="3"/>
  <c r="I626" i="3"/>
  <c r="G626" i="3"/>
  <c r="I625" i="3"/>
  <c r="G625" i="3"/>
  <c r="I624" i="3"/>
  <c r="G624" i="3"/>
  <c r="I623" i="3"/>
  <c r="G623" i="3"/>
  <c r="I622" i="3"/>
  <c r="G622" i="3"/>
  <c r="I621" i="3"/>
  <c r="G621" i="3"/>
  <c r="I620" i="3"/>
  <c r="G620" i="3"/>
  <c r="I619" i="3"/>
  <c r="G619" i="3"/>
  <c r="I618" i="3"/>
  <c r="G618" i="3"/>
  <c r="I617" i="3"/>
  <c r="G617" i="3"/>
  <c r="I616" i="3"/>
  <c r="G616" i="3"/>
  <c r="I615" i="3"/>
  <c r="G615" i="3"/>
  <c r="I614" i="3"/>
  <c r="G614" i="3"/>
  <c r="I613" i="3"/>
  <c r="G613" i="3"/>
  <c r="I612" i="3"/>
  <c r="G612" i="3"/>
  <c r="I611" i="3"/>
  <c r="G611" i="3"/>
  <c r="I610" i="3"/>
  <c r="G610" i="3"/>
  <c r="I609" i="3"/>
  <c r="G609" i="3"/>
  <c r="I608" i="3"/>
  <c r="G608" i="3"/>
  <c r="I607" i="3"/>
  <c r="G607" i="3"/>
  <c r="I606" i="3"/>
  <c r="G606" i="3"/>
  <c r="I605" i="3"/>
  <c r="G605" i="3"/>
  <c r="I604" i="3"/>
  <c r="G604" i="3"/>
  <c r="I603" i="3"/>
  <c r="G603" i="3"/>
  <c r="I602" i="3"/>
  <c r="G602" i="3"/>
  <c r="I601" i="3"/>
  <c r="G601" i="3"/>
  <c r="I600" i="3"/>
  <c r="G600" i="3"/>
  <c r="I599" i="3"/>
  <c r="G599" i="3"/>
  <c r="I598" i="3"/>
  <c r="G598" i="3"/>
  <c r="I597" i="3"/>
  <c r="G597" i="3"/>
  <c r="I596" i="3"/>
  <c r="G596" i="3"/>
  <c r="I595" i="3"/>
  <c r="G595" i="3"/>
  <c r="I594" i="3"/>
  <c r="G594" i="3"/>
  <c r="I593" i="3"/>
  <c r="G593" i="3"/>
  <c r="I592" i="3"/>
  <c r="G592" i="3"/>
  <c r="I591" i="3"/>
  <c r="G591" i="3"/>
  <c r="I590" i="3"/>
  <c r="G590" i="3"/>
  <c r="I589" i="3"/>
  <c r="G589" i="3"/>
  <c r="I588" i="3"/>
  <c r="G588" i="3"/>
  <c r="I587" i="3"/>
  <c r="G587" i="3"/>
  <c r="I586" i="3"/>
  <c r="G586" i="3"/>
  <c r="I585" i="3"/>
  <c r="G585" i="3"/>
  <c r="I584" i="3"/>
  <c r="G584" i="3"/>
  <c r="I583" i="3"/>
  <c r="G583" i="3"/>
  <c r="I582" i="3"/>
  <c r="G582" i="3"/>
  <c r="I581" i="3"/>
  <c r="G581" i="3"/>
  <c r="I580" i="3"/>
  <c r="G580" i="3"/>
  <c r="I579" i="3"/>
  <c r="G579" i="3"/>
  <c r="I578" i="3"/>
  <c r="G578" i="3"/>
  <c r="I577" i="3"/>
  <c r="G577" i="3"/>
  <c r="I576" i="3"/>
  <c r="G576" i="3"/>
  <c r="I575" i="3"/>
  <c r="G575" i="3"/>
  <c r="I574" i="3"/>
  <c r="G574" i="3"/>
  <c r="I573" i="3"/>
  <c r="G573" i="3"/>
  <c r="I572" i="3"/>
  <c r="G572" i="3"/>
  <c r="I571" i="3"/>
  <c r="G571" i="3"/>
  <c r="I570" i="3"/>
  <c r="G570" i="3"/>
  <c r="I569" i="3"/>
  <c r="G569" i="3"/>
  <c r="I568" i="3"/>
  <c r="G568" i="3"/>
  <c r="I567" i="3"/>
  <c r="G567" i="3"/>
  <c r="I566" i="3"/>
  <c r="G566" i="3"/>
  <c r="I565" i="3"/>
  <c r="G565" i="3"/>
  <c r="I564" i="3"/>
  <c r="G564" i="3"/>
  <c r="I563" i="3"/>
  <c r="G563" i="3"/>
  <c r="I562" i="3"/>
  <c r="G562" i="3"/>
  <c r="I561" i="3"/>
  <c r="G561" i="3"/>
  <c r="I560" i="3"/>
  <c r="G560" i="3"/>
  <c r="I559" i="3"/>
  <c r="G559" i="3"/>
  <c r="I558" i="3"/>
  <c r="G558" i="3"/>
  <c r="I557" i="3"/>
  <c r="G557" i="3"/>
  <c r="I556" i="3"/>
  <c r="G556" i="3"/>
  <c r="I555" i="3"/>
  <c r="G555" i="3"/>
  <c r="I554" i="3"/>
  <c r="G554" i="3"/>
  <c r="I553" i="3"/>
  <c r="G553" i="3"/>
  <c r="I552" i="3"/>
  <c r="G552" i="3"/>
  <c r="I551" i="3"/>
  <c r="G551" i="3"/>
  <c r="I550" i="3"/>
  <c r="G550" i="3"/>
  <c r="I549" i="3"/>
  <c r="G549" i="3"/>
  <c r="I548" i="3"/>
  <c r="G548" i="3"/>
  <c r="I547" i="3"/>
  <c r="G547" i="3"/>
  <c r="I546" i="3"/>
  <c r="G546" i="3"/>
  <c r="J545" i="3"/>
  <c r="I545" i="3"/>
  <c r="H545" i="3"/>
  <c r="G545" i="3"/>
  <c r="J544" i="3"/>
  <c r="I544" i="3"/>
  <c r="H544" i="3"/>
  <c r="G544" i="3"/>
  <c r="J543" i="3"/>
  <c r="I543" i="3"/>
  <c r="H543" i="3"/>
  <c r="G543" i="3"/>
  <c r="J542" i="3"/>
  <c r="I542" i="3"/>
  <c r="H542" i="3"/>
  <c r="G542" i="3"/>
  <c r="J541" i="3"/>
  <c r="I541" i="3"/>
  <c r="H541" i="3"/>
  <c r="G541" i="3"/>
  <c r="J540" i="3"/>
  <c r="I540" i="3"/>
  <c r="H540" i="3"/>
  <c r="G540" i="3"/>
  <c r="J539" i="3"/>
  <c r="I539" i="3"/>
  <c r="H539" i="3"/>
  <c r="G539" i="3"/>
  <c r="J538" i="3"/>
  <c r="I538" i="3"/>
  <c r="H538" i="3"/>
  <c r="G538" i="3"/>
  <c r="J533" i="3"/>
  <c r="I533" i="3"/>
  <c r="H533" i="3"/>
  <c r="G533" i="3"/>
  <c r="J532" i="3"/>
  <c r="I532" i="3"/>
  <c r="H532" i="3"/>
  <c r="G532" i="3"/>
  <c r="J531" i="3"/>
  <c r="I531" i="3"/>
  <c r="H531" i="3"/>
  <c r="G531" i="3"/>
  <c r="J530" i="3"/>
  <c r="I530" i="3"/>
  <c r="H530" i="3"/>
  <c r="G530" i="3"/>
  <c r="J529" i="3"/>
  <c r="I529" i="3"/>
  <c r="H529" i="3"/>
  <c r="G529" i="3"/>
  <c r="J528" i="3"/>
  <c r="I528" i="3"/>
  <c r="H528" i="3"/>
  <c r="G528" i="3"/>
  <c r="J527" i="3"/>
  <c r="I527" i="3"/>
  <c r="H527" i="3"/>
  <c r="G527" i="3"/>
  <c r="J526" i="3"/>
  <c r="I526" i="3"/>
  <c r="H526" i="3"/>
  <c r="G526" i="3"/>
  <c r="J525" i="3"/>
  <c r="I525" i="3"/>
  <c r="H525" i="3"/>
  <c r="G525" i="3"/>
  <c r="J524" i="3"/>
  <c r="I524" i="3"/>
  <c r="H524" i="3"/>
  <c r="G524" i="3"/>
  <c r="J523" i="3"/>
  <c r="I523" i="3"/>
  <c r="H523" i="3"/>
  <c r="G523" i="3"/>
  <c r="J522" i="3"/>
  <c r="I522" i="3"/>
  <c r="H522" i="3"/>
  <c r="G522" i="3"/>
  <c r="J521" i="3"/>
  <c r="I521" i="3"/>
  <c r="H521" i="3"/>
  <c r="G521" i="3"/>
  <c r="J520" i="3"/>
  <c r="I520" i="3"/>
  <c r="H520" i="3"/>
  <c r="G520" i="3"/>
  <c r="J519" i="3"/>
  <c r="I519" i="3"/>
  <c r="H519" i="3"/>
  <c r="G519" i="3"/>
  <c r="J518" i="3"/>
  <c r="I518" i="3"/>
  <c r="H518" i="3"/>
  <c r="G518" i="3"/>
  <c r="J517" i="3"/>
  <c r="I517" i="3"/>
  <c r="H517" i="3"/>
  <c r="G517" i="3"/>
  <c r="J516" i="3"/>
  <c r="I516" i="3"/>
  <c r="H516" i="3"/>
  <c r="G516" i="3"/>
  <c r="J515" i="3"/>
  <c r="I515" i="3"/>
  <c r="H515" i="3"/>
  <c r="G515" i="3"/>
  <c r="J514" i="3"/>
  <c r="I514" i="3"/>
  <c r="H514" i="3"/>
  <c r="G514" i="3"/>
  <c r="J513" i="3"/>
  <c r="I513" i="3"/>
  <c r="H513" i="3"/>
  <c r="G513" i="3"/>
  <c r="J512" i="3"/>
  <c r="I512" i="3"/>
  <c r="H512" i="3"/>
  <c r="G512" i="3"/>
  <c r="J511" i="3"/>
  <c r="I511" i="3"/>
  <c r="H511" i="3"/>
  <c r="G511" i="3"/>
  <c r="J510" i="3"/>
  <c r="I510" i="3"/>
  <c r="H510" i="3"/>
  <c r="G510" i="3"/>
  <c r="J509" i="3"/>
  <c r="I509" i="3"/>
  <c r="H509" i="3"/>
  <c r="G509" i="3"/>
  <c r="J508" i="3"/>
  <c r="I508" i="3"/>
  <c r="H508" i="3"/>
  <c r="G508" i="3"/>
  <c r="J507" i="3"/>
  <c r="I507" i="3"/>
  <c r="H507" i="3"/>
  <c r="G507" i="3"/>
  <c r="J506" i="3"/>
  <c r="I506" i="3"/>
  <c r="H506" i="3"/>
  <c r="G506" i="3"/>
  <c r="J505" i="3"/>
  <c r="I505" i="3"/>
  <c r="H505" i="3"/>
  <c r="G505" i="3"/>
  <c r="J504" i="3"/>
  <c r="I504" i="3"/>
  <c r="H504" i="3"/>
  <c r="G504" i="3"/>
  <c r="J503" i="3"/>
  <c r="I503" i="3"/>
  <c r="H503" i="3"/>
  <c r="G503" i="3"/>
  <c r="I502" i="3"/>
  <c r="G502" i="3"/>
  <c r="I501" i="3"/>
  <c r="G501" i="3"/>
  <c r="I500" i="3"/>
  <c r="G500" i="3"/>
  <c r="I499" i="3"/>
  <c r="G499" i="3"/>
  <c r="I498" i="3"/>
  <c r="G498" i="3"/>
  <c r="I497" i="3"/>
  <c r="G497" i="3"/>
  <c r="I496" i="3"/>
  <c r="G496" i="3"/>
  <c r="I495" i="3"/>
  <c r="G495" i="3"/>
  <c r="I494" i="3"/>
  <c r="G494" i="3"/>
  <c r="I493" i="3"/>
  <c r="G493" i="3"/>
  <c r="I492" i="3"/>
  <c r="G492" i="3"/>
  <c r="I491" i="3"/>
  <c r="G491" i="3"/>
  <c r="I490" i="3"/>
  <c r="G490" i="3"/>
  <c r="I489" i="3"/>
  <c r="G489" i="3"/>
  <c r="I488" i="3"/>
  <c r="G488" i="3"/>
  <c r="I487" i="3"/>
  <c r="G487" i="3"/>
  <c r="I486" i="3"/>
  <c r="G486" i="3"/>
  <c r="I485" i="3"/>
  <c r="G485" i="3"/>
  <c r="I484" i="3"/>
  <c r="G484" i="3"/>
  <c r="I483" i="3"/>
  <c r="G483" i="3"/>
  <c r="I482" i="3"/>
  <c r="G482" i="3"/>
  <c r="I481" i="3"/>
  <c r="G481" i="3"/>
  <c r="I480" i="3"/>
  <c r="G480" i="3"/>
  <c r="I479" i="3"/>
  <c r="G479" i="3"/>
  <c r="I478" i="3"/>
  <c r="G478" i="3"/>
  <c r="I477" i="3"/>
  <c r="G477" i="3"/>
  <c r="I476" i="3"/>
  <c r="G476" i="3"/>
  <c r="I475" i="3"/>
  <c r="G475" i="3"/>
  <c r="I474" i="3"/>
  <c r="G474" i="3"/>
  <c r="I473" i="3"/>
  <c r="G473" i="3"/>
  <c r="I472" i="3"/>
  <c r="G472" i="3"/>
  <c r="I471" i="3"/>
  <c r="G471" i="3"/>
  <c r="I470" i="3"/>
  <c r="G470" i="3"/>
  <c r="I469" i="3"/>
  <c r="G469" i="3"/>
  <c r="I468" i="3"/>
  <c r="G468" i="3"/>
  <c r="I467" i="3"/>
  <c r="G467" i="3"/>
  <c r="J466" i="3"/>
  <c r="I466" i="3"/>
  <c r="H466" i="3"/>
  <c r="G466" i="3"/>
  <c r="J465" i="3"/>
  <c r="I465" i="3"/>
  <c r="H465" i="3"/>
  <c r="G465" i="3"/>
  <c r="J464" i="3"/>
  <c r="I464" i="3"/>
  <c r="H464" i="3"/>
  <c r="G464" i="3"/>
  <c r="J463" i="3"/>
  <c r="I463" i="3"/>
  <c r="H463" i="3"/>
  <c r="G463" i="3"/>
  <c r="J462" i="3"/>
  <c r="I462" i="3"/>
  <c r="H462" i="3"/>
  <c r="G462" i="3"/>
  <c r="J461" i="3"/>
  <c r="I461" i="3"/>
  <c r="H461" i="3"/>
  <c r="G461" i="3"/>
  <c r="J460" i="3"/>
  <c r="I460" i="3"/>
  <c r="H460" i="3"/>
  <c r="G460" i="3"/>
  <c r="J459" i="3"/>
  <c r="I459" i="3"/>
  <c r="H459" i="3"/>
  <c r="G459" i="3"/>
  <c r="J458" i="3"/>
  <c r="I458" i="3"/>
  <c r="H458" i="3"/>
  <c r="G458" i="3"/>
  <c r="J457" i="3"/>
  <c r="I457" i="3"/>
  <c r="H457" i="3"/>
  <c r="G457" i="3"/>
  <c r="J456" i="3"/>
  <c r="I456" i="3"/>
  <c r="H456" i="3"/>
  <c r="G456" i="3"/>
  <c r="J455" i="3"/>
  <c r="I455" i="3"/>
  <c r="H455" i="3"/>
  <c r="G455" i="3"/>
  <c r="J454" i="3"/>
  <c r="I454" i="3"/>
  <c r="H454" i="3"/>
  <c r="G454" i="3"/>
  <c r="J453" i="3"/>
  <c r="I453" i="3"/>
  <c r="H453" i="3"/>
  <c r="G453" i="3"/>
  <c r="J452" i="3"/>
  <c r="I452" i="3"/>
  <c r="H452" i="3"/>
  <c r="G452" i="3"/>
  <c r="J451" i="3"/>
  <c r="I451" i="3"/>
  <c r="H451" i="3"/>
  <c r="G451" i="3"/>
  <c r="J450" i="3"/>
  <c r="I450" i="3"/>
  <c r="H450" i="3"/>
  <c r="G450" i="3"/>
  <c r="J449" i="3"/>
  <c r="I449" i="3"/>
  <c r="H449" i="3"/>
  <c r="G449" i="3"/>
  <c r="J448" i="3"/>
  <c r="I448" i="3"/>
  <c r="H448" i="3"/>
  <c r="G448" i="3"/>
  <c r="J447" i="3"/>
  <c r="I447" i="3"/>
  <c r="H447" i="3"/>
  <c r="G447" i="3"/>
  <c r="I446" i="3"/>
  <c r="G446" i="3"/>
  <c r="I445" i="3"/>
  <c r="G445" i="3"/>
  <c r="J444" i="3"/>
  <c r="I444" i="3"/>
  <c r="H444" i="3"/>
  <c r="G444" i="3"/>
  <c r="J443" i="3"/>
  <c r="I443" i="3"/>
  <c r="H443" i="3"/>
  <c r="G443" i="3"/>
  <c r="J442" i="3"/>
  <c r="I442" i="3"/>
  <c r="H442" i="3"/>
  <c r="G442" i="3"/>
  <c r="J441" i="3"/>
  <c r="I441" i="3"/>
  <c r="H441" i="3"/>
  <c r="G441" i="3"/>
  <c r="J440" i="3"/>
  <c r="I440" i="3"/>
  <c r="H440" i="3"/>
  <c r="G440" i="3"/>
  <c r="J439" i="3"/>
  <c r="I439" i="3"/>
  <c r="H439" i="3"/>
  <c r="G439" i="3"/>
  <c r="J438" i="3"/>
  <c r="I438" i="3"/>
  <c r="H438" i="3"/>
  <c r="G438" i="3"/>
  <c r="J437" i="3"/>
  <c r="I437" i="3"/>
  <c r="H437" i="3"/>
  <c r="G437" i="3"/>
  <c r="J436" i="3"/>
  <c r="I436" i="3"/>
  <c r="H436" i="3"/>
  <c r="G436" i="3"/>
  <c r="J435" i="3"/>
  <c r="I435" i="3"/>
  <c r="H435" i="3"/>
  <c r="G435" i="3"/>
  <c r="J434" i="3"/>
  <c r="I434" i="3"/>
  <c r="H434" i="3"/>
  <c r="G434" i="3"/>
  <c r="J433" i="3"/>
  <c r="I433" i="3"/>
  <c r="H433" i="3"/>
  <c r="G433" i="3"/>
  <c r="J432" i="3"/>
  <c r="I432" i="3"/>
  <c r="H432" i="3"/>
  <c r="G432" i="3"/>
  <c r="J431" i="3"/>
  <c r="I431" i="3"/>
  <c r="H431" i="3"/>
  <c r="G431" i="3"/>
  <c r="J430" i="3"/>
  <c r="I430" i="3"/>
  <c r="H430" i="3"/>
  <c r="G430" i="3"/>
  <c r="J429" i="3"/>
  <c r="I429" i="3"/>
  <c r="H429" i="3"/>
  <c r="G429" i="3"/>
  <c r="J428" i="3"/>
  <c r="I428" i="3"/>
  <c r="H428" i="3"/>
  <c r="G428" i="3"/>
  <c r="J427" i="3"/>
  <c r="I427" i="3"/>
  <c r="H427" i="3"/>
  <c r="G427" i="3"/>
  <c r="J426" i="3"/>
  <c r="I426" i="3"/>
  <c r="H426" i="3"/>
  <c r="G426" i="3"/>
  <c r="J425" i="3"/>
  <c r="I425" i="3"/>
  <c r="H425" i="3"/>
  <c r="G425" i="3"/>
  <c r="J424" i="3"/>
  <c r="I424" i="3"/>
  <c r="H424" i="3"/>
  <c r="G424" i="3"/>
  <c r="J423" i="3"/>
  <c r="I423" i="3"/>
  <c r="H423" i="3"/>
  <c r="G423" i="3"/>
  <c r="J422" i="3"/>
  <c r="I422" i="3"/>
  <c r="H422" i="3"/>
  <c r="G422" i="3"/>
  <c r="J421" i="3"/>
  <c r="I421" i="3"/>
  <c r="H421" i="3"/>
  <c r="G421" i="3"/>
  <c r="J420" i="3"/>
  <c r="I420" i="3"/>
  <c r="H420" i="3"/>
  <c r="G420" i="3"/>
  <c r="J419" i="3"/>
  <c r="I419" i="3"/>
  <c r="H419" i="3"/>
  <c r="G419" i="3"/>
  <c r="J418" i="3"/>
  <c r="I418" i="3"/>
  <c r="H418" i="3"/>
  <c r="G418" i="3"/>
  <c r="J417" i="3"/>
  <c r="I417" i="3"/>
  <c r="H417" i="3"/>
  <c r="G417" i="3"/>
  <c r="J416" i="3"/>
  <c r="I416" i="3"/>
  <c r="H416" i="3"/>
  <c r="G416" i="3"/>
  <c r="J415" i="3"/>
  <c r="I415" i="3"/>
  <c r="H415" i="3"/>
  <c r="G415" i="3"/>
  <c r="J414" i="3"/>
  <c r="I414" i="3"/>
  <c r="H414" i="3"/>
  <c r="G414" i="3"/>
  <c r="J413" i="3"/>
  <c r="I413" i="3"/>
  <c r="H413" i="3"/>
  <c r="G413" i="3"/>
  <c r="J412" i="3"/>
  <c r="I412" i="3"/>
  <c r="H412" i="3"/>
  <c r="G412" i="3"/>
  <c r="J411" i="3"/>
  <c r="I411" i="3"/>
  <c r="H411" i="3"/>
  <c r="G411" i="3"/>
  <c r="J410" i="3"/>
  <c r="I410" i="3"/>
  <c r="H410" i="3"/>
  <c r="G410" i="3"/>
  <c r="J409" i="3"/>
  <c r="I409" i="3"/>
  <c r="H409" i="3"/>
  <c r="G409" i="3"/>
  <c r="I408" i="3"/>
  <c r="G408" i="3"/>
  <c r="I407" i="3"/>
  <c r="G407" i="3"/>
  <c r="I406" i="3"/>
  <c r="G406" i="3"/>
  <c r="I405" i="3"/>
  <c r="G405" i="3"/>
  <c r="I404" i="3"/>
  <c r="G404" i="3"/>
  <c r="I403" i="3"/>
  <c r="G403" i="3"/>
  <c r="I402" i="3"/>
  <c r="G402" i="3"/>
  <c r="I401" i="3"/>
  <c r="G401" i="3"/>
  <c r="I400" i="3"/>
  <c r="G400" i="3"/>
  <c r="I399" i="3"/>
  <c r="G399" i="3"/>
  <c r="I398" i="3"/>
  <c r="G398" i="3"/>
  <c r="I397" i="3"/>
  <c r="G397" i="3"/>
  <c r="I396" i="3"/>
  <c r="G396" i="3"/>
  <c r="I395" i="3"/>
  <c r="G395" i="3"/>
  <c r="I394" i="3"/>
  <c r="G394" i="3"/>
  <c r="I393" i="3"/>
  <c r="G393" i="3"/>
  <c r="I392" i="3"/>
  <c r="G392" i="3"/>
  <c r="I391" i="3"/>
  <c r="G391" i="3"/>
  <c r="I390" i="3"/>
  <c r="G390" i="3"/>
  <c r="I389" i="3"/>
  <c r="G389" i="3"/>
  <c r="I388" i="3"/>
  <c r="G388" i="3"/>
  <c r="I387" i="3"/>
  <c r="G387" i="3"/>
  <c r="I386" i="3"/>
  <c r="G386" i="3"/>
  <c r="I385" i="3"/>
  <c r="G385" i="3"/>
  <c r="I384" i="3"/>
  <c r="G384" i="3"/>
  <c r="I383" i="3"/>
  <c r="G383" i="3"/>
  <c r="I382" i="3"/>
  <c r="G382" i="3"/>
  <c r="J381" i="3"/>
  <c r="I381" i="3"/>
  <c r="H381" i="3"/>
  <c r="G381" i="3"/>
  <c r="J380" i="3"/>
  <c r="I380" i="3"/>
  <c r="H380" i="3"/>
  <c r="G380" i="3"/>
  <c r="J379" i="3"/>
  <c r="I379" i="3"/>
  <c r="H379" i="3"/>
  <c r="G379" i="3"/>
  <c r="J378" i="3"/>
  <c r="I378" i="3"/>
  <c r="H378" i="3"/>
  <c r="G378" i="3"/>
  <c r="J376" i="3"/>
  <c r="I376" i="3"/>
  <c r="H376" i="3"/>
  <c r="G376" i="3"/>
  <c r="J375" i="3"/>
  <c r="I375" i="3"/>
  <c r="H375" i="3"/>
  <c r="G375" i="3"/>
  <c r="J374" i="3"/>
  <c r="I374" i="3"/>
  <c r="H374" i="3"/>
  <c r="G374" i="3"/>
  <c r="J373" i="3"/>
  <c r="I373" i="3"/>
  <c r="H373" i="3"/>
  <c r="G373" i="3"/>
  <c r="J372" i="3"/>
  <c r="I372" i="3"/>
  <c r="H372" i="3"/>
  <c r="G372" i="3"/>
  <c r="J371" i="3"/>
  <c r="I371" i="3"/>
  <c r="H371" i="3"/>
  <c r="G371" i="3"/>
  <c r="J370" i="3"/>
  <c r="I370" i="3"/>
  <c r="H370" i="3"/>
  <c r="G370" i="3"/>
  <c r="J369" i="3"/>
  <c r="I369" i="3"/>
  <c r="H369" i="3"/>
  <c r="G369" i="3"/>
  <c r="J368" i="3"/>
  <c r="I368" i="3"/>
  <c r="H368" i="3"/>
  <c r="G368" i="3"/>
  <c r="J367" i="3"/>
  <c r="I367" i="3"/>
  <c r="H367" i="3"/>
  <c r="G367" i="3"/>
  <c r="J366" i="3"/>
  <c r="I366" i="3"/>
  <c r="H366" i="3"/>
  <c r="G366" i="3"/>
  <c r="J365" i="3"/>
  <c r="I365" i="3"/>
  <c r="H365" i="3"/>
  <c r="G365" i="3"/>
  <c r="J364" i="3"/>
  <c r="I364" i="3"/>
  <c r="H364" i="3"/>
  <c r="G364" i="3"/>
  <c r="J363" i="3"/>
  <c r="I363" i="3"/>
  <c r="H363" i="3"/>
  <c r="G363" i="3"/>
  <c r="J362" i="3"/>
  <c r="I362" i="3"/>
  <c r="H362" i="3"/>
  <c r="G362" i="3"/>
  <c r="J361" i="3"/>
  <c r="I361" i="3"/>
  <c r="H361" i="3"/>
  <c r="G361" i="3"/>
  <c r="J360" i="3"/>
  <c r="I360" i="3"/>
  <c r="H360" i="3"/>
  <c r="G360" i="3"/>
  <c r="J359" i="3"/>
  <c r="I359" i="3"/>
  <c r="H359" i="3"/>
  <c r="G359" i="3"/>
  <c r="J358" i="3"/>
  <c r="I358" i="3"/>
  <c r="H358" i="3"/>
  <c r="G358" i="3"/>
  <c r="J357" i="3"/>
  <c r="I357" i="3"/>
  <c r="H357" i="3"/>
  <c r="G357" i="3"/>
  <c r="J356" i="3"/>
  <c r="I356" i="3"/>
  <c r="H356" i="3"/>
  <c r="G356" i="3"/>
  <c r="J355" i="3"/>
  <c r="I355" i="3"/>
  <c r="H355" i="3"/>
  <c r="G355" i="3"/>
  <c r="J354" i="3"/>
  <c r="I354" i="3"/>
  <c r="H354" i="3"/>
  <c r="G354" i="3"/>
  <c r="J353" i="3"/>
  <c r="I353" i="3"/>
  <c r="H353" i="3"/>
  <c r="G353" i="3"/>
  <c r="J352" i="3"/>
  <c r="I352" i="3"/>
  <c r="H352" i="3"/>
  <c r="G352" i="3"/>
  <c r="J351" i="3"/>
  <c r="I351" i="3"/>
  <c r="H351" i="3"/>
  <c r="G351" i="3"/>
  <c r="J350" i="3"/>
  <c r="I350" i="3"/>
  <c r="H350" i="3"/>
  <c r="G350" i="3"/>
  <c r="J349" i="3"/>
  <c r="I349" i="3"/>
  <c r="H349" i="3"/>
  <c r="G349" i="3"/>
  <c r="J348" i="3"/>
  <c r="I348" i="3"/>
  <c r="H348" i="3"/>
  <c r="G348" i="3"/>
  <c r="J347" i="3"/>
  <c r="I347" i="3"/>
  <c r="H347" i="3"/>
  <c r="G347" i="3"/>
  <c r="J346" i="3"/>
  <c r="I346" i="3"/>
  <c r="H346" i="3"/>
  <c r="G346" i="3"/>
  <c r="J345" i="3"/>
  <c r="I345" i="3"/>
  <c r="H345" i="3"/>
  <c r="G345" i="3"/>
  <c r="J344" i="3"/>
  <c r="I344" i="3"/>
  <c r="H344" i="3"/>
  <c r="G344" i="3"/>
  <c r="J343" i="3"/>
  <c r="I343" i="3"/>
  <c r="H343" i="3"/>
  <c r="G343" i="3"/>
  <c r="J342" i="3"/>
  <c r="I342" i="3"/>
  <c r="H342" i="3"/>
  <c r="G342" i="3"/>
  <c r="J341" i="3"/>
  <c r="I341" i="3"/>
  <c r="H341" i="3"/>
  <c r="G341" i="3"/>
  <c r="J340" i="3"/>
  <c r="I340" i="3"/>
  <c r="H340" i="3"/>
  <c r="G340" i="3"/>
  <c r="J339" i="3"/>
  <c r="I339" i="3"/>
  <c r="H339" i="3"/>
  <c r="G339" i="3"/>
  <c r="J338" i="3"/>
  <c r="I338" i="3"/>
  <c r="H338" i="3"/>
  <c r="G338" i="3"/>
  <c r="J337" i="3"/>
  <c r="I337" i="3"/>
  <c r="H337" i="3"/>
  <c r="G337" i="3"/>
  <c r="J336" i="3"/>
  <c r="I336" i="3"/>
  <c r="H336" i="3"/>
  <c r="G336" i="3"/>
  <c r="J335" i="3"/>
  <c r="I335" i="3"/>
  <c r="H335" i="3"/>
  <c r="G335" i="3"/>
  <c r="J334" i="3"/>
  <c r="I334" i="3"/>
  <c r="H334" i="3"/>
  <c r="G334" i="3"/>
  <c r="J333" i="3"/>
  <c r="I333" i="3"/>
  <c r="H333" i="3"/>
  <c r="G333" i="3"/>
  <c r="J332" i="3"/>
  <c r="I332" i="3"/>
  <c r="H332" i="3"/>
  <c r="G332" i="3"/>
  <c r="J331" i="3"/>
  <c r="I331" i="3"/>
  <c r="H331" i="3"/>
  <c r="G331" i="3"/>
  <c r="J330" i="3"/>
  <c r="I330" i="3"/>
  <c r="H330" i="3"/>
  <c r="G330" i="3"/>
  <c r="J329" i="3"/>
  <c r="I329" i="3"/>
  <c r="H329" i="3"/>
  <c r="G329" i="3"/>
  <c r="J328" i="3"/>
  <c r="I328" i="3"/>
  <c r="H328" i="3"/>
  <c r="G328" i="3"/>
  <c r="J327" i="3"/>
  <c r="I327" i="3"/>
  <c r="H327" i="3"/>
  <c r="G327" i="3"/>
  <c r="J326" i="3"/>
  <c r="I326" i="3"/>
  <c r="H326" i="3"/>
  <c r="G326" i="3"/>
  <c r="J325" i="3"/>
  <c r="I325" i="3"/>
  <c r="H325" i="3"/>
  <c r="G325" i="3"/>
  <c r="J324" i="3"/>
  <c r="I324" i="3"/>
  <c r="H324" i="3"/>
  <c r="G324" i="3"/>
  <c r="J323" i="3"/>
  <c r="I323" i="3"/>
  <c r="H323" i="3"/>
  <c r="G323" i="3"/>
  <c r="J322" i="3"/>
  <c r="I322" i="3"/>
  <c r="H322" i="3"/>
  <c r="G322" i="3"/>
  <c r="J321" i="3"/>
  <c r="I321" i="3"/>
  <c r="H321" i="3"/>
  <c r="G321" i="3"/>
  <c r="J320" i="3"/>
  <c r="I320" i="3"/>
  <c r="H320" i="3"/>
  <c r="G320" i="3"/>
  <c r="J319" i="3"/>
  <c r="I319" i="3"/>
  <c r="H319" i="3"/>
  <c r="G319" i="3"/>
  <c r="J318" i="3"/>
  <c r="I318" i="3"/>
  <c r="H318" i="3"/>
  <c r="G318" i="3"/>
  <c r="J317" i="3"/>
  <c r="I317" i="3"/>
  <c r="H317" i="3"/>
  <c r="G317" i="3"/>
  <c r="J316" i="3"/>
  <c r="I316" i="3"/>
  <c r="H316" i="3"/>
  <c r="G316" i="3"/>
  <c r="J315" i="3"/>
  <c r="I315" i="3"/>
  <c r="H315" i="3"/>
  <c r="G315" i="3"/>
  <c r="J314" i="3"/>
  <c r="I314" i="3"/>
  <c r="H314" i="3"/>
  <c r="G314" i="3"/>
  <c r="J313" i="3"/>
  <c r="I313" i="3"/>
  <c r="H313" i="3"/>
  <c r="G313" i="3"/>
  <c r="J312" i="3"/>
  <c r="I312" i="3"/>
  <c r="H312" i="3"/>
  <c r="G312" i="3"/>
  <c r="J311" i="3"/>
  <c r="I311" i="3"/>
  <c r="H311" i="3"/>
  <c r="G311" i="3"/>
  <c r="J310" i="3"/>
  <c r="I310" i="3"/>
  <c r="H310" i="3"/>
  <c r="G310" i="3"/>
  <c r="J309" i="3"/>
  <c r="I309" i="3"/>
  <c r="H309" i="3"/>
  <c r="G309" i="3"/>
  <c r="J308" i="3"/>
  <c r="I308" i="3"/>
  <c r="H308" i="3"/>
  <c r="G308" i="3"/>
  <c r="J307" i="3"/>
  <c r="I307" i="3"/>
  <c r="H307" i="3"/>
  <c r="G307" i="3"/>
  <c r="J306" i="3"/>
  <c r="I306" i="3"/>
  <c r="H306" i="3"/>
  <c r="G306" i="3"/>
  <c r="J305" i="3"/>
  <c r="I305" i="3"/>
  <c r="H305" i="3"/>
  <c r="G305" i="3"/>
  <c r="J304" i="3"/>
  <c r="I304" i="3"/>
  <c r="H304" i="3"/>
  <c r="G304" i="3"/>
  <c r="J303" i="3"/>
  <c r="I303" i="3"/>
  <c r="H303" i="3"/>
  <c r="G303" i="3"/>
  <c r="J302" i="3"/>
  <c r="I302" i="3"/>
  <c r="H302" i="3"/>
  <c r="G302" i="3"/>
  <c r="J301" i="3"/>
  <c r="I301" i="3"/>
  <c r="H301" i="3"/>
  <c r="G301" i="3"/>
  <c r="J300" i="3"/>
  <c r="I300" i="3"/>
  <c r="H300" i="3"/>
  <c r="G300" i="3"/>
  <c r="J299" i="3"/>
  <c r="I299" i="3"/>
  <c r="H299" i="3"/>
  <c r="G299" i="3"/>
  <c r="J298" i="3"/>
  <c r="I298" i="3"/>
  <c r="H298" i="3"/>
  <c r="G298" i="3"/>
  <c r="J297" i="3"/>
  <c r="I297" i="3"/>
  <c r="H297" i="3"/>
  <c r="G297" i="3"/>
  <c r="J296" i="3"/>
  <c r="I296" i="3"/>
  <c r="H296" i="3"/>
  <c r="G296" i="3"/>
  <c r="J295" i="3"/>
  <c r="I295" i="3"/>
  <c r="H295" i="3"/>
  <c r="G295" i="3"/>
  <c r="J294" i="3"/>
  <c r="I294" i="3"/>
  <c r="H294" i="3"/>
  <c r="G294" i="3"/>
  <c r="J293" i="3"/>
  <c r="I293" i="3"/>
  <c r="H293" i="3"/>
  <c r="G293" i="3"/>
  <c r="J292" i="3"/>
  <c r="I292" i="3"/>
  <c r="H292" i="3"/>
  <c r="G292" i="3"/>
  <c r="J291" i="3"/>
  <c r="I291" i="3"/>
  <c r="H291" i="3"/>
  <c r="G291" i="3"/>
  <c r="J290" i="3"/>
  <c r="I290" i="3"/>
  <c r="H290" i="3"/>
  <c r="G290" i="3"/>
  <c r="J289" i="3"/>
  <c r="I289" i="3"/>
  <c r="H289" i="3"/>
  <c r="G289" i="3"/>
  <c r="J288" i="3"/>
  <c r="I288" i="3"/>
  <c r="H288" i="3"/>
  <c r="G288" i="3"/>
  <c r="J287" i="3"/>
  <c r="I287" i="3"/>
  <c r="H287" i="3"/>
  <c r="G287" i="3"/>
  <c r="J286" i="3"/>
  <c r="I286" i="3"/>
  <c r="H286" i="3"/>
  <c r="G286" i="3"/>
  <c r="J283" i="3"/>
  <c r="I283" i="3"/>
  <c r="H283" i="3"/>
  <c r="G283" i="3"/>
  <c r="J282" i="3"/>
  <c r="I282" i="3"/>
  <c r="H282" i="3"/>
  <c r="G282" i="3"/>
  <c r="J281" i="3"/>
  <c r="I281" i="3"/>
  <c r="H281" i="3"/>
  <c r="G281" i="3"/>
  <c r="J280" i="3"/>
  <c r="I280" i="3"/>
  <c r="H280" i="3"/>
  <c r="G280" i="3"/>
  <c r="J279" i="3"/>
  <c r="I279" i="3"/>
  <c r="H279" i="3"/>
  <c r="G279" i="3"/>
  <c r="J278" i="3"/>
  <c r="I278" i="3"/>
  <c r="H278" i="3"/>
  <c r="G278" i="3"/>
  <c r="J277" i="3"/>
  <c r="I277" i="3"/>
  <c r="H277" i="3"/>
  <c r="G277" i="3"/>
  <c r="J276" i="3"/>
  <c r="I276" i="3"/>
  <c r="H276" i="3"/>
  <c r="G276" i="3"/>
  <c r="J275" i="3"/>
  <c r="I275" i="3"/>
  <c r="H275" i="3"/>
  <c r="G275" i="3"/>
  <c r="J274" i="3"/>
  <c r="I274" i="3"/>
  <c r="H274" i="3"/>
  <c r="G274" i="3"/>
  <c r="J273" i="3"/>
  <c r="I273" i="3"/>
  <c r="H273" i="3"/>
  <c r="G273" i="3"/>
  <c r="J272" i="3"/>
  <c r="I272" i="3"/>
  <c r="H272" i="3"/>
  <c r="G272" i="3"/>
  <c r="J271" i="3"/>
  <c r="I271" i="3"/>
  <c r="H271" i="3"/>
  <c r="G271" i="3"/>
  <c r="J270" i="3"/>
  <c r="I270" i="3"/>
  <c r="H270" i="3"/>
  <c r="G270" i="3"/>
  <c r="J269" i="3"/>
  <c r="I269" i="3"/>
  <c r="H269" i="3"/>
  <c r="G269" i="3"/>
  <c r="J268" i="3"/>
  <c r="I268" i="3"/>
  <c r="H268" i="3"/>
  <c r="G268" i="3"/>
  <c r="J267" i="3"/>
  <c r="I267" i="3"/>
  <c r="H267" i="3"/>
  <c r="G267" i="3"/>
  <c r="J266" i="3"/>
  <c r="I266" i="3"/>
  <c r="H266" i="3"/>
  <c r="G266" i="3"/>
  <c r="J265" i="3"/>
  <c r="I265" i="3"/>
  <c r="H265" i="3"/>
  <c r="G265" i="3"/>
  <c r="J264" i="3"/>
  <c r="I264" i="3"/>
  <c r="H264" i="3"/>
  <c r="G264" i="3"/>
  <c r="J263" i="3"/>
  <c r="I263" i="3"/>
  <c r="H263" i="3"/>
  <c r="G263" i="3"/>
  <c r="J262" i="3"/>
  <c r="I262" i="3"/>
  <c r="H262" i="3"/>
  <c r="G262" i="3"/>
  <c r="J261" i="3"/>
  <c r="I261" i="3"/>
  <c r="H261" i="3"/>
  <c r="G261" i="3"/>
  <c r="J260" i="3"/>
  <c r="I260" i="3"/>
  <c r="H260" i="3"/>
  <c r="G260" i="3"/>
  <c r="J259" i="3"/>
  <c r="I259" i="3"/>
  <c r="H259" i="3"/>
  <c r="G259" i="3"/>
  <c r="J258" i="3"/>
  <c r="I258" i="3"/>
  <c r="H258" i="3"/>
  <c r="G258" i="3"/>
  <c r="J257" i="3"/>
  <c r="I257" i="3"/>
  <c r="H257" i="3"/>
  <c r="G257" i="3"/>
  <c r="J256" i="3"/>
  <c r="I256" i="3"/>
  <c r="H256" i="3"/>
  <c r="G256" i="3"/>
  <c r="J255" i="3"/>
  <c r="I255" i="3"/>
  <c r="H255" i="3"/>
  <c r="G255" i="3"/>
  <c r="J254" i="3"/>
  <c r="I254" i="3"/>
  <c r="H254" i="3"/>
  <c r="G254" i="3"/>
  <c r="J253" i="3"/>
  <c r="I253" i="3"/>
  <c r="H253" i="3"/>
  <c r="G253" i="3"/>
  <c r="J252" i="3"/>
  <c r="I252" i="3"/>
  <c r="H252" i="3"/>
  <c r="G252" i="3"/>
  <c r="J251" i="3"/>
  <c r="I251" i="3"/>
  <c r="H251" i="3"/>
  <c r="G251" i="3"/>
  <c r="J250" i="3"/>
  <c r="I250" i="3"/>
  <c r="H250" i="3"/>
  <c r="G250" i="3"/>
  <c r="J249" i="3"/>
  <c r="I249" i="3"/>
  <c r="H249" i="3"/>
  <c r="G249" i="3"/>
  <c r="J248" i="3"/>
  <c r="I248" i="3"/>
  <c r="H248" i="3"/>
  <c r="G248" i="3"/>
  <c r="J247" i="3"/>
  <c r="I247" i="3"/>
  <c r="H247" i="3"/>
  <c r="G247" i="3"/>
  <c r="J246" i="3"/>
  <c r="I246" i="3"/>
  <c r="H246" i="3"/>
  <c r="G246" i="3"/>
  <c r="J245" i="3"/>
  <c r="I245" i="3"/>
  <c r="H245" i="3"/>
  <c r="G245" i="3"/>
  <c r="J244" i="3"/>
  <c r="I244" i="3"/>
  <c r="H244" i="3"/>
  <c r="G244" i="3"/>
  <c r="J243" i="3"/>
  <c r="I243" i="3"/>
  <c r="H243" i="3"/>
  <c r="G243" i="3"/>
  <c r="J242" i="3"/>
  <c r="I242" i="3"/>
  <c r="H242" i="3"/>
  <c r="G242" i="3"/>
  <c r="J241" i="3"/>
  <c r="I241" i="3"/>
  <c r="H241" i="3"/>
  <c r="G241" i="3"/>
  <c r="J240" i="3"/>
  <c r="I240" i="3"/>
  <c r="H240" i="3"/>
  <c r="G240" i="3"/>
  <c r="J239" i="3"/>
  <c r="I239" i="3"/>
  <c r="H239" i="3"/>
  <c r="G239" i="3"/>
  <c r="J238" i="3"/>
  <c r="I238" i="3"/>
  <c r="H238" i="3"/>
  <c r="G238" i="3"/>
  <c r="J237" i="3"/>
  <c r="I237" i="3"/>
  <c r="H237" i="3"/>
  <c r="G237" i="3"/>
  <c r="J236" i="3"/>
  <c r="I236" i="3"/>
  <c r="H236" i="3"/>
  <c r="G236" i="3"/>
  <c r="J235" i="3"/>
  <c r="I235" i="3"/>
  <c r="H235" i="3"/>
  <c r="G235" i="3"/>
  <c r="J234" i="3"/>
  <c r="I234" i="3"/>
  <c r="H234" i="3"/>
  <c r="G234" i="3"/>
  <c r="J233" i="3"/>
  <c r="I233" i="3"/>
  <c r="H233" i="3"/>
  <c r="G233" i="3"/>
  <c r="J232" i="3"/>
  <c r="I232" i="3"/>
  <c r="H232" i="3"/>
  <c r="G232" i="3"/>
  <c r="J231" i="3"/>
  <c r="I231" i="3"/>
  <c r="H231" i="3"/>
  <c r="G231" i="3"/>
  <c r="J230" i="3"/>
  <c r="I230" i="3"/>
  <c r="H230" i="3"/>
  <c r="G230" i="3"/>
  <c r="J229" i="3"/>
  <c r="I229" i="3"/>
  <c r="H229" i="3"/>
  <c r="G229" i="3"/>
  <c r="J228" i="3"/>
  <c r="I228" i="3"/>
  <c r="H228" i="3"/>
  <c r="G228" i="3"/>
  <c r="J227" i="3"/>
  <c r="I227" i="3"/>
  <c r="H227" i="3"/>
  <c r="G227" i="3"/>
  <c r="J226" i="3"/>
  <c r="I226" i="3"/>
  <c r="H226" i="3"/>
  <c r="G226" i="3"/>
  <c r="J225" i="3"/>
  <c r="I225" i="3"/>
  <c r="H225" i="3"/>
  <c r="G225" i="3"/>
  <c r="J224" i="3"/>
  <c r="I224" i="3"/>
  <c r="H224" i="3"/>
  <c r="G224" i="3"/>
  <c r="J223" i="3"/>
  <c r="I223" i="3"/>
  <c r="H223" i="3"/>
  <c r="G223" i="3"/>
  <c r="J222" i="3"/>
  <c r="I222" i="3"/>
  <c r="H222" i="3"/>
  <c r="G222" i="3"/>
  <c r="J221" i="3"/>
  <c r="I221" i="3"/>
  <c r="H221" i="3"/>
  <c r="G221" i="3"/>
  <c r="J220" i="3"/>
  <c r="I220" i="3"/>
  <c r="H220" i="3"/>
  <c r="G220" i="3"/>
  <c r="J219" i="3"/>
  <c r="I219" i="3"/>
  <c r="H219" i="3"/>
  <c r="G219" i="3"/>
  <c r="J218" i="3"/>
  <c r="I218" i="3"/>
  <c r="H218" i="3"/>
  <c r="G218" i="3"/>
  <c r="J217" i="3"/>
  <c r="I217" i="3"/>
  <c r="H217" i="3"/>
  <c r="G217" i="3"/>
  <c r="J216" i="3"/>
  <c r="I216" i="3"/>
  <c r="H216" i="3"/>
  <c r="G216" i="3"/>
  <c r="J215" i="3"/>
  <c r="I215" i="3"/>
  <c r="H215" i="3"/>
  <c r="G215" i="3"/>
  <c r="J214" i="3"/>
  <c r="I214" i="3"/>
  <c r="H214" i="3"/>
  <c r="G214" i="3"/>
  <c r="J213" i="3"/>
  <c r="I213" i="3"/>
  <c r="H213" i="3"/>
  <c r="G213" i="3"/>
  <c r="J212" i="3"/>
  <c r="I212" i="3"/>
  <c r="H212" i="3"/>
  <c r="G212" i="3"/>
  <c r="I211" i="3"/>
  <c r="G211" i="3"/>
  <c r="I210" i="3"/>
  <c r="G210" i="3"/>
  <c r="I209" i="3"/>
  <c r="G209" i="3"/>
  <c r="I208" i="3"/>
  <c r="G208" i="3"/>
  <c r="I207" i="3"/>
  <c r="G207" i="3"/>
  <c r="J206" i="3"/>
  <c r="I206" i="3"/>
  <c r="H206" i="3"/>
  <c r="G206" i="3"/>
  <c r="J205" i="3"/>
  <c r="I205" i="3"/>
  <c r="H205" i="3"/>
  <c r="G205" i="3"/>
  <c r="J204" i="3"/>
  <c r="I204" i="3"/>
  <c r="H204" i="3"/>
  <c r="G204" i="3"/>
  <c r="J203" i="3"/>
  <c r="I203" i="3"/>
  <c r="H203" i="3"/>
  <c r="G203" i="3"/>
  <c r="J202" i="3"/>
  <c r="I202" i="3"/>
  <c r="H202" i="3"/>
  <c r="G202" i="3"/>
  <c r="J201" i="3"/>
  <c r="I201" i="3"/>
  <c r="H201" i="3"/>
  <c r="G201" i="3"/>
  <c r="J200" i="3"/>
  <c r="I200" i="3"/>
  <c r="H200" i="3"/>
  <c r="G200" i="3"/>
  <c r="J199" i="3"/>
  <c r="I199" i="3"/>
  <c r="H199" i="3"/>
  <c r="G199" i="3"/>
  <c r="J198" i="3"/>
  <c r="I198" i="3"/>
  <c r="H198" i="3"/>
  <c r="G198" i="3"/>
  <c r="J197" i="3"/>
  <c r="I197" i="3"/>
  <c r="H197" i="3"/>
  <c r="G197" i="3"/>
  <c r="J196" i="3"/>
  <c r="I196" i="3"/>
  <c r="H196" i="3"/>
  <c r="G196" i="3"/>
  <c r="J195" i="3"/>
  <c r="I195" i="3"/>
  <c r="H195" i="3"/>
  <c r="G195" i="3"/>
  <c r="J194" i="3"/>
  <c r="I194" i="3"/>
  <c r="H194" i="3"/>
  <c r="G194" i="3"/>
  <c r="J193" i="3"/>
  <c r="I193" i="3"/>
  <c r="H193" i="3"/>
  <c r="G193" i="3"/>
  <c r="J192" i="3"/>
  <c r="I192" i="3"/>
  <c r="H192" i="3"/>
  <c r="G192" i="3"/>
  <c r="J191" i="3"/>
  <c r="I191" i="3"/>
  <c r="H191" i="3"/>
  <c r="G191" i="3"/>
  <c r="J190" i="3"/>
  <c r="I190" i="3"/>
  <c r="H190" i="3"/>
  <c r="G190" i="3"/>
  <c r="J189" i="3"/>
  <c r="I189" i="3"/>
  <c r="H189" i="3"/>
  <c r="G189" i="3"/>
  <c r="J188" i="3"/>
  <c r="I188" i="3"/>
  <c r="H188" i="3"/>
  <c r="G188" i="3"/>
  <c r="J187" i="3"/>
  <c r="I187" i="3"/>
  <c r="H187" i="3"/>
  <c r="G187" i="3"/>
  <c r="J186" i="3"/>
  <c r="I186" i="3"/>
  <c r="H186" i="3"/>
  <c r="G186" i="3"/>
  <c r="J184" i="3"/>
  <c r="I184" i="3"/>
  <c r="H184" i="3"/>
  <c r="G184" i="3"/>
  <c r="J183" i="3"/>
  <c r="I183" i="3"/>
  <c r="H183" i="3"/>
  <c r="G183" i="3"/>
  <c r="J182" i="3"/>
  <c r="I182" i="3"/>
  <c r="H182" i="3"/>
  <c r="G182" i="3"/>
  <c r="J181" i="3"/>
  <c r="I181" i="3"/>
  <c r="H181" i="3"/>
  <c r="G181" i="3"/>
  <c r="J180" i="3"/>
  <c r="I180" i="3"/>
  <c r="H180" i="3"/>
  <c r="G180" i="3"/>
  <c r="J179" i="3"/>
  <c r="I179" i="3"/>
  <c r="H179" i="3"/>
  <c r="G179" i="3"/>
  <c r="J178" i="3"/>
  <c r="I178" i="3"/>
  <c r="H178" i="3"/>
  <c r="G178" i="3"/>
  <c r="J177" i="3"/>
  <c r="I177" i="3"/>
  <c r="H177" i="3"/>
  <c r="G177" i="3"/>
  <c r="J176" i="3"/>
  <c r="I176" i="3"/>
  <c r="H176" i="3"/>
  <c r="G176" i="3"/>
  <c r="J175" i="3"/>
  <c r="I175" i="3"/>
  <c r="H175" i="3"/>
  <c r="G175" i="3"/>
  <c r="J174" i="3"/>
  <c r="I174" i="3"/>
  <c r="H174" i="3"/>
  <c r="G174" i="3"/>
  <c r="J173" i="3"/>
  <c r="I173" i="3"/>
  <c r="H173" i="3"/>
  <c r="G173" i="3"/>
  <c r="J172" i="3"/>
  <c r="I172" i="3"/>
  <c r="H172" i="3"/>
  <c r="G172" i="3"/>
  <c r="J171" i="3"/>
  <c r="I171" i="3"/>
  <c r="H171" i="3"/>
  <c r="G171" i="3"/>
  <c r="J170" i="3"/>
  <c r="I170" i="3"/>
  <c r="H170" i="3"/>
  <c r="G170" i="3"/>
  <c r="J169" i="3"/>
  <c r="I169" i="3"/>
  <c r="H169" i="3"/>
  <c r="G169" i="3"/>
  <c r="J168" i="3"/>
  <c r="I168" i="3"/>
  <c r="H168" i="3"/>
  <c r="G168" i="3"/>
  <c r="J167" i="3"/>
  <c r="I167" i="3"/>
  <c r="H167" i="3"/>
  <c r="G167" i="3"/>
  <c r="J166" i="3"/>
  <c r="I166" i="3"/>
  <c r="H166" i="3"/>
  <c r="G166" i="3"/>
  <c r="I165" i="3"/>
  <c r="G165" i="3"/>
  <c r="I164" i="3"/>
  <c r="G164" i="3"/>
  <c r="I163" i="3"/>
  <c r="G163" i="3"/>
  <c r="I162" i="3"/>
  <c r="G162" i="3"/>
  <c r="I161" i="3"/>
  <c r="G161" i="3"/>
  <c r="J160" i="3"/>
  <c r="I160" i="3"/>
  <c r="H160" i="3"/>
  <c r="G160" i="3"/>
  <c r="J159" i="3"/>
  <c r="I159" i="3"/>
  <c r="H159" i="3"/>
  <c r="G159" i="3"/>
  <c r="J158" i="3"/>
  <c r="I158" i="3"/>
  <c r="H158" i="3"/>
  <c r="G158" i="3"/>
  <c r="J157" i="3"/>
  <c r="I157" i="3"/>
  <c r="H157" i="3"/>
  <c r="G157" i="3"/>
  <c r="J156" i="3"/>
  <c r="I156" i="3"/>
  <c r="H156" i="3"/>
  <c r="G156" i="3"/>
  <c r="J155" i="3"/>
  <c r="I155" i="3"/>
  <c r="H155" i="3"/>
  <c r="G155" i="3"/>
  <c r="J154" i="3"/>
  <c r="I154" i="3"/>
  <c r="H154" i="3"/>
  <c r="G154" i="3"/>
  <c r="J153" i="3"/>
  <c r="I153" i="3"/>
  <c r="H153" i="3"/>
  <c r="G153" i="3"/>
  <c r="J152" i="3"/>
  <c r="I152" i="3"/>
  <c r="H152" i="3"/>
  <c r="G152" i="3"/>
  <c r="J151" i="3"/>
  <c r="I151" i="3"/>
  <c r="H151" i="3"/>
  <c r="G151" i="3"/>
  <c r="J150" i="3"/>
  <c r="I150" i="3"/>
  <c r="H150" i="3"/>
  <c r="G150" i="3"/>
  <c r="J149" i="3"/>
  <c r="I149" i="3"/>
  <c r="H149" i="3"/>
  <c r="G149" i="3"/>
  <c r="J148" i="3"/>
  <c r="I148" i="3"/>
  <c r="H148" i="3"/>
  <c r="G148" i="3"/>
  <c r="J147" i="3"/>
  <c r="I147" i="3"/>
  <c r="H147" i="3"/>
  <c r="G147" i="3"/>
  <c r="J146" i="3"/>
  <c r="I146" i="3"/>
  <c r="H146" i="3"/>
  <c r="G146" i="3"/>
  <c r="J145" i="3"/>
  <c r="I145" i="3"/>
  <c r="H145" i="3"/>
  <c r="G145" i="3"/>
  <c r="J144" i="3"/>
  <c r="I144" i="3"/>
  <c r="H144" i="3"/>
  <c r="G144" i="3"/>
  <c r="J143" i="3"/>
  <c r="I143" i="3"/>
  <c r="H143" i="3"/>
  <c r="G143" i="3"/>
  <c r="J142" i="3"/>
  <c r="I142" i="3"/>
  <c r="H142" i="3"/>
  <c r="G142" i="3"/>
  <c r="J141" i="3"/>
  <c r="I141" i="3"/>
  <c r="H141" i="3"/>
  <c r="G141" i="3"/>
  <c r="J140" i="3"/>
  <c r="I140" i="3"/>
  <c r="H140" i="3"/>
  <c r="G140" i="3"/>
  <c r="J139" i="3"/>
  <c r="I139" i="3"/>
  <c r="H139" i="3"/>
  <c r="G139" i="3"/>
  <c r="J138" i="3"/>
  <c r="I138" i="3"/>
  <c r="H138" i="3"/>
  <c r="G138" i="3"/>
  <c r="J137" i="3"/>
  <c r="I137" i="3"/>
  <c r="H137" i="3"/>
  <c r="G137" i="3"/>
  <c r="J136" i="3"/>
  <c r="I136" i="3"/>
  <c r="H136" i="3"/>
  <c r="G136" i="3"/>
  <c r="J135" i="3"/>
  <c r="I135" i="3"/>
  <c r="H135" i="3"/>
  <c r="G135" i="3"/>
  <c r="J134" i="3"/>
  <c r="I134" i="3"/>
  <c r="H134" i="3"/>
  <c r="G134" i="3"/>
  <c r="J133" i="3"/>
  <c r="I133" i="3"/>
  <c r="H133" i="3"/>
  <c r="G133" i="3"/>
  <c r="J132" i="3"/>
  <c r="I132" i="3"/>
  <c r="H132" i="3"/>
  <c r="G132" i="3"/>
  <c r="J131" i="3"/>
  <c r="I131" i="3"/>
  <c r="H131" i="3"/>
  <c r="G131" i="3"/>
  <c r="J130" i="3"/>
  <c r="I130" i="3"/>
  <c r="H130" i="3"/>
  <c r="G130" i="3"/>
  <c r="J129" i="3"/>
  <c r="I129" i="3"/>
  <c r="H129" i="3"/>
  <c r="G129" i="3"/>
  <c r="J128" i="3"/>
  <c r="I128" i="3"/>
  <c r="H128" i="3"/>
  <c r="G128" i="3"/>
  <c r="J127" i="3"/>
  <c r="I127" i="3"/>
  <c r="H127" i="3"/>
  <c r="G127" i="3"/>
  <c r="J126" i="3"/>
  <c r="I126" i="3"/>
  <c r="H126" i="3"/>
  <c r="G126" i="3"/>
  <c r="J125" i="3"/>
  <c r="I125" i="3"/>
  <c r="H125" i="3"/>
  <c r="G125" i="3"/>
  <c r="J124" i="3"/>
  <c r="I124" i="3"/>
  <c r="H124" i="3"/>
  <c r="G124" i="3"/>
  <c r="J123" i="3"/>
  <c r="I123" i="3"/>
  <c r="H123" i="3"/>
  <c r="G123" i="3"/>
  <c r="J122" i="3"/>
  <c r="I122" i="3"/>
  <c r="H122" i="3"/>
  <c r="G122" i="3"/>
  <c r="J121" i="3"/>
  <c r="I121" i="3"/>
  <c r="H121" i="3"/>
  <c r="G121" i="3"/>
  <c r="J120" i="3"/>
  <c r="I120" i="3"/>
  <c r="H120" i="3"/>
  <c r="G120" i="3"/>
  <c r="J119" i="3"/>
  <c r="I119" i="3"/>
  <c r="H119" i="3"/>
  <c r="G119" i="3"/>
  <c r="J118" i="3"/>
  <c r="I118" i="3"/>
  <c r="H118" i="3"/>
  <c r="G118" i="3"/>
  <c r="J117" i="3"/>
  <c r="I117" i="3"/>
  <c r="H117" i="3"/>
  <c r="G117" i="3"/>
  <c r="J116" i="3"/>
  <c r="I116" i="3"/>
  <c r="H116" i="3"/>
  <c r="G116" i="3"/>
  <c r="J115" i="3"/>
  <c r="I115" i="3"/>
  <c r="H115" i="3"/>
  <c r="G115" i="3"/>
  <c r="J114" i="3"/>
  <c r="I114" i="3"/>
  <c r="H114" i="3"/>
  <c r="G114" i="3"/>
  <c r="J113" i="3"/>
  <c r="I113" i="3"/>
  <c r="H113" i="3"/>
  <c r="G113" i="3"/>
  <c r="J112" i="3"/>
  <c r="I112" i="3"/>
  <c r="H112" i="3"/>
  <c r="G112" i="3"/>
  <c r="J111" i="3"/>
  <c r="I111" i="3"/>
  <c r="H111" i="3"/>
  <c r="G111" i="3"/>
  <c r="J110" i="3"/>
  <c r="I110" i="3"/>
  <c r="H110" i="3"/>
  <c r="G110" i="3"/>
  <c r="J109" i="3"/>
  <c r="I109" i="3"/>
  <c r="H109" i="3"/>
  <c r="G109" i="3"/>
  <c r="J108" i="3"/>
  <c r="I108" i="3"/>
  <c r="H108" i="3"/>
  <c r="G108" i="3"/>
  <c r="J107" i="3"/>
  <c r="I107" i="3"/>
  <c r="H107" i="3"/>
  <c r="G107" i="3"/>
  <c r="J106" i="3"/>
  <c r="I106" i="3"/>
  <c r="H106" i="3"/>
  <c r="G106" i="3"/>
  <c r="J105" i="3"/>
  <c r="I105" i="3"/>
  <c r="H105" i="3"/>
  <c r="G105" i="3"/>
  <c r="J104" i="3"/>
  <c r="I104" i="3"/>
  <c r="H104" i="3"/>
  <c r="G104" i="3"/>
  <c r="J103" i="3"/>
  <c r="I103" i="3"/>
  <c r="H103" i="3"/>
  <c r="G103" i="3"/>
  <c r="J102" i="3"/>
  <c r="I102" i="3"/>
  <c r="H102" i="3"/>
  <c r="G102" i="3"/>
  <c r="J101" i="3"/>
  <c r="I101" i="3"/>
  <c r="H101" i="3"/>
  <c r="G101" i="3"/>
  <c r="J100" i="3"/>
  <c r="I100" i="3"/>
  <c r="H100" i="3"/>
  <c r="G100" i="3"/>
  <c r="J99" i="3"/>
  <c r="I99" i="3"/>
  <c r="H99" i="3"/>
  <c r="G99" i="3"/>
  <c r="J98" i="3"/>
  <c r="I98" i="3"/>
  <c r="H98" i="3"/>
  <c r="G98" i="3"/>
  <c r="J97" i="3"/>
  <c r="I97" i="3"/>
  <c r="H97" i="3"/>
  <c r="G97" i="3"/>
  <c r="J96" i="3"/>
  <c r="I96" i="3"/>
  <c r="H96" i="3"/>
  <c r="G96" i="3"/>
  <c r="J95" i="3"/>
  <c r="I95" i="3"/>
  <c r="H95" i="3"/>
  <c r="G95" i="3"/>
  <c r="J94" i="3"/>
  <c r="I94" i="3"/>
  <c r="H94" i="3"/>
  <c r="G94" i="3"/>
  <c r="J93" i="3"/>
  <c r="I93" i="3"/>
  <c r="H93" i="3"/>
  <c r="G93" i="3"/>
  <c r="J92" i="3"/>
  <c r="I92" i="3"/>
  <c r="H92" i="3"/>
  <c r="G92" i="3"/>
  <c r="J91" i="3"/>
  <c r="I91" i="3"/>
  <c r="H91" i="3"/>
  <c r="G91" i="3"/>
  <c r="J90" i="3"/>
  <c r="I90" i="3"/>
  <c r="H90" i="3"/>
  <c r="G90" i="3"/>
  <c r="J89" i="3"/>
  <c r="I89" i="3"/>
  <c r="H89" i="3"/>
  <c r="G89" i="3"/>
  <c r="J88" i="3"/>
  <c r="I88" i="3"/>
  <c r="H88" i="3"/>
  <c r="G88" i="3"/>
  <c r="J87" i="3"/>
  <c r="I87" i="3"/>
  <c r="H87" i="3"/>
  <c r="G87" i="3"/>
  <c r="J86" i="3"/>
  <c r="I86" i="3"/>
  <c r="H86" i="3"/>
  <c r="G86" i="3"/>
  <c r="J85" i="3"/>
  <c r="I85" i="3"/>
  <c r="H85" i="3"/>
  <c r="G85" i="3"/>
  <c r="J84" i="3"/>
  <c r="I84" i="3"/>
  <c r="H84" i="3"/>
  <c r="G84" i="3"/>
  <c r="J83" i="3"/>
  <c r="I83" i="3"/>
  <c r="H83" i="3"/>
  <c r="G83" i="3"/>
  <c r="J82" i="3"/>
  <c r="I82" i="3"/>
  <c r="H82" i="3"/>
  <c r="G82" i="3"/>
  <c r="J81" i="3"/>
  <c r="I81" i="3"/>
  <c r="H81" i="3"/>
  <c r="G81" i="3"/>
  <c r="J80" i="3"/>
  <c r="I80" i="3"/>
  <c r="H80" i="3"/>
  <c r="G80" i="3"/>
  <c r="J79" i="3"/>
  <c r="I79" i="3"/>
  <c r="H79" i="3"/>
  <c r="G79" i="3"/>
  <c r="J78" i="3"/>
  <c r="I78" i="3"/>
  <c r="H78" i="3"/>
  <c r="G78" i="3"/>
  <c r="J77" i="3"/>
  <c r="I77" i="3"/>
  <c r="H77" i="3"/>
  <c r="G77" i="3"/>
  <c r="J76" i="3"/>
  <c r="I76" i="3"/>
  <c r="H76" i="3"/>
  <c r="G76" i="3"/>
  <c r="J75" i="3"/>
  <c r="I75" i="3"/>
  <c r="H75" i="3"/>
  <c r="G75" i="3"/>
  <c r="J74" i="3"/>
  <c r="I74" i="3"/>
  <c r="H74" i="3"/>
  <c r="G74" i="3"/>
  <c r="J73" i="3"/>
  <c r="I73" i="3"/>
  <c r="H73" i="3"/>
  <c r="G73" i="3"/>
  <c r="J72" i="3"/>
  <c r="I72" i="3"/>
  <c r="H72" i="3"/>
  <c r="G72" i="3"/>
  <c r="J71" i="3"/>
  <c r="I71" i="3"/>
  <c r="H71" i="3"/>
  <c r="G71" i="3"/>
  <c r="J70" i="3"/>
  <c r="I70" i="3"/>
  <c r="H70" i="3"/>
  <c r="G70" i="3"/>
  <c r="J69" i="3"/>
  <c r="I69" i="3"/>
  <c r="H69" i="3"/>
  <c r="G69" i="3"/>
  <c r="J68" i="3"/>
  <c r="I68" i="3"/>
  <c r="H68" i="3"/>
  <c r="G68" i="3"/>
  <c r="J67" i="3"/>
  <c r="I67" i="3"/>
  <c r="H67" i="3"/>
  <c r="G67" i="3"/>
  <c r="J66" i="3"/>
  <c r="I66" i="3"/>
  <c r="H66" i="3"/>
  <c r="G66" i="3"/>
  <c r="J65" i="3"/>
  <c r="I65" i="3"/>
  <c r="H65" i="3"/>
  <c r="G65" i="3"/>
  <c r="J64" i="3"/>
  <c r="I64" i="3"/>
  <c r="H64" i="3"/>
  <c r="G64" i="3"/>
  <c r="J63" i="3"/>
  <c r="I63" i="3"/>
  <c r="H63" i="3"/>
  <c r="G63" i="3"/>
  <c r="J62" i="3"/>
  <c r="I62" i="3"/>
  <c r="H62" i="3"/>
  <c r="G62" i="3"/>
  <c r="J61" i="3"/>
  <c r="I61" i="3"/>
  <c r="H61" i="3"/>
  <c r="G61" i="3"/>
  <c r="J60" i="3"/>
  <c r="I60" i="3"/>
  <c r="H60" i="3"/>
  <c r="G60" i="3"/>
  <c r="J59" i="3"/>
  <c r="I59" i="3"/>
  <c r="H59" i="3"/>
  <c r="G59" i="3"/>
  <c r="J58" i="3"/>
  <c r="I58" i="3"/>
  <c r="H58" i="3"/>
  <c r="G58" i="3"/>
  <c r="J57" i="3"/>
  <c r="I57" i="3"/>
  <c r="H57" i="3"/>
  <c r="G57" i="3"/>
  <c r="J56" i="3"/>
  <c r="I56" i="3"/>
  <c r="H56" i="3"/>
  <c r="G56" i="3"/>
  <c r="J55" i="3"/>
  <c r="I55" i="3"/>
  <c r="H55" i="3"/>
  <c r="G55" i="3"/>
  <c r="J54" i="3"/>
  <c r="I54" i="3"/>
  <c r="H54" i="3"/>
  <c r="G54" i="3"/>
  <c r="J53" i="3"/>
  <c r="I53" i="3"/>
  <c r="H53" i="3"/>
  <c r="G53" i="3"/>
  <c r="J52" i="3"/>
  <c r="I52" i="3"/>
  <c r="H52" i="3"/>
  <c r="G52" i="3"/>
  <c r="J51" i="3"/>
  <c r="I51" i="3"/>
  <c r="H51" i="3"/>
  <c r="G51" i="3"/>
  <c r="J50" i="3"/>
  <c r="I50" i="3"/>
  <c r="H50" i="3"/>
  <c r="G50" i="3"/>
  <c r="J49" i="3"/>
  <c r="I49" i="3"/>
  <c r="H49" i="3"/>
  <c r="G49" i="3"/>
  <c r="J48" i="3"/>
  <c r="I48" i="3"/>
  <c r="H48" i="3"/>
  <c r="G48" i="3"/>
  <c r="J47" i="3"/>
  <c r="I47" i="3"/>
  <c r="H47" i="3"/>
  <c r="G47" i="3"/>
  <c r="J46" i="3"/>
  <c r="I46" i="3"/>
  <c r="H46" i="3"/>
  <c r="G46" i="3"/>
  <c r="J45" i="3"/>
  <c r="I45" i="3"/>
  <c r="H45" i="3"/>
  <c r="G45" i="3"/>
  <c r="J44" i="3"/>
  <c r="I44" i="3"/>
  <c r="H44" i="3"/>
  <c r="G44" i="3"/>
  <c r="J43" i="3"/>
  <c r="I43" i="3"/>
  <c r="H43" i="3"/>
  <c r="G43" i="3"/>
  <c r="J42" i="3"/>
  <c r="I42" i="3"/>
  <c r="H42" i="3"/>
  <c r="G42" i="3"/>
  <c r="J41" i="3"/>
  <c r="I41" i="3"/>
  <c r="H41" i="3"/>
  <c r="G41" i="3"/>
  <c r="J40" i="3"/>
  <c r="I40" i="3"/>
  <c r="H40" i="3"/>
  <c r="G40" i="3"/>
  <c r="J39" i="3"/>
  <c r="I39" i="3"/>
  <c r="H39" i="3"/>
  <c r="G39" i="3"/>
  <c r="J38" i="3"/>
  <c r="I38" i="3"/>
  <c r="H38" i="3"/>
  <c r="G38" i="3"/>
  <c r="J37" i="3"/>
  <c r="I37" i="3"/>
  <c r="H37" i="3"/>
  <c r="G37" i="3"/>
  <c r="J36" i="3"/>
  <c r="I36" i="3"/>
  <c r="H36" i="3"/>
  <c r="G36" i="3"/>
  <c r="J35" i="3"/>
  <c r="I35" i="3"/>
  <c r="H35" i="3"/>
  <c r="G35" i="3"/>
  <c r="J34" i="3"/>
  <c r="I34" i="3"/>
  <c r="H34" i="3"/>
  <c r="G34" i="3"/>
  <c r="J33" i="3"/>
  <c r="I33" i="3"/>
  <c r="H33" i="3"/>
  <c r="G33" i="3"/>
  <c r="J32" i="3"/>
  <c r="I32" i="3"/>
  <c r="H32" i="3"/>
  <c r="G32" i="3"/>
  <c r="J31" i="3"/>
  <c r="I31" i="3"/>
  <c r="H31" i="3"/>
  <c r="G31" i="3"/>
  <c r="J30" i="3"/>
  <c r="I30" i="3"/>
  <c r="H30" i="3"/>
  <c r="G30" i="3"/>
  <c r="J29" i="3"/>
  <c r="I29" i="3"/>
  <c r="H29" i="3"/>
  <c r="G29" i="3"/>
  <c r="J28" i="3"/>
  <c r="I28" i="3"/>
  <c r="H28" i="3"/>
  <c r="G28" i="3"/>
  <c r="J27" i="3"/>
  <c r="I27" i="3"/>
  <c r="H27" i="3"/>
  <c r="G27" i="3"/>
  <c r="J26" i="3"/>
  <c r="I26" i="3"/>
  <c r="H26" i="3"/>
  <c r="G26" i="3"/>
  <c r="J25" i="3"/>
  <c r="I25" i="3"/>
  <c r="H25" i="3"/>
  <c r="G25" i="3"/>
  <c r="J24" i="3"/>
  <c r="I24" i="3"/>
  <c r="H24" i="3"/>
  <c r="G24" i="3"/>
  <c r="J23" i="3"/>
  <c r="I23" i="3"/>
  <c r="H23" i="3"/>
  <c r="G23" i="3"/>
  <c r="J22" i="3"/>
  <c r="I22" i="3"/>
  <c r="H22" i="3"/>
  <c r="G22" i="3"/>
  <c r="J21" i="3"/>
  <c r="I21" i="3"/>
  <c r="H21" i="3"/>
  <c r="G21" i="3"/>
  <c r="J20" i="3"/>
  <c r="I20" i="3"/>
  <c r="H20" i="3"/>
  <c r="G20" i="3"/>
  <c r="J19" i="3"/>
  <c r="I19" i="3"/>
  <c r="H19" i="3"/>
  <c r="G19" i="3"/>
  <c r="J18" i="3"/>
  <c r="I18" i="3"/>
  <c r="H18" i="3"/>
  <c r="G18" i="3"/>
  <c r="J17" i="3"/>
  <c r="I17" i="3"/>
  <c r="H17" i="3"/>
  <c r="G17" i="3"/>
  <c r="J16" i="3"/>
  <c r="I16" i="3"/>
  <c r="H16" i="3"/>
  <c r="G16" i="3"/>
  <c r="J15" i="3"/>
  <c r="I15" i="3"/>
  <c r="H15" i="3"/>
  <c r="G15" i="3"/>
  <c r="J14" i="3"/>
  <c r="I14" i="3"/>
  <c r="H14" i="3"/>
  <c r="G14" i="3"/>
  <c r="J13" i="3"/>
  <c r="I13" i="3"/>
  <c r="H13" i="3"/>
  <c r="G13" i="3"/>
  <c r="J12" i="3"/>
  <c r="I12" i="3"/>
  <c r="H12" i="3"/>
  <c r="G12" i="3"/>
  <c r="J11" i="3"/>
  <c r="I11" i="3"/>
  <c r="H11" i="3"/>
  <c r="G11" i="3"/>
  <c r="J10" i="3"/>
  <c r="I10" i="3"/>
  <c r="H10" i="3"/>
  <c r="G10" i="3"/>
  <c r="J9" i="3"/>
  <c r="I9" i="3"/>
  <c r="H9" i="3"/>
  <c r="G9" i="3"/>
  <c r="G8" i="3"/>
  <c r="H8" i="3"/>
  <c r="I8" i="3"/>
  <c r="J8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1" i="3"/>
  <c r="F182" i="3"/>
  <c r="F183" i="3"/>
  <c r="F184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373" i="3"/>
  <c r="F374" i="3"/>
  <c r="F375" i="3"/>
  <c r="F376" i="3"/>
  <c r="F378" i="3"/>
  <c r="F379" i="3"/>
  <c r="F409" i="3"/>
  <c r="F410" i="3"/>
  <c r="F411" i="3"/>
  <c r="F412" i="3"/>
  <c r="F444" i="3"/>
  <c r="F445" i="3"/>
  <c r="F446" i="3"/>
  <c r="BQ247" i="11"/>
  <c r="J247" i="11" s="1"/>
  <c r="BL247" i="11"/>
  <c r="H247" i="11" s="1"/>
  <c r="BQ246" i="11"/>
  <c r="J246" i="11" s="1"/>
  <c r="BL246" i="11"/>
  <c r="H246" i="11" s="1"/>
  <c r="BQ248" i="11"/>
  <c r="J248" i="11" s="1"/>
  <c r="BL248" i="11"/>
  <c r="H248" i="11" s="1"/>
  <c r="BL177" i="11"/>
  <c r="H177" i="11" s="1"/>
  <c r="BQ177" i="11"/>
  <c r="J177" i="11" s="1"/>
  <c r="BL178" i="11"/>
  <c r="H178" i="11" s="1"/>
  <c r="BQ178" i="11"/>
  <c r="J178" i="11" s="1"/>
  <c r="BL179" i="11"/>
  <c r="H179" i="11" s="1"/>
  <c r="BQ179" i="11"/>
  <c r="J179" i="11" s="1"/>
  <c r="BL180" i="11"/>
  <c r="H180" i="11" s="1"/>
  <c r="BQ180" i="11"/>
  <c r="J180" i="11" s="1"/>
  <c r="BL181" i="11"/>
  <c r="H181" i="11" s="1"/>
  <c r="BQ181" i="11"/>
  <c r="J181" i="11" s="1"/>
  <c r="BL182" i="11"/>
  <c r="H182" i="11" s="1"/>
  <c r="BQ182" i="11"/>
  <c r="J182" i="11" s="1"/>
  <c r="BL183" i="11"/>
  <c r="H183" i="11" s="1"/>
  <c r="BQ183" i="11"/>
  <c r="J183" i="11" s="1"/>
  <c r="BQ176" i="11"/>
  <c r="J176" i="11" s="1"/>
  <c r="BL176" i="11"/>
  <c r="H176" i="11" s="1"/>
  <c r="BQ127" i="11"/>
  <c r="J127" i="11" s="1"/>
  <c r="BL127" i="11"/>
  <c r="H127" i="11" s="1"/>
  <c r="BQ126" i="11"/>
  <c r="J126" i="11" s="1"/>
  <c r="BL126" i="11"/>
  <c r="H126" i="11" s="1"/>
  <c r="BL92" i="11"/>
  <c r="H92" i="11" s="1"/>
  <c r="BQ92" i="11"/>
  <c r="J92" i="11" s="1"/>
  <c r="BL93" i="11"/>
  <c r="H93" i="11" s="1"/>
  <c r="BQ93" i="11"/>
  <c r="J93" i="11" s="1"/>
  <c r="BL94" i="11"/>
  <c r="H94" i="11" s="1"/>
  <c r="BQ94" i="11"/>
  <c r="J94" i="11" s="1"/>
  <c r="BL97" i="11"/>
  <c r="H97" i="11" s="1"/>
  <c r="BQ97" i="11"/>
  <c r="J97" i="11" s="1"/>
  <c r="BL98" i="11"/>
  <c r="H98" i="11" s="1"/>
  <c r="BQ98" i="11"/>
  <c r="J98" i="11" s="1"/>
  <c r="BL99" i="11"/>
  <c r="H99" i="11" s="1"/>
  <c r="BQ99" i="11"/>
  <c r="J99" i="11" s="1"/>
  <c r="BQ91" i="11"/>
  <c r="J91" i="11" s="1"/>
  <c r="BL91" i="11"/>
  <c r="H91" i="11" s="1"/>
  <c r="BR185" i="10"/>
  <c r="I185" i="10" s="1"/>
  <c r="BW185" i="10"/>
  <c r="K185" i="10" s="1"/>
  <c r="BR186" i="10"/>
  <c r="I186" i="10" s="1"/>
  <c r="BW186" i="10"/>
  <c r="K186" i="10" s="1"/>
  <c r="BR187" i="10"/>
  <c r="I187" i="10" s="1"/>
  <c r="BW187" i="10"/>
  <c r="K187" i="10" s="1"/>
  <c r="BR188" i="10"/>
  <c r="I188" i="10" s="1"/>
  <c r="BW188" i="10"/>
  <c r="K188" i="10" s="1"/>
  <c r="BR189" i="10"/>
  <c r="I189" i="10" s="1"/>
  <c r="BW189" i="10"/>
  <c r="K189" i="10" s="1"/>
  <c r="BW184" i="10"/>
  <c r="K184" i="10" s="1"/>
  <c r="BR184" i="10"/>
  <c r="I184" i="10" s="1"/>
  <c r="BR149" i="10"/>
  <c r="BS149" i="10"/>
  <c r="BW149" i="10"/>
  <c r="BX149" i="10"/>
  <c r="BR150" i="10"/>
  <c r="BS150" i="10"/>
  <c r="BW150" i="10"/>
  <c r="BX150" i="10"/>
  <c r="BR151" i="10"/>
  <c r="BS151" i="10"/>
  <c r="BW151" i="10"/>
  <c r="BX151" i="10"/>
  <c r="BR152" i="10"/>
  <c r="I152" i="10" s="1"/>
  <c r="BW152" i="10"/>
  <c r="K152" i="10" s="1"/>
  <c r="BR153" i="10"/>
  <c r="I153" i="10" s="1"/>
  <c r="BW153" i="10"/>
  <c r="K153" i="10" s="1"/>
  <c r="BR154" i="10"/>
  <c r="BS154" i="10"/>
  <c r="BW154" i="10"/>
  <c r="K154" i="10" s="1"/>
  <c r="BW155" i="10"/>
  <c r="K155" i="10" s="1"/>
  <c r="BR156" i="10"/>
  <c r="I156" i="10" s="1"/>
  <c r="BW156" i="10"/>
  <c r="K156" i="10" s="1"/>
  <c r="BR157" i="10"/>
  <c r="I157" i="10" s="1"/>
  <c r="BW157" i="10"/>
  <c r="K157" i="10" s="1"/>
  <c r="BR158" i="10"/>
  <c r="I158" i="10" s="1"/>
  <c r="BW158" i="10"/>
  <c r="K158" i="10" s="1"/>
  <c r="BR159" i="10"/>
  <c r="BS159" i="10"/>
  <c r="BW159" i="10"/>
  <c r="K159" i="10" s="1"/>
  <c r="BR160" i="10"/>
  <c r="I160" i="10" s="1"/>
  <c r="BW160" i="10"/>
  <c r="K160" i="10" s="1"/>
  <c r="BR161" i="10"/>
  <c r="I161" i="10" s="1"/>
  <c r="BW161" i="10"/>
  <c r="K161" i="10" s="1"/>
  <c r="BR162" i="10"/>
  <c r="I162" i="10" s="1"/>
  <c r="BW162" i="10"/>
  <c r="K162" i="10" s="1"/>
  <c r="BX148" i="10"/>
  <c r="BW148" i="10"/>
  <c r="BS148" i="10"/>
  <c r="BR148" i="10"/>
  <c r="BW86" i="10"/>
  <c r="BX86" i="10"/>
  <c r="BW87" i="10"/>
  <c r="BX87" i="10"/>
  <c r="BW88" i="10"/>
  <c r="BX88" i="10"/>
  <c r="BW89" i="10"/>
  <c r="BX89" i="10"/>
  <c r="BW90" i="10"/>
  <c r="BX90" i="10"/>
  <c r="BW91" i="10"/>
  <c r="K91" i="10" s="1"/>
  <c r="BW92" i="10"/>
  <c r="K92" i="10" s="1"/>
  <c r="BW93" i="10"/>
  <c r="K93" i="10" s="1"/>
  <c r="BW94" i="10"/>
  <c r="K94" i="10" s="1"/>
  <c r="BW95" i="10"/>
  <c r="K95" i="10" s="1"/>
  <c r="BW96" i="10"/>
  <c r="K96" i="10" s="1"/>
  <c r="BW97" i="10"/>
  <c r="K97" i="10" s="1"/>
  <c r="BW98" i="10"/>
  <c r="K98" i="10" s="1"/>
  <c r="BW99" i="10"/>
  <c r="K99" i="10" s="1"/>
  <c r="BW100" i="10"/>
  <c r="K100" i="10" s="1"/>
  <c r="BW101" i="10"/>
  <c r="K101" i="10" s="1"/>
  <c r="BW102" i="10"/>
  <c r="K102" i="10" s="1"/>
  <c r="BW103" i="10"/>
  <c r="K103" i="10" s="1"/>
  <c r="BW104" i="10"/>
  <c r="K104" i="10" s="1"/>
  <c r="BW105" i="10"/>
  <c r="K105" i="10" s="1"/>
  <c r="BW106" i="10"/>
  <c r="K106" i="10" s="1"/>
  <c r="BW107" i="10"/>
  <c r="K107" i="10" s="1"/>
  <c r="BW108" i="10"/>
  <c r="K108" i="10" s="1"/>
  <c r="BW109" i="10"/>
  <c r="K109" i="10" s="1"/>
  <c r="BW110" i="10"/>
  <c r="K110" i="10" s="1"/>
  <c r="BX85" i="10"/>
  <c r="BW85" i="10"/>
  <c r="BS91" i="10"/>
  <c r="BR86" i="10"/>
  <c r="BS86" i="10"/>
  <c r="BR87" i="10"/>
  <c r="BS87" i="10"/>
  <c r="BS88" i="10"/>
  <c r="BR89" i="10"/>
  <c r="BS89" i="10"/>
  <c r="BR90" i="10"/>
  <c r="BS90" i="10"/>
  <c r="BR91" i="10"/>
  <c r="BR92" i="10"/>
  <c r="I92" i="10" s="1"/>
  <c r="BR93" i="10"/>
  <c r="I93" i="10" s="1"/>
  <c r="BR94" i="10"/>
  <c r="I94" i="10" s="1"/>
  <c r="BR95" i="10"/>
  <c r="I95" i="10" s="1"/>
  <c r="BR96" i="10"/>
  <c r="I96" i="10" s="1"/>
  <c r="BR97" i="10"/>
  <c r="I97" i="10" s="1"/>
  <c r="BR98" i="10"/>
  <c r="I98" i="10" s="1"/>
  <c r="BR99" i="10"/>
  <c r="I99" i="10" s="1"/>
  <c r="BR100" i="10"/>
  <c r="I100" i="10" s="1"/>
  <c r="BR101" i="10"/>
  <c r="I101" i="10" s="1"/>
  <c r="BR102" i="10"/>
  <c r="I102" i="10" s="1"/>
  <c r="BR103" i="10"/>
  <c r="I103" i="10" s="1"/>
  <c r="BR104" i="10"/>
  <c r="I104" i="10" s="1"/>
  <c r="BR105" i="10"/>
  <c r="I105" i="10" s="1"/>
  <c r="BR106" i="10"/>
  <c r="I106" i="10" s="1"/>
  <c r="BR107" i="10"/>
  <c r="I107" i="10" s="1"/>
  <c r="BR108" i="10"/>
  <c r="I108" i="10" s="1"/>
  <c r="BR109" i="10"/>
  <c r="I109" i="10" s="1"/>
  <c r="BR110" i="10"/>
  <c r="I110" i="10" s="1"/>
  <c r="I111" i="10"/>
  <c r="BR85" i="10"/>
  <c r="BS85" i="10"/>
  <c r="BR70" i="10"/>
  <c r="I70" i="10" s="1"/>
  <c r="BX70" i="10"/>
  <c r="K70" i="10" s="1"/>
  <c r="BR71" i="10"/>
  <c r="I71" i="10" s="1"/>
  <c r="BX71" i="10"/>
  <c r="K71" i="10" s="1"/>
  <c r="BR72" i="10"/>
  <c r="I72" i="10" s="1"/>
  <c r="BX72" i="10"/>
  <c r="K72" i="10" s="1"/>
  <c r="BR73" i="10"/>
  <c r="I73" i="10" s="1"/>
  <c r="BX73" i="10"/>
  <c r="K73" i="10" s="1"/>
  <c r="BR74" i="10"/>
  <c r="I74" i="10" s="1"/>
  <c r="BX74" i="10"/>
  <c r="K74" i="10" s="1"/>
  <c r="BR75" i="10"/>
  <c r="I75" i="10" s="1"/>
  <c r="BX75" i="10"/>
  <c r="K75" i="10" s="1"/>
  <c r="BR76" i="10"/>
  <c r="I76" i="10" s="1"/>
  <c r="BX76" i="10"/>
  <c r="K76" i="10" s="1"/>
  <c r="BR77" i="10"/>
  <c r="I77" i="10" s="1"/>
  <c r="BX77" i="10"/>
  <c r="K77" i="10" s="1"/>
  <c r="BX69" i="10"/>
  <c r="K69" i="10" s="1"/>
  <c r="BR69" i="10"/>
  <c r="I69" i="10" s="1"/>
  <c r="BX37" i="10"/>
  <c r="K37" i="10" s="1"/>
  <c r="BX38" i="10"/>
  <c r="K38" i="10" s="1"/>
  <c r="BX39" i="10"/>
  <c r="K39" i="10" s="1"/>
  <c r="BX40" i="10"/>
  <c r="K40" i="10" s="1"/>
  <c r="BX41" i="10"/>
  <c r="K41" i="10" s="1"/>
  <c r="BX42" i="10"/>
  <c r="K42" i="10" s="1"/>
  <c r="BX43" i="10"/>
  <c r="K43" i="10" s="1"/>
  <c r="BX36" i="10"/>
  <c r="K36" i="10" s="1"/>
  <c r="BR43" i="10"/>
  <c r="I43" i="10" s="1"/>
  <c r="BR39" i="10"/>
  <c r="I39" i="10" s="1"/>
  <c r="BR42" i="10"/>
  <c r="BR41" i="10"/>
  <c r="I41" i="10" s="1"/>
  <c r="BR40" i="10"/>
  <c r="I40" i="10" s="1"/>
  <c r="BR37" i="10"/>
  <c r="I37" i="10" s="1"/>
  <c r="BR38" i="10"/>
  <c r="I38" i="10" s="1"/>
  <c r="BR36" i="10"/>
  <c r="I36" i="10" s="1"/>
  <c r="BW582" i="3"/>
  <c r="BW659" i="3"/>
  <c r="J659" i="3" s="1"/>
  <c r="BW656" i="3"/>
  <c r="J656" i="3" s="1"/>
  <c r="BW653" i="3"/>
  <c r="J653" i="3" s="1"/>
  <c r="BW651" i="3"/>
  <c r="J651" i="3" s="1"/>
  <c r="BX649" i="3"/>
  <c r="BW649" i="3"/>
  <c r="BX646" i="3"/>
  <c r="BW646" i="3"/>
  <c r="BX643" i="3"/>
  <c r="BW643" i="3"/>
  <c r="BX640" i="3"/>
  <c r="BW640" i="3"/>
  <c r="BW637" i="3"/>
  <c r="J637" i="3" s="1"/>
  <c r="BW634" i="3"/>
  <c r="J634" i="3" s="1"/>
  <c r="BW631" i="3"/>
  <c r="J631" i="3" s="1"/>
  <c r="BW628" i="3"/>
  <c r="J628" i="3" s="1"/>
  <c r="BW625" i="3"/>
  <c r="J625" i="3" s="1"/>
  <c r="BW621" i="3"/>
  <c r="J621" i="3" s="1"/>
  <c r="BW617" i="3"/>
  <c r="J617" i="3" s="1"/>
  <c r="BW614" i="3"/>
  <c r="J614" i="3" s="1"/>
  <c r="BW611" i="3"/>
  <c r="J611" i="3" s="1"/>
  <c r="BW608" i="3"/>
  <c r="J608" i="3" s="1"/>
  <c r="BW605" i="3"/>
  <c r="J605" i="3" s="1"/>
  <c r="BW602" i="3"/>
  <c r="J602" i="3" s="1"/>
  <c r="BW600" i="3"/>
  <c r="J600" i="3" s="1"/>
  <c r="BW598" i="3"/>
  <c r="J598" i="3" s="1"/>
  <c r="BW596" i="3"/>
  <c r="J596" i="3" s="1"/>
  <c r="BX594" i="3"/>
  <c r="BW594" i="3"/>
  <c r="BX592" i="3"/>
  <c r="BW592" i="3"/>
  <c r="BX590" i="3"/>
  <c r="BW590" i="3"/>
  <c r="BW587" i="3"/>
  <c r="J587" i="3" s="1"/>
  <c r="BW584" i="3"/>
  <c r="J584" i="3" s="1"/>
  <c r="BX581" i="3"/>
  <c r="BW581" i="3"/>
  <c r="BX577" i="3"/>
  <c r="BW577" i="3"/>
  <c r="BY573" i="3"/>
  <c r="BX573" i="3"/>
  <c r="BW573" i="3"/>
  <c r="BY570" i="3"/>
  <c r="BX570" i="3"/>
  <c r="BW570" i="3"/>
  <c r="BY567" i="3"/>
  <c r="BX567" i="3"/>
  <c r="BW567" i="3"/>
  <c r="BX564" i="3"/>
  <c r="BW564" i="3"/>
  <c r="BW559" i="3"/>
  <c r="J559" i="3" s="1"/>
  <c r="BW556" i="3"/>
  <c r="J556" i="3" s="1"/>
  <c r="BX552" i="3"/>
  <c r="BW552" i="3"/>
  <c r="BW549" i="3"/>
  <c r="J549" i="3" s="1"/>
  <c r="BW547" i="3"/>
  <c r="J547" i="3" s="1"/>
  <c r="BW548" i="3"/>
  <c r="J548" i="3" s="1"/>
  <c r="BW550" i="3"/>
  <c r="BX550" i="3"/>
  <c r="BW551" i="3"/>
  <c r="BX551" i="3"/>
  <c r="BW553" i="3"/>
  <c r="BX553" i="3"/>
  <c r="BY553" i="3"/>
  <c r="BX554" i="3"/>
  <c r="BY554" i="3"/>
  <c r="BW555" i="3"/>
  <c r="BX555" i="3"/>
  <c r="BW557" i="3"/>
  <c r="BX557" i="3"/>
  <c r="BW558" i="3"/>
  <c r="J558" i="3" s="1"/>
  <c r="BW560" i="3"/>
  <c r="J560" i="3" s="1"/>
  <c r="BW561" i="3"/>
  <c r="J561" i="3" s="1"/>
  <c r="BW562" i="3"/>
  <c r="BX562" i="3"/>
  <c r="BW563" i="3"/>
  <c r="BX563" i="3"/>
  <c r="BW565" i="3"/>
  <c r="BX565" i="3"/>
  <c r="BY565" i="3"/>
  <c r="BW566" i="3"/>
  <c r="BX566" i="3"/>
  <c r="BY566" i="3"/>
  <c r="BW568" i="3"/>
  <c r="BX568" i="3"/>
  <c r="BY568" i="3"/>
  <c r="BW569" i="3"/>
  <c r="BX569" i="3"/>
  <c r="BY569" i="3"/>
  <c r="BW571" i="3"/>
  <c r="BX571" i="3"/>
  <c r="BY571" i="3"/>
  <c r="BW572" i="3"/>
  <c r="BX572" i="3"/>
  <c r="BY572" i="3"/>
  <c r="BW574" i="3"/>
  <c r="BX574" i="3"/>
  <c r="BY574" i="3"/>
  <c r="BW575" i="3"/>
  <c r="BX575" i="3"/>
  <c r="BY575" i="3"/>
  <c r="BW576" i="3"/>
  <c r="BX576" i="3"/>
  <c r="BY576" i="3"/>
  <c r="BX578" i="3"/>
  <c r="J578" i="3" s="1"/>
  <c r="BW579" i="3"/>
  <c r="BX579" i="3"/>
  <c r="BW580" i="3"/>
  <c r="BX580" i="3"/>
  <c r="BX582" i="3"/>
  <c r="BW583" i="3"/>
  <c r="J583" i="3" s="1"/>
  <c r="BW585" i="3"/>
  <c r="J585" i="3" s="1"/>
  <c r="BW586" i="3"/>
  <c r="J586" i="3" s="1"/>
  <c r="BW588" i="3"/>
  <c r="BX588" i="3"/>
  <c r="BW589" i="3"/>
  <c r="BX589" i="3"/>
  <c r="BW591" i="3"/>
  <c r="BX591" i="3"/>
  <c r="BW593" i="3"/>
  <c r="BX593" i="3"/>
  <c r="BW595" i="3"/>
  <c r="J595" i="3" s="1"/>
  <c r="BW597" i="3"/>
  <c r="J597" i="3" s="1"/>
  <c r="BW599" i="3"/>
  <c r="J599" i="3" s="1"/>
  <c r="BW601" i="3"/>
  <c r="J601" i="3" s="1"/>
  <c r="BW603" i="3"/>
  <c r="J603" i="3" s="1"/>
  <c r="BW604" i="3"/>
  <c r="J604" i="3" s="1"/>
  <c r="BW606" i="3"/>
  <c r="J606" i="3" s="1"/>
  <c r="BW607" i="3"/>
  <c r="J607" i="3" s="1"/>
  <c r="BW609" i="3"/>
  <c r="J609" i="3" s="1"/>
  <c r="BW610" i="3"/>
  <c r="J610" i="3" s="1"/>
  <c r="BW612" i="3"/>
  <c r="J612" i="3" s="1"/>
  <c r="BW613" i="3"/>
  <c r="J613" i="3" s="1"/>
  <c r="BW615" i="3"/>
  <c r="J615" i="3" s="1"/>
  <c r="BW616" i="3"/>
  <c r="J616" i="3" s="1"/>
  <c r="BW618" i="3"/>
  <c r="J618" i="3" s="1"/>
  <c r="BW619" i="3"/>
  <c r="J619" i="3" s="1"/>
  <c r="BW620" i="3"/>
  <c r="J620" i="3" s="1"/>
  <c r="BW622" i="3"/>
  <c r="J622" i="3" s="1"/>
  <c r="BW623" i="3"/>
  <c r="J623" i="3" s="1"/>
  <c r="BW624" i="3"/>
  <c r="J624" i="3" s="1"/>
  <c r="BW626" i="3"/>
  <c r="J626" i="3" s="1"/>
  <c r="BW627" i="3"/>
  <c r="J627" i="3" s="1"/>
  <c r="BW629" i="3"/>
  <c r="J629" i="3" s="1"/>
  <c r="BW630" i="3"/>
  <c r="J630" i="3" s="1"/>
  <c r="BW632" i="3"/>
  <c r="J632" i="3" s="1"/>
  <c r="BW633" i="3"/>
  <c r="J633" i="3" s="1"/>
  <c r="BW635" i="3"/>
  <c r="J635" i="3" s="1"/>
  <c r="BW636" i="3"/>
  <c r="J636" i="3" s="1"/>
  <c r="BW638" i="3"/>
  <c r="J638" i="3" s="1"/>
  <c r="BW639" i="3"/>
  <c r="J639" i="3" s="1"/>
  <c r="BW641" i="3"/>
  <c r="BX641" i="3"/>
  <c r="BW642" i="3"/>
  <c r="BX642" i="3"/>
  <c r="BW644" i="3"/>
  <c r="BX644" i="3"/>
  <c r="BW645" i="3"/>
  <c r="BX645" i="3"/>
  <c r="BW647" i="3"/>
  <c r="BX647" i="3"/>
  <c r="BY647" i="3"/>
  <c r="BW648" i="3"/>
  <c r="BX648" i="3"/>
  <c r="BW650" i="3"/>
  <c r="BX650" i="3"/>
  <c r="BW652" i="3"/>
  <c r="J652" i="3" s="1"/>
  <c r="BW654" i="3"/>
  <c r="J654" i="3" s="1"/>
  <c r="BW655" i="3"/>
  <c r="J655" i="3" s="1"/>
  <c r="BW657" i="3"/>
  <c r="J657" i="3" s="1"/>
  <c r="BW658" i="3"/>
  <c r="J658" i="3" s="1"/>
  <c r="BW660" i="3"/>
  <c r="J660" i="3" s="1"/>
  <c r="BY502" i="3"/>
  <c r="BY501" i="3"/>
  <c r="BY500" i="3"/>
  <c r="BY499" i="3"/>
  <c r="BY498" i="3"/>
  <c r="BY497" i="3"/>
  <c r="BY496" i="3"/>
  <c r="BY495" i="3"/>
  <c r="BY494" i="3"/>
  <c r="BY493" i="3"/>
  <c r="BY492" i="3"/>
  <c r="BY491" i="3"/>
  <c r="BY490" i="3"/>
  <c r="BY489" i="3"/>
  <c r="BY488" i="3"/>
  <c r="BY487" i="3"/>
  <c r="BY486" i="3"/>
  <c r="BY485" i="3"/>
  <c r="BY484" i="3"/>
  <c r="BY483" i="3"/>
  <c r="BY482" i="3"/>
  <c r="BY481" i="3"/>
  <c r="BY480" i="3"/>
  <c r="BY479" i="3"/>
  <c r="BY478" i="3"/>
  <c r="BY477" i="3"/>
  <c r="BY476" i="3"/>
  <c r="BY475" i="3"/>
  <c r="BY474" i="3"/>
  <c r="BY473" i="3"/>
  <c r="BY472" i="3"/>
  <c r="BY471" i="3"/>
  <c r="BY470" i="3"/>
  <c r="BY469" i="3"/>
  <c r="BY468" i="3"/>
  <c r="BY467" i="3"/>
  <c r="BY446" i="3"/>
  <c r="BY445" i="3"/>
  <c r="BY408" i="3"/>
  <c r="BY407" i="3"/>
  <c r="BY406" i="3"/>
  <c r="BY405" i="3"/>
  <c r="BY404" i="3"/>
  <c r="BY403" i="3"/>
  <c r="BY402" i="3"/>
  <c r="BY401" i="3"/>
  <c r="BY400" i="3"/>
  <c r="BY399" i="3"/>
  <c r="BY398" i="3"/>
  <c r="BY397" i="3"/>
  <c r="BY396" i="3"/>
  <c r="BY395" i="3"/>
  <c r="BY394" i="3"/>
  <c r="BY393" i="3"/>
  <c r="BY392" i="3"/>
  <c r="BY391" i="3"/>
  <c r="BY390" i="3"/>
  <c r="BY389" i="3"/>
  <c r="BY388" i="3"/>
  <c r="BY387" i="3"/>
  <c r="BY386" i="3"/>
  <c r="BY385" i="3"/>
  <c r="BY384" i="3"/>
  <c r="BY383" i="3"/>
  <c r="BY382" i="3"/>
  <c r="BY211" i="3"/>
  <c r="BY210" i="3"/>
  <c r="BY209" i="3"/>
  <c r="BY208" i="3"/>
  <c r="BY207" i="3"/>
  <c r="BY165" i="3"/>
  <c r="BY164" i="3"/>
  <c r="BY163" i="3"/>
  <c r="BY162" i="3"/>
  <c r="BY161" i="3"/>
  <c r="BS648" i="3"/>
  <c r="BS649" i="3"/>
  <c r="BS647" i="3"/>
  <c r="BR641" i="3"/>
  <c r="BR642" i="3"/>
  <c r="BR643" i="3"/>
  <c r="BR644" i="3"/>
  <c r="BR645" i="3"/>
  <c r="BR646" i="3"/>
  <c r="BR647" i="3"/>
  <c r="BR648" i="3"/>
  <c r="BR649" i="3"/>
  <c r="BR650" i="3"/>
  <c r="BR640" i="3"/>
  <c r="BQ660" i="3"/>
  <c r="H660" i="3" s="1"/>
  <c r="BQ659" i="3"/>
  <c r="H659" i="3" s="1"/>
  <c r="BQ658" i="3"/>
  <c r="H658" i="3" s="1"/>
  <c r="BQ657" i="3"/>
  <c r="H657" i="3" s="1"/>
  <c r="BQ656" i="3"/>
  <c r="H656" i="3" s="1"/>
  <c r="BQ655" i="3"/>
  <c r="H655" i="3" s="1"/>
  <c r="BQ654" i="3"/>
  <c r="H654" i="3" s="1"/>
  <c r="BQ653" i="3"/>
  <c r="H653" i="3" s="1"/>
  <c r="BQ652" i="3"/>
  <c r="H652" i="3" s="1"/>
  <c r="BQ651" i="3"/>
  <c r="H651" i="3" s="1"/>
  <c r="BQ650" i="3"/>
  <c r="BQ649" i="3"/>
  <c r="BQ648" i="3"/>
  <c r="BQ647" i="3"/>
  <c r="BQ646" i="3"/>
  <c r="BQ645" i="3"/>
  <c r="BQ644" i="3"/>
  <c r="BQ643" i="3"/>
  <c r="BQ642" i="3"/>
  <c r="BQ641" i="3"/>
  <c r="BQ640" i="3"/>
  <c r="BQ639" i="3"/>
  <c r="H639" i="3" s="1"/>
  <c r="BQ638" i="3"/>
  <c r="H638" i="3" s="1"/>
  <c r="BQ637" i="3"/>
  <c r="H637" i="3" s="1"/>
  <c r="BQ636" i="3"/>
  <c r="H636" i="3" s="1"/>
  <c r="BQ635" i="3"/>
  <c r="H635" i="3" s="1"/>
  <c r="BQ634" i="3"/>
  <c r="H634" i="3" s="1"/>
  <c r="BQ633" i="3"/>
  <c r="H633" i="3" s="1"/>
  <c r="BQ632" i="3"/>
  <c r="H632" i="3" s="1"/>
  <c r="BQ631" i="3"/>
  <c r="H631" i="3" s="1"/>
  <c r="BQ630" i="3"/>
  <c r="H630" i="3" s="1"/>
  <c r="BQ629" i="3"/>
  <c r="H629" i="3" s="1"/>
  <c r="BQ628" i="3"/>
  <c r="H628" i="3" s="1"/>
  <c r="BQ627" i="3"/>
  <c r="H627" i="3" s="1"/>
  <c r="BQ626" i="3"/>
  <c r="H626" i="3" s="1"/>
  <c r="BQ625" i="3"/>
  <c r="H625" i="3" s="1"/>
  <c r="BQ624" i="3"/>
  <c r="H624" i="3" s="1"/>
  <c r="BQ623" i="3"/>
  <c r="H623" i="3" s="1"/>
  <c r="BQ622" i="3"/>
  <c r="H622" i="3" s="1"/>
  <c r="BQ621" i="3"/>
  <c r="H621" i="3" s="1"/>
  <c r="BQ620" i="3"/>
  <c r="H620" i="3" s="1"/>
  <c r="BQ619" i="3"/>
  <c r="H619" i="3" s="1"/>
  <c r="BQ618" i="3"/>
  <c r="H618" i="3" s="1"/>
  <c r="BQ617" i="3"/>
  <c r="H617" i="3" s="1"/>
  <c r="BQ616" i="3"/>
  <c r="H616" i="3" s="1"/>
  <c r="BQ615" i="3"/>
  <c r="H615" i="3" s="1"/>
  <c r="BQ614" i="3"/>
  <c r="H614" i="3" s="1"/>
  <c r="BQ613" i="3"/>
  <c r="H613" i="3" s="1"/>
  <c r="BQ612" i="3"/>
  <c r="H612" i="3" s="1"/>
  <c r="BQ611" i="3"/>
  <c r="H611" i="3" s="1"/>
  <c r="BQ610" i="3"/>
  <c r="H610" i="3" s="1"/>
  <c r="BQ609" i="3"/>
  <c r="H609" i="3" s="1"/>
  <c r="BQ608" i="3"/>
  <c r="H608" i="3" s="1"/>
  <c r="BQ607" i="3"/>
  <c r="H607" i="3" s="1"/>
  <c r="BQ606" i="3"/>
  <c r="H606" i="3" s="1"/>
  <c r="BQ605" i="3"/>
  <c r="H605" i="3" s="1"/>
  <c r="BQ604" i="3"/>
  <c r="H604" i="3" s="1"/>
  <c r="BQ603" i="3"/>
  <c r="H603" i="3" s="1"/>
  <c r="BQ602" i="3"/>
  <c r="H602" i="3" s="1"/>
  <c r="BQ601" i="3"/>
  <c r="H601" i="3" s="1"/>
  <c r="BQ600" i="3"/>
  <c r="H600" i="3" s="1"/>
  <c r="BQ599" i="3"/>
  <c r="H599" i="3" s="1"/>
  <c r="BQ598" i="3"/>
  <c r="H598" i="3" s="1"/>
  <c r="BQ597" i="3"/>
  <c r="H597" i="3" s="1"/>
  <c r="BQ596" i="3"/>
  <c r="H596" i="3" s="1"/>
  <c r="BQ595" i="3"/>
  <c r="H595" i="3" s="1"/>
  <c r="BR594" i="3"/>
  <c r="BQ594" i="3"/>
  <c r="BR593" i="3"/>
  <c r="BQ593" i="3"/>
  <c r="BR592" i="3"/>
  <c r="BQ592" i="3"/>
  <c r="BR591" i="3"/>
  <c r="BQ591" i="3"/>
  <c r="BR590" i="3"/>
  <c r="BQ590" i="3"/>
  <c r="BR589" i="3"/>
  <c r="BQ589" i="3"/>
  <c r="BR588" i="3"/>
  <c r="BQ588" i="3"/>
  <c r="BQ587" i="3"/>
  <c r="H587" i="3" s="1"/>
  <c r="BQ586" i="3"/>
  <c r="H586" i="3" s="1"/>
  <c r="BQ585" i="3"/>
  <c r="H585" i="3" s="1"/>
  <c r="BQ584" i="3"/>
  <c r="H584" i="3" s="1"/>
  <c r="BQ583" i="3"/>
  <c r="H583" i="3" s="1"/>
  <c r="BR578" i="3"/>
  <c r="H578" i="3" s="1"/>
  <c r="BR582" i="3"/>
  <c r="BQ582" i="3"/>
  <c r="BR581" i="3"/>
  <c r="BQ581" i="3"/>
  <c r="BR580" i="3"/>
  <c r="BQ580" i="3"/>
  <c r="BR579" i="3"/>
  <c r="BQ579" i="3"/>
  <c r="BR577" i="3"/>
  <c r="BQ577" i="3"/>
  <c r="BS576" i="3"/>
  <c r="BR576" i="3"/>
  <c r="BQ576" i="3"/>
  <c r="BS575" i="3"/>
  <c r="BR575" i="3"/>
  <c r="BQ575" i="3"/>
  <c r="BS574" i="3"/>
  <c r="BR574" i="3"/>
  <c r="BQ574" i="3"/>
  <c r="BS573" i="3"/>
  <c r="BR573" i="3"/>
  <c r="BQ573" i="3"/>
  <c r="BS572" i="3"/>
  <c r="BR572" i="3"/>
  <c r="BQ572" i="3"/>
  <c r="BS571" i="3"/>
  <c r="BR571" i="3"/>
  <c r="BQ571" i="3"/>
  <c r="BS570" i="3"/>
  <c r="BR570" i="3"/>
  <c r="BQ570" i="3"/>
  <c r="BS569" i="3"/>
  <c r="BR569" i="3"/>
  <c r="BQ569" i="3"/>
  <c r="BS568" i="3"/>
  <c r="BR568" i="3"/>
  <c r="BQ568" i="3"/>
  <c r="BS567" i="3"/>
  <c r="BR567" i="3"/>
  <c r="BQ567" i="3"/>
  <c r="BS566" i="3"/>
  <c r="BR566" i="3"/>
  <c r="BQ566" i="3"/>
  <c r="BS565" i="3"/>
  <c r="BR565" i="3"/>
  <c r="BQ565" i="3"/>
  <c r="BR564" i="3"/>
  <c r="BQ564" i="3"/>
  <c r="BR563" i="3"/>
  <c r="BQ563" i="3"/>
  <c r="BR562" i="3"/>
  <c r="BQ562" i="3"/>
  <c r="BQ561" i="3"/>
  <c r="H561" i="3" s="1"/>
  <c r="BQ560" i="3"/>
  <c r="H560" i="3" s="1"/>
  <c r="BQ559" i="3"/>
  <c r="H559" i="3" s="1"/>
  <c r="BQ558" i="3"/>
  <c r="H558" i="3" s="1"/>
  <c r="BR557" i="3"/>
  <c r="BQ557" i="3"/>
  <c r="BQ556" i="3"/>
  <c r="H556" i="3" s="1"/>
  <c r="BR555" i="3"/>
  <c r="BQ555" i="3"/>
  <c r="BR554" i="3"/>
  <c r="BS554" i="3"/>
  <c r="BS553" i="3"/>
  <c r="BQ551" i="3"/>
  <c r="BR551" i="3"/>
  <c r="BQ552" i="3"/>
  <c r="BR552" i="3"/>
  <c r="BQ553" i="3"/>
  <c r="BR553" i="3"/>
  <c r="BR550" i="3"/>
  <c r="BQ550" i="3"/>
  <c r="BQ549" i="3"/>
  <c r="H549" i="3" s="1"/>
  <c r="BQ548" i="3"/>
  <c r="H548" i="3" s="1"/>
  <c r="BQ547" i="3"/>
  <c r="H547" i="3" s="1"/>
  <c r="BQ546" i="3"/>
  <c r="H546" i="3" s="1"/>
  <c r="BW546" i="3"/>
  <c r="J546" i="3" s="1"/>
  <c r="BR500" i="3"/>
  <c r="BQ500" i="3"/>
  <c r="BR502" i="3"/>
  <c r="BQ502" i="3"/>
  <c r="BR501" i="3"/>
  <c r="BQ501" i="3"/>
  <c r="BR499" i="3"/>
  <c r="BQ499" i="3"/>
  <c r="BR498" i="3"/>
  <c r="BQ498" i="3"/>
  <c r="BR497" i="3"/>
  <c r="BQ497" i="3"/>
  <c r="BR496" i="3"/>
  <c r="BQ496" i="3"/>
  <c r="BR495" i="3"/>
  <c r="BQ495" i="3"/>
  <c r="BR494" i="3"/>
  <c r="BQ494" i="3"/>
  <c r="BR493" i="3"/>
  <c r="BQ493" i="3"/>
  <c r="BR492" i="3"/>
  <c r="BQ492" i="3"/>
  <c r="BR491" i="3"/>
  <c r="BQ491" i="3"/>
  <c r="BR490" i="3"/>
  <c r="BQ490" i="3"/>
  <c r="BR489" i="3"/>
  <c r="BQ489" i="3"/>
  <c r="BR488" i="3"/>
  <c r="BQ488" i="3"/>
  <c r="BR487" i="3"/>
  <c r="BQ487" i="3"/>
  <c r="BR486" i="3"/>
  <c r="BQ486" i="3"/>
  <c r="BR485" i="3"/>
  <c r="BQ485" i="3"/>
  <c r="BR484" i="3"/>
  <c r="BQ484" i="3"/>
  <c r="BR483" i="3"/>
  <c r="BQ483" i="3"/>
  <c r="BR482" i="3"/>
  <c r="BQ482" i="3"/>
  <c r="BR481" i="3"/>
  <c r="BQ481" i="3"/>
  <c r="BR480" i="3"/>
  <c r="BQ480" i="3"/>
  <c r="BR479" i="3"/>
  <c r="BQ479" i="3"/>
  <c r="BR478" i="3"/>
  <c r="BQ478" i="3"/>
  <c r="BR477" i="3"/>
  <c r="BQ477" i="3"/>
  <c r="BR476" i="3"/>
  <c r="BQ476" i="3"/>
  <c r="BR475" i="3"/>
  <c r="BQ475" i="3"/>
  <c r="BR474" i="3"/>
  <c r="BQ474" i="3"/>
  <c r="BR473" i="3"/>
  <c r="BQ473" i="3"/>
  <c r="BR472" i="3"/>
  <c r="BQ472" i="3"/>
  <c r="BR471" i="3"/>
  <c r="BQ471" i="3"/>
  <c r="BR470" i="3"/>
  <c r="BQ470" i="3"/>
  <c r="BQ468" i="3"/>
  <c r="BR468" i="3"/>
  <c r="BQ469" i="3"/>
  <c r="BR469" i="3"/>
  <c r="BR467" i="3"/>
  <c r="BQ467" i="3"/>
  <c r="BW468" i="3"/>
  <c r="BX468" i="3"/>
  <c r="BW469" i="3"/>
  <c r="BX469" i="3"/>
  <c r="BW470" i="3"/>
  <c r="BX470" i="3"/>
  <c r="BW471" i="3"/>
  <c r="BX471" i="3"/>
  <c r="BW472" i="3"/>
  <c r="BX472" i="3"/>
  <c r="BW473" i="3"/>
  <c r="BX473" i="3"/>
  <c r="BW474" i="3"/>
  <c r="BX474" i="3"/>
  <c r="BW475" i="3"/>
  <c r="BX475" i="3"/>
  <c r="BW476" i="3"/>
  <c r="BX476" i="3"/>
  <c r="BW477" i="3"/>
  <c r="BX477" i="3"/>
  <c r="BW478" i="3"/>
  <c r="BX478" i="3"/>
  <c r="BW479" i="3"/>
  <c r="BX479" i="3"/>
  <c r="BW480" i="3"/>
  <c r="BX480" i="3"/>
  <c r="BW481" i="3"/>
  <c r="BX481" i="3"/>
  <c r="BW482" i="3"/>
  <c r="BX482" i="3"/>
  <c r="BW483" i="3"/>
  <c r="BX483" i="3"/>
  <c r="BW484" i="3"/>
  <c r="BX484" i="3"/>
  <c r="BW485" i="3"/>
  <c r="BX485" i="3"/>
  <c r="BW486" i="3"/>
  <c r="BX486" i="3"/>
  <c r="BW487" i="3"/>
  <c r="BX487" i="3"/>
  <c r="BW488" i="3"/>
  <c r="BX488" i="3"/>
  <c r="BW489" i="3"/>
  <c r="BX489" i="3"/>
  <c r="BW490" i="3"/>
  <c r="BX490" i="3"/>
  <c r="BW491" i="3"/>
  <c r="BX491" i="3"/>
  <c r="BW492" i="3"/>
  <c r="BX492" i="3"/>
  <c r="BW493" i="3"/>
  <c r="BX493" i="3"/>
  <c r="BW494" i="3"/>
  <c r="BX494" i="3"/>
  <c r="BW495" i="3"/>
  <c r="BX495" i="3"/>
  <c r="BW496" i="3"/>
  <c r="BX496" i="3"/>
  <c r="BW497" i="3"/>
  <c r="BX497" i="3"/>
  <c r="BW498" i="3"/>
  <c r="BX498" i="3"/>
  <c r="BW499" i="3"/>
  <c r="BX499" i="3"/>
  <c r="BW500" i="3"/>
  <c r="BX500" i="3"/>
  <c r="BW501" i="3"/>
  <c r="BX501" i="3"/>
  <c r="BW502" i="3"/>
  <c r="BX502" i="3"/>
  <c r="BX467" i="3"/>
  <c r="BW467" i="3"/>
  <c r="BQ446" i="3"/>
  <c r="BR446" i="3"/>
  <c r="BR445" i="3"/>
  <c r="BQ445" i="3"/>
  <c r="BX446" i="3"/>
  <c r="BW446" i="3"/>
  <c r="BX445" i="3"/>
  <c r="BW445" i="3"/>
  <c r="BW383" i="3"/>
  <c r="BX383" i="3"/>
  <c r="BW384" i="3"/>
  <c r="BX384" i="3"/>
  <c r="BW385" i="3"/>
  <c r="BX385" i="3"/>
  <c r="BW386" i="3"/>
  <c r="BX386" i="3"/>
  <c r="BW387" i="3"/>
  <c r="BX387" i="3"/>
  <c r="BW388" i="3"/>
  <c r="BX388" i="3"/>
  <c r="BW389" i="3"/>
  <c r="BX389" i="3"/>
  <c r="BW390" i="3"/>
  <c r="BX390" i="3"/>
  <c r="BW391" i="3"/>
  <c r="BX391" i="3"/>
  <c r="BW392" i="3"/>
  <c r="BX392" i="3"/>
  <c r="BW393" i="3"/>
  <c r="BX393" i="3"/>
  <c r="BW394" i="3"/>
  <c r="BX394" i="3"/>
  <c r="BW395" i="3"/>
  <c r="BX395" i="3"/>
  <c r="BW396" i="3"/>
  <c r="BX396" i="3"/>
  <c r="BW397" i="3"/>
  <c r="BX397" i="3"/>
  <c r="BW398" i="3"/>
  <c r="BX398" i="3"/>
  <c r="BW399" i="3"/>
  <c r="BX399" i="3"/>
  <c r="BW400" i="3"/>
  <c r="BX400" i="3"/>
  <c r="BW401" i="3"/>
  <c r="BX401" i="3"/>
  <c r="BW402" i="3"/>
  <c r="BX402" i="3"/>
  <c r="BW403" i="3"/>
  <c r="BX403" i="3"/>
  <c r="BW404" i="3"/>
  <c r="BX404" i="3"/>
  <c r="BW405" i="3"/>
  <c r="BX405" i="3"/>
  <c r="BW406" i="3"/>
  <c r="BX406" i="3"/>
  <c r="BW407" i="3"/>
  <c r="BX407" i="3"/>
  <c r="BW408" i="3"/>
  <c r="BX408" i="3"/>
  <c r="BR408" i="3"/>
  <c r="BQ383" i="3"/>
  <c r="H383" i="3" s="1"/>
  <c r="BQ384" i="3"/>
  <c r="H384" i="3" s="1"/>
  <c r="BQ385" i="3"/>
  <c r="H385" i="3" s="1"/>
  <c r="BQ386" i="3"/>
  <c r="H386" i="3" s="1"/>
  <c r="BQ387" i="3"/>
  <c r="H387" i="3" s="1"/>
  <c r="BQ388" i="3"/>
  <c r="H388" i="3" s="1"/>
  <c r="BQ389" i="3"/>
  <c r="H389" i="3" s="1"/>
  <c r="BQ390" i="3"/>
  <c r="H390" i="3" s="1"/>
  <c r="BQ391" i="3"/>
  <c r="H391" i="3" s="1"/>
  <c r="BQ392" i="3"/>
  <c r="H392" i="3" s="1"/>
  <c r="BQ393" i="3"/>
  <c r="H393" i="3" s="1"/>
  <c r="BQ394" i="3"/>
  <c r="H394" i="3" s="1"/>
  <c r="BQ395" i="3"/>
  <c r="H395" i="3" s="1"/>
  <c r="BQ396" i="3"/>
  <c r="H396" i="3" s="1"/>
  <c r="BQ397" i="3"/>
  <c r="H397" i="3" s="1"/>
  <c r="BQ398" i="3"/>
  <c r="H398" i="3" s="1"/>
  <c r="BQ399" i="3"/>
  <c r="H399" i="3" s="1"/>
  <c r="BQ400" i="3"/>
  <c r="H400" i="3" s="1"/>
  <c r="BQ401" i="3"/>
  <c r="H401" i="3" s="1"/>
  <c r="BQ402" i="3"/>
  <c r="H402" i="3" s="1"/>
  <c r="BQ403" i="3"/>
  <c r="H403" i="3" s="1"/>
  <c r="BQ404" i="3"/>
  <c r="H404" i="3" s="1"/>
  <c r="BQ405" i="3"/>
  <c r="H405" i="3" s="1"/>
  <c r="BQ406" i="3"/>
  <c r="H406" i="3" s="1"/>
  <c r="BQ407" i="3"/>
  <c r="H407" i="3" s="1"/>
  <c r="BQ408" i="3"/>
  <c r="BQ382" i="3"/>
  <c r="H382" i="3" s="1"/>
  <c r="BX382" i="3"/>
  <c r="BW382" i="3"/>
  <c r="BX211" i="3"/>
  <c r="BW211" i="3"/>
  <c r="BX210" i="3"/>
  <c r="BW210" i="3"/>
  <c r="BX209" i="3"/>
  <c r="BW209" i="3"/>
  <c r="BX208" i="3"/>
  <c r="BW208" i="3"/>
  <c r="BX207" i="3"/>
  <c r="BW207" i="3"/>
  <c r="BW162" i="3"/>
  <c r="BX162" i="3"/>
  <c r="BW163" i="3"/>
  <c r="BX163" i="3"/>
  <c r="BW164" i="3"/>
  <c r="BX164" i="3"/>
  <c r="BW165" i="3"/>
  <c r="BX165" i="3"/>
  <c r="BX161" i="3"/>
  <c r="BW161" i="3"/>
  <c r="AG171" i="10"/>
  <c r="L171" i="10"/>
  <c r="G171" i="10"/>
  <c r="E171" i="10"/>
  <c r="D171" i="10"/>
  <c r="AG139" i="10"/>
  <c r="L139" i="10"/>
  <c r="G139" i="10"/>
  <c r="E139" i="10"/>
  <c r="D139" i="10"/>
  <c r="AG138" i="10"/>
  <c r="L138" i="10"/>
  <c r="G138" i="10"/>
  <c r="E138" i="10"/>
  <c r="D138" i="10"/>
  <c r="AG137" i="10"/>
  <c r="L137" i="10"/>
  <c r="G137" i="10"/>
  <c r="E137" i="10"/>
  <c r="D137" i="10"/>
  <c r="AG136" i="10"/>
  <c r="L136" i="10"/>
  <c r="G136" i="10"/>
  <c r="E136" i="10"/>
  <c r="D136" i="10"/>
  <c r="AG135" i="10"/>
  <c r="L135" i="10"/>
  <c r="G135" i="10"/>
  <c r="E135" i="10"/>
  <c r="D135" i="10"/>
  <c r="AG134" i="10"/>
  <c r="L134" i="10"/>
  <c r="G134" i="10"/>
  <c r="E134" i="10"/>
  <c r="D134" i="10"/>
  <c r="AG133" i="10"/>
  <c r="L133" i="10"/>
  <c r="G133" i="10"/>
  <c r="E133" i="10"/>
  <c r="D133" i="10"/>
  <c r="AG132" i="10"/>
  <c r="L132" i="10"/>
  <c r="G132" i="10"/>
  <c r="E132" i="10"/>
  <c r="D132" i="10"/>
  <c r="AG131" i="10"/>
  <c r="L131" i="10"/>
  <c r="G131" i="10"/>
  <c r="E131" i="10"/>
  <c r="D131" i="10"/>
  <c r="AG130" i="10"/>
  <c r="L130" i="10"/>
  <c r="G130" i="10"/>
  <c r="E130" i="10"/>
  <c r="D130" i="10"/>
  <c r="AG129" i="10"/>
  <c r="L129" i="10"/>
  <c r="G129" i="10"/>
  <c r="E129" i="10"/>
  <c r="D129" i="10"/>
  <c r="AG128" i="10"/>
  <c r="L128" i="10"/>
  <c r="G128" i="10"/>
  <c r="E128" i="10"/>
  <c r="D128" i="10"/>
  <c r="AG127" i="10"/>
  <c r="L127" i="10"/>
  <c r="G127" i="10"/>
  <c r="E127" i="10"/>
  <c r="D127" i="10"/>
  <c r="AG126" i="10"/>
  <c r="L126" i="10"/>
  <c r="G126" i="10"/>
  <c r="E126" i="10"/>
  <c r="D126" i="10"/>
  <c r="AG125" i="10"/>
  <c r="L125" i="10"/>
  <c r="G125" i="10"/>
  <c r="E125" i="10"/>
  <c r="D125" i="10"/>
  <c r="AG124" i="10"/>
  <c r="L124" i="10"/>
  <c r="G124" i="10"/>
  <c r="E124" i="10"/>
  <c r="D124" i="10"/>
  <c r="AG123" i="10"/>
  <c r="L123" i="10"/>
  <c r="G123" i="10"/>
  <c r="E123" i="10"/>
  <c r="D123" i="10"/>
  <c r="AG122" i="10"/>
  <c r="L122" i="10"/>
  <c r="G122" i="10"/>
  <c r="E122" i="10"/>
  <c r="D122" i="10"/>
  <c r="AG121" i="10"/>
  <c r="L121" i="10"/>
  <c r="G121" i="10"/>
  <c r="E121" i="10"/>
  <c r="D121" i="10"/>
  <c r="AG120" i="10"/>
  <c r="L120" i="10"/>
  <c r="G120" i="10"/>
  <c r="E120" i="10"/>
  <c r="D120" i="10"/>
  <c r="AG119" i="10"/>
  <c r="L119" i="10"/>
  <c r="G119" i="10"/>
  <c r="E119" i="10"/>
  <c r="D119" i="10"/>
  <c r="L118" i="10"/>
  <c r="G118" i="10"/>
  <c r="E118" i="10"/>
  <c r="D118" i="10"/>
  <c r="AG92" i="10"/>
  <c r="L92" i="10"/>
  <c r="G92" i="10"/>
  <c r="E92" i="10"/>
  <c r="D92" i="10"/>
  <c r="F8" i="3"/>
  <c r="D8" i="3"/>
  <c r="AF8" i="3"/>
  <c r="F10" i="3"/>
  <c r="D10" i="3"/>
  <c r="C10" i="3"/>
  <c r="AF9" i="3"/>
  <c r="F9" i="3"/>
  <c r="D9" i="3"/>
  <c r="C9" i="3"/>
  <c r="D75" i="11"/>
  <c r="E75" i="11"/>
  <c r="F75" i="11"/>
  <c r="K75" i="11"/>
  <c r="AD75" i="11"/>
  <c r="D76" i="11"/>
  <c r="E76" i="11"/>
  <c r="F76" i="11"/>
  <c r="K76" i="11"/>
  <c r="AD76" i="11"/>
  <c r="D77" i="11"/>
  <c r="E77" i="11"/>
  <c r="F77" i="11"/>
  <c r="K77" i="11"/>
  <c r="AD77" i="11"/>
  <c r="D78" i="11"/>
  <c r="E78" i="11"/>
  <c r="F78" i="11"/>
  <c r="K78" i="11"/>
  <c r="AD78" i="11"/>
  <c r="D79" i="11"/>
  <c r="E79" i="11"/>
  <c r="F79" i="11"/>
  <c r="K79" i="11"/>
  <c r="AD79" i="11"/>
  <c r="D80" i="11"/>
  <c r="F80" i="11"/>
  <c r="N80" i="11" s="1"/>
  <c r="K80" i="11"/>
  <c r="AD80" i="11"/>
  <c r="D81" i="11"/>
  <c r="E81" i="11"/>
  <c r="F81" i="11"/>
  <c r="K81" i="11"/>
  <c r="AD81" i="11"/>
  <c r="D82" i="11"/>
  <c r="E82" i="11"/>
  <c r="F82" i="11"/>
  <c r="K82" i="11"/>
  <c r="AD82" i="11"/>
  <c r="D83" i="11"/>
  <c r="E83" i="11"/>
  <c r="F83" i="11"/>
  <c r="K83" i="11"/>
  <c r="R83" i="11"/>
  <c r="AD83" i="11"/>
  <c r="D84" i="11"/>
  <c r="E84" i="11"/>
  <c r="F84" i="11"/>
  <c r="K84" i="11"/>
  <c r="R84" i="11"/>
  <c r="AD84" i="11"/>
  <c r="D85" i="11"/>
  <c r="E85" i="11"/>
  <c r="F85" i="11"/>
  <c r="K85" i="11"/>
  <c r="AD85" i="11"/>
  <c r="D86" i="11"/>
  <c r="E86" i="11"/>
  <c r="F86" i="11"/>
  <c r="K86" i="11"/>
  <c r="AD86" i="11"/>
  <c r="AD69" i="11"/>
  <c r="K69" i="11"/>
  <c r="F69" i="11"/>
  <c r="E69" i="11"/>
  <c r="D69" i="11"/>
  <c r="AD68" i="11"/>
  <c r="K68" i="11"/>
  <c r="F68" i="11"/>
  <c r="E68" i="11"/>
  <c r="D68" i="11"/>
  <c r="AD67" i="11"/>
  <c r="R67" i="11"/>
  <c r="K67" i="11"/>
  <c r="F67" i="11"/>
  <c r="E67" i="11"/>
  <c r="D67" i="11"/>
  <c r="AD66" i="11"/>
  <c r="K66" i="11"/>
  <c r="Q66" i="11"/>
  <c r="F66" i="11"/>
  <c r="E66" i="11"/>
  <c r="D66" i="11"/>
  <c r="AD65" i="11"/>
  <c r="K65" i="11"/>
  <c r="F65" i="11"/>
  <c r="E65" i="11"/>
  <c r="D65" i="11"/>
  <c r="AD64" i="11"/>
  <c r="K64" i="11"/>
  <c r="F64" i="11"/>
  <c r="E64" i="11"/>
  <c r="D64" i="11"/>
  <c r="AD63" i="11"/>
  <c r="K63" i="11"/>
  <c r="F63" i="11"/>
  <c r="E63" i="11"/>
  <c r="D63" i="11"/>
  <c r="AD62" i="11"/>
  <c r="K62" i="11"/>
  <c r="F62" i="11"/>
  <c r="E62" i="11"/>
  <c r="D62" i="11"/>
  <c r="AD61" i="11"/>
  <c r="K61" i="11"/>
  <c r="F61" i="11"/>
  <c r="E61" i="11"/>
  <c r="D61" i="11"/>
  <c r="AD60" i="11"/>
  <c r="K60" i="11"/>
  <c r="F60" i="11"/>
  <c r="E60" i="11"/>
  <c r="D60" i="11"/>
  <c r="AD59" i="11"/>
  <c r="K59" i="11"/>
  <c r="F59" i="11"/>
  <c r="E59" i="11"/>
  <c r="D59" i="11"/>
  <c r="AD58" i="11"/>
  <c r="K58" i="11"/>
  <c r="F58" i="11"/>
  <c r="E58" i="11"/>
  <c r="D58" i="11"/>
  <c r="AD57" i="11"/>
  <c r="K57" i="11"/>
  <c r="F57" i="11"/>
  <c r="E57" i="11"/>
  <c r="D57" i="11"/>
  <c r="AD274" i="11"/>
  <c r="K274" i="11"/>
  <c r="F274" i="11"/>
  <c r="E274" i="11"/>
  <c r="D274" i="11"/>
  <c r="AD273" i="11"/>
  <c r="R273" i="11"/>
  <c r="K273" i="11"/>
  <c r="F273" i="11"/>
  <c r="E273" i="11"/>
  <c r="D273" i="11"/>
  <c r="AD272" i="11"/>
  <c r="K272" i="11"/>
  <c r="F272" i="11"/>
  <c r="E272" i="11"/>
  <c r="D272" i="11"/>
  <c r="AD271" i="11"/>
  <c r="R271" i="11"/>
  <c r="K271" i="11"/>
  <c r="F271" i="11"/>
  <c r="E271" i="11"/>
  <c r="D271" i="11"/>
  <c r="AD270" i="11"/>
  <c r="K270" i="11"/>
  <c r="F270" i="11"/>
  <c r="E270" i="11"/>
  <c r="D270" i="11"/>
  <c r="AD269" i="11"/>
  <c r="K269" i="11"/>
  <c r="F269" i="11"/>
  <c r="E269" i="11"/>
  <c r="D269" i="11"/>
  <c r="AD268" i="11"/>
  <c r="K268" i="11"/>
  <c r="F268" i="11"/>
  <c r="E268" i="11"/>
  <c r="D268" i="11"/>
  <c r="AD267" i="11"/>
  <c r="R267" i="11"/>
  <c r="K267" i="11"/>
  <c r="F267" i="11"/>
  <c r="E267" i="11"/>
  <c r="D267" i="11"/>
  <c r="AD266" i="11"/>
  <c r="K266" i="11"/>
  <c r="F266" i="11"/>
  <c r="E266" i="11"/>
  <c r="D266" i="11"/>
  <c r="AD265" i="11"/>
  <c r="R265" i="11"/>
  <c r="K265" i="11"/>
  <c r="F265" i="11"/>
  <c r="E265" i="11"/>
  <c r="D265" i="11"/>
  <c r="AD264" i="11"/>
  <c r="K264" i="11"/>
  <c r="F264" i="11"/>
  <c r="E264" i="11"/>
  <c r="D264" i="11"/>
  <c r="AD263" i="11"/>
  <c r="K263" i="11"/>
  <c r="F263" i="11"/>
  <c r="E263" i="11"/>
  <c r="D263" i="11"/>
  <c r="AD262" i="11"/>
  <c r="K262" i="11"/>
  <c r="F262" i="11"/>
  <c r="E262" i="11"/>
  <c r="D262" i="11"/>
  <c r="AD261" i="11"/>
  <c r="R261" i="11"/>
  <c r="K261" i="11"/>
  <c r="F261" i="11"/>
  <c r="E261" i="11"/>
  <c r="D261" i="11"/>
  <c r="AD260" i="11"/>
  <c r="K260" i="11"/>
  <c r="F260" i="11"/>
  <c r="E260" i="11"/>
  <c r="D260" i="11"/>
  <c r="AD259" i="11"/>
  <c r="R259" i="11"/>
  <c r="K259" i="11"/>
  <c r="F259" i="11"/>
  <c r="E259" i="11"/>
  <c r="D259" i="11"/>
  <c r="AD258" i="11"/>
  <c r="K258" i="11"/>
  <c r="F258" i="11"/>
  <c r="E258" i="11"/>
  <c r="D258" i="11"/>
  <c r="AD248" i="11"/>
  <c r="K248" i="11"/>
  <c r="F248" i="11"/>
  <c r="E248" i="11"/>
  <c r="D248" i="11"/>
  <c r="AD247" i="11"/>
  <c r="K247" i="11"/>
  <c r="F247" i="11"/>
  <c r="E247" i="11"/>
  <c r="D247" i="11"/>
  <c r="AD246" i="11"/>
  <c r="K246" i="11"/>
  <c r="E246" i="11"/>
  <c r="D246" i="11"/>
  <c r="AD245" i="11"/>
  <c r="K245" i="11"/>
  <c r="F245" i="11"/>
  <c r="E245" i="11"/>
  <c r="D245" i="11"/>
  <c r="AD244" i="11"/>
  <c r="K244" i="11"/>
  <c r="F244" i="11"/>
  <c r="E244" i="11"/>
  <c r="D244" i="11"/>
  <c r="AD243" i="11"/>
  <c r="K243" i="11"/>
  <c r="F243" i="11"/>
  <c r="E243" i="11"/>
  <c r="D243" i="11"/>
  <c r="AD242" i="11"/>
  <c r="K242" i="11"/>
  <c r="F242" i="11"/>
  <c r="E242" i="11"/>
  <c r="D242" i="11"/>
  <c r="AD241" i="11"/>
  <c r="K241" i="11"/>
  <c r="F241" i="11"/>
  <c r="E241" i="11"/>
  <c r="D241" i="11"/>
  <c r="AD240" i="11"/>
  <c r="K240" i="11"/>
  <c r="F240" i="11"/>
  <c r="E240" i="11"/>
  <c r="D240" i="11"/>
  <c r="AD239" i="11"/>
  <c r="K239" i="11"/>
  <c r="F239" i="11"/>
  <c r="E239" i="11"/>
  <c r="D239" i="11"/>
  <c r="AD238" i="11"/>
  <c r="K238" i="11"/>
  <c r="F238" i="11"/>
  <c r="E238" i="11"/>
  <c r="D238" i="11"/>
  <c r="AD229" i="11"/>
  <c r="K229" i="11"/>
  <c r="F229" i="11"/>
  <c r="E229" i="11"/>
  <c r="D229" i="11"/>
  <c r="AD228" i="11"/>
  <c r="K228" i="11"/>
  <c r="F228" i="11"/>
  <c r="E228" i="11"/>
  <c r="D228" i="11"/>
  <c r="AD227" i="11"/>
  <c r="K227" i="11"/>
  <c r="F227" i="11"/>
  <c r="E227" i="11"/>
  <c r="D227" i="11"/>
  <c r="AD226" i="11"/>
  <c r="K226" i="11"/>
  <c r="F226" i="11"/>
  <c r="E226" i="11"/>
  <c r="D226" i="11"/>
  <c r="AD225" i="11"/>
  <c r="K225" i="11"/>
  <c r="F225" i="11"/>
  <c r="E225" i="11"/>
  <c r="D225" i="11"/>
  <c r="AD224" i="11"/>
  <c r="K224" i="11"/>
  <c r="F224" i="11"/>
  <c r="E224" i="11"/>
  <c r="D224" i="11"/>
  <c r="AD223" i="11"/>
  <c r="K223" i="11"/>
  <c r="F223" i="11"/>
  <c r="E223" i="11"/>
  <c r="D223" i="11"/>
  <c r="AD222" i="11"/>
  <c r="K222" i="11"/>
  <c r="F222" i="11"/>
  <c r="E222" i="11"/>
  <c r="D222" i="11"/>
  <c r="AD221" i="11"/>
  <c r="K221" i="11"/>
  <c r="F221" i="11"/>
  <c r="E221" i="11"/>
  <c r="D221" i="11"/>
  <c r="AD220" i="11"/>
  <c r="K220" i="11"/>
  <c r="F220" i="11"/>
  <c r="E220" i="11"/>
  <c r="D220" i="11"/>
  <c r="AD219" i="11"/>
  <c r="K219" i="11"/>
  <c r="F219" i="11"/>
  <c r="E219" i="11"/>
  <c r="D219" i="11"/>
  <c r="AD218" i="11"/>
  <c r="K218" i="11"/>
  <c r="F218" i="11"/>
  <c r="E218" i="11"/>
  <c r="D218" i="11"/>
  <c r="AD217" i="11"/>
  <c r="K217" i="11"/>
  <c r="F217" i="11"/>
  <c r="E217" i="11"/>
  <c r="D217" i="11"/>
  <c r="AD216" i="11"/>
  <c r="K216" i="11"/>
  <c r="F216" i="11"/>
  <c r="E216" i="11"/>
  <c r="D216" i="11"/>
  <c r="AD215" i="11"/>
  <c r="K215" i="11"/>
  <c r="F215" i="11"/>
  <c r="E215" i="11"/>
  <c r="D215" i="11"/>
  <c r="AD214" i="11"/>
  <c r="K214" i="11"/>
  <c r="F214" i="11"/>
  <c r="E214" i="11"/>
  <c r="D214" i="11"/>
  <c r="AD213" i="11"/>
  <c r="K213" i="11"/>
  <c r="F213" i="11"/>
  <c r="E213" i="11"/>
  <c r="D213" i="11"/>
  <c r="AD212" i="11"/>
  <c r="K212" i="11"/>
  <c r="F212" i="11"/>
  <c r="E212" i="11"/>
  <c r="D212" i="11"/>
  <c r="AD211" i="11"/>
  <c r="R211" i="11"/>
  <c r="K211" i="11"/>
  <c r="F211" i="11"/>
  <c r="E211" i="11"/>
  <c r="D211" i="11"/>
  <c r="AD210" i="11"/>
  <c r="K210" i="11"/>
  <c r="F210" i="11"/>
  <c r="E210" i="11"/>
  <c r="D210" i="11"/>
  <c r="AD209" i="11"/>
  <c r="K209" i="11"/>
  <c r="F209" i="11"/>
  <c r="E209" i="11"/>
  <c r="D209" i="11"/>
  <c r="AD208" i="11"/>
  <c r="K208" i="11"/>
  <c r="F208" i="11"/>
  <c r="E208" i="11"/>
  <c r="D208" i="11"/>
  <c r="AD207" i="11"/>
  <c r="K207" i="11"/>
  <c r="F207" i="11"/>
  <c r="E207" i="11"/>
  <c r="D207" i="11"/>
  <c r="AD206" i="11"/>
  <c r="K206" i="11"/>
  <c r="F206" i="11"/>
  <c r="E206" i="11"/>
  <c r="D206" i="11"/>
  <c r="AD205" i="11"/>
  <c r="K205" i="11"/>
  <c r="F205" i="11"/>
  <c r="E205" i="11"/>
  <c r="D205" i="11"/>
  <c r="AD204" i="11"/>
  <c r="K204" i="11"/>
  <c r="F204" i="11"/>
  <c r="E204" i="11"/>
  <c r="D204" i="11"/>
  <c r="AD203" i="11"/>
  <c r="K203" i="11"/>
  <c r="F203" i="11"/>
  <c r="E203" i="11"/>
  <c r="D203" i="11"/>
  <c r="AD202" i="11"/>
  <c r="K202" i="11"/>
  <c r="F202" i="11"/>
  <c r="E202" i="11"/>
  <c r="D202" i="11"/>
  <c r="AD201" i="11"/>
  <c r="K201" i="11"/>
  <c r="F201" i="11"/>
  <c r="E201" i="11"/>
  <c r="D201" i="11"/>
  <c r="AD200" i="11"/>
  <c r="K200" i="11"/>
  <c r="F200" i="11"/>
  <c r="E200" i="11"/>
  <c r="D200" i="11"/>
  <c r="AD199" i="11"/>
  <c r="K199" i="11"/>
  <c r="F199" i="11"/>
  <c r="E199" i="11"/>
  <c r="D199" i="11"/>
  <c r="AD198" i="11"/>
  <c r="K198" i="11"/>
  <c r="F198" i="11"/>
  <c r="E198" i="11"/>
  <c r="D198" i="11"/>
  <c r="AD197" i="11"/>
  <c r="K197" i="11"/>
  <c r="F197" i="11"/>
  <c r="E197" i="11"/>
  <c r="D197" i="11"/>
  <c r="AD196" i="11"/>
  <c r="K196" i="11"/>
  <c r="F196" i="11"/>
  <c r="E196" i="11"/>
  <c r="D196" i="11"/>
  <c r="AD195" i="11"/>
  <c r="K195" i="11"/>
  <c r="F195" i="11"/>
  <c r="E195" i="11"/>
  <c r="D195" i="11"/>
  <c r="AD194" i="11"/>
  <c r="K194" i="11"/>
  <c r="S194" i="11" s="1"/>
  <c r="F194" i="11"/>
  <c r="E194" i="11"/>
  <c r="D194" i="11"/>
  <c r="K193" i="11"/>
  <c r="F193" i="11"/>
  <c r="E193" i="11"/>
  <c r="D193" i="11"/>
  <c r="AD192" i="11"/>
  <c r="K192" i="11"/>
  <c r="F192" i="11"/>
  <c r="E192" i="11"/>
  <c r="D192" i="11"/>
  <c r="AD191" i="11"/>
  <c r="K191" i="11"/>
  <c r="F191" i="11"/>
  <c r="E191" i="11"/>
  <c r="D191" i="11"/>
  <c r="AD190" i="11"/>
  <c r="K190" i="11"/>
  <c r="F190" i="11"/>
  <c r="E190" i="11"/>
  <c r="D190" i="11"/>
  <c r="AD189" i="11"/>
  <c r="K189" i="11"/>
  <c r="F189" i="11"/>
  <c r="E189" i="11"/>
  <c r="M189" i="11" s="1"/>
  <c r="D189" i="11"/>
  <c r="K188" i="11"/>
  <c r="F188" i="11"/>
  <c r="E188" i="11"/>
  <c r="D188" i="11"/>
  <c r="AD187" i="11"/>
  <c r="R187" i="11"/>
  <c r="K187" i="11"/>
  <c r="F187" i="11"/>
  <c r="E187" i="11"/>
  <c r="D187" i="11"/>
  <c r="AD186" i="11"/>
  <c r="K186" i="11"/>
  <c r="F186" i="11"/>
  <c r="E186" i="11"/>
  <c r="D186" i="11"/>
  <c r="AD185" i="11"/>
  <c r="K185" i="11"/>
  <c r="F185" i="11"/>
  <c r="E185" i="11"/>
  <c r="D185" i="11"/>
  <c r="AD184" i="11"/>
  <c r="K184" i="11"/>
  <c r="F184" i="11"/>
  <c r="E184" i="11"/>
  <c r="D184" i="11"/>
  <c r="AD183" i="11"/>
  <c r="K183" i="11"/>
  <c r="F183" i="11"/>
  <c r="E183" i="11"/>
  <c r="D183" i="11"/>
  <c r="AD182" i="11"/>
  <c r="K182" i="11"/>
  <c r="F182" i="11"/>
  <c r="E182" i="11"/>
  <c r="D182" i="11"/>
  <c r="AD181" i="11"/>
  <c r="K181" i="11"/>
  <c r="F181" i="11"/>
  <c r="E181" i="11"/>
  <c r="D181" i="11"/>
  <c r="AD180" i="11"/>
  <c r="K180" i="11"/>
  <c r="F180" i="11"/>
  <c r="E180" i="11"/>
  <c r="D180" i="11"/>
  <c r="AD179" i="11"/>
  <c r="K179" i="11"/>
  <c r="F179" i="11"/>
  <c r="E179" i="11"/>
  <c r="D179" i="11"/>
  <c r="AD178" i="11"/>
  <c r="K178" i="11"/>
  <c r="F178" i="11"/>
  <c r="E178" i="11"/>
  <c r="D178" i="11"/>
  <c r="AD177" i="11"/>
  <c r="K177" i="11"/>
  <c r="F177" i="11"/>
  <c r="E177" i="11"/>
  <c r="D177" i="11"/>
  <c r="AD176" i="11"/>
  <c r="K176" i="11"/>
  <c r="F176" i="11"/>
  <c r="E176" i="11"/>
  <c r="D176" i="11"/>
  <c r="AD175" i="11"/>
  <c r="K175" i="11"/>
  <c r="F175" i="11"/>
  <c r="E175" i="11"/>
  <c r="D175" i="11"/>
  <c r="AD174" i="11"/>
  <c r="K174" i="11"/>
  <c r="F174" i="11"/>
  <c r="E174" i="11"/>
  <c r="D174" i="11"/>
  <c r="AD173" i="11"/>
  <c r="K173" i="11"/>
  <c r="F173" i="11"/>
  <c r="E173" i="11"/>
  <c r="D173" i="11"/>
  <c r="AD172" i="11"/>
  <c r="K172" i="11"/>
  <c r="F172" i="11"/>
  <c r="E172" i="11"/>
  <c r="D172" i="11"/>
  <c r="AD171" i="11"/>
  <c r="R171" i="11"/>
  <c r="K171" i="11"/>
  <c r="F171" i="11"/>
  <c r="E171" i="11"/>
  <c r="D171" i="11"/>
  <c r="AD170" i="11"/>
  <c r="K170" i="11"/>
  <c r="F170" i="11"/>
  <c r="E170" i="11"/>
  <c r="D170" i="11"/>
  <c r="AD169" i="11"/>
  <c r="K169" i="11"/>
  <c r="F169" i="11"/>
  <c r="E169" i="11"/>
  <c r="D169" i="11"/>
  <c r="AD168" i="11"/>
  <c r="K168" i="11"/>
  <c r="F168" i="11"/>
  <c r="E168" i="11"/>
  <c r="D168" i="11"/>
  <c r="AD167" i="11"/>
  <c r="K167" i="11"/>
  <c r="S167" i="11" s="1"/>
  <c r="F167" i="11"/>
  <c r="N167" i="11" s="1"/>
  <c r="E167" i="11"/>
  <c r="D167" i="11"/>
  <c r="K166" i="11"/>
  <c r="F166" i="11"/>
  <c r="E166" i="11"/>
  <c r="D166" i="11"/>
  <c r="AD165" i="11"/>
  <c r="K165" i="11"/>
  <c r="F165" i="11"/>
  <c r="E165" i="11"/>
  <c r="D165" i="11"/>
  <c r="AD164" i="11"/>
  <c r="K164" i="11"/>
  <c r="F164" i="11"/>
  <c r="E164" i="11"/>
  <c r="D164" i="11"/>
  <c r="AD163" i="11"/>
  <c r="K163" i="11"/>
  <c r="F163" i="11"/>
  <c r="E163" i="11"/>
  <c r="D163" i="11"/>
  <c r="K162" i="11"/>
  <c r="F162" i="11"/>
  <c r="E162" i="11"/>
  <c r="D162" i="11"/>
  <c r="AD161" i="11"/>
  <c r="K161" i="11"/>
  <c r="F161" i="11"/>
  <c r="E161" i="11"/>
  <c r="D161" i="11"/>
  <c r="AD160" i="11"/>
  <c r="K160" i="11"/>
  <c r="F160" i="11"/>
  <c r="E160" i="11"/>
  <c r="D160" i="11"/>
  <c r="AD159" i="11"/>
  <c r="K159" i="11"/>
  <c r="F159" i="11"/>
  <c r="E159" i="11"/>
  <c r="D159" i="11"/>
  <c r="AD158" i="11"/>
  <c r="K158" i="11"/>
  <c r="F158" i="11"/>
  <c r="E158" i="11"/>
  <c r="D158" i="11"/>
  <c r="AD157" i="11"/>
  <c r="K157" i="11"/>
  <c r="E157" i="11"/>
  <c r="D157" i="11"/>
  <c r="AD156" i="11"/>
  <c r="K156" i="11"/>
  <c r="F156" i="11"/>
  <c r="E156" i="11"/>
  <c r="D156" i="11"/>
  <c r="AD155" i="11"/>
  <c r="K155" i="11"/>
  <c r="F155" i="11"/>
  <c r="E155" i="11"/>
  <c r="D155" i="11"/>
  <c r="AD154" i="11"/>
  <c r="K154" i="11"/>
  <c r="F154" i="11"/>
  <c r="E154" i="11"/>
  <c r="D154" i="11"/>
  <c r="AD153" i="11"/>
  <c r="R153" i="11"/>
  <c r="K153" i="11"/>
  <c r="F153" i="11"/>
  <c r="E153" i="11"/>
  <c r="D153" i="11"/>
  <c r="AD152" i="11"/>
  <c r="K152" i="11"/>
  <c r="F152" i="11"/>
  <c r="E152" i="11"/>
  <c r="D152" i="11"/>
  <c r="AD151" i="11"/>
  <c r="K151" i="11"/>
  <c r="F151" i="11"/>
  <c r="E151" i="11"/>
  <c r="D151" i="11"/>
  <c r="AD150" i="11"/>
  <c r="R150" i="11"/>
  <c r="K150" i="11"/>
  <c r="F150" i="11"/>
  <c r="E150" i="11"/>
  <c r="D150" i="11"/>
  <c r="AD149" i="11"/>
  <c r="K149" i="11"/>
  <c r="F149" i="11"/>
  <c r="E149" i="11"/>
  <c r="D149" i="11"/>
  <c r="AD148" i="11"/>
  <c r="K148" i="11"/>
  <c r="F148" i="11"/>
  <c r="E148" i="11"/>
  <c r="D148" i="11"/>
  <c r="AD147" i="11"/>
  <c r="K147" i="11"/>
  <c r="F147" i="11"/>
  <c r="E147" i="11"/>
  <c r="D147" i="11"/>
  <c r="AD146" i="11"/>
  <c r="K146" i="11"/>
  <c r="F146" i="11"/>
  <c r="E146" i="11"/>
  <c r="D146" i="11"/>
  <c r="AD145" i="11"/>
  <c r="K145" i="11"/>
  <c r="F145" i="11"/>
  <c r="E145" i="11"/>
  <c r="D145" i="11"/>
  <c r="AD144" i="11"/>
  <c r="K144" i="11"/>
  <c r="F144" i="11"/>
  <c r="E144" i="11"/>
  <c r="D144" i="11"/>
  <c r="AD143" i="11"/>
  <c r="K143" i="11"/>
  <c r="F143" i="11"/>
  <c r="E143" i="11"/>
  <c r="D143" i="11"/>
  <c r="AD142" i="11"/>
  <c r="K142" i="11"/>
  <c r="F142" i="11"/>
  <c r="E142" i="11"/>
  <c r="D142" i="11"/>
  <c r="AD141" i="11"/>
  <c r="R141" i="11"/>
  <c r="K141" i="11"/>
  <c r="F141" i="11"/>
  <c r="E141" i="11"/>
  <c r="D141" i="11"/>
  <c r="AD140" i="11"/>
  <c r="R140" i="11"/>
  <c r="K140" i="11"/>
  <c r="F140" i="11"/>
  <c r="E140" i="11"/>
  <c r="D140" i="11"/>
  <c r="AD139" i="11"/>
  <c r="K139" i="11"/>
  <c r="F139" i="11"/>
  <c r="E139" i="11"/>
  <c r="D139" i="11"/>
  <c r="AD138" i="11"/>
  <c r="K138" i="11"/>
  <c r="F138" i="11"/>
  <c r="E138" i="11"/>
  <c r="D138" i="11"/>
  <c r="AD137" i="11"/>
  <c r="K137" i="11"/>
  <c r="F137" i="11"/>
  <c r="E137" i="11"/>
  <c r="D137" i="11"/>
  <c r="AD136" i="11"/>
  <c r="K136" i="11"/>
  <c r="F136" i="11"/>
  <c r="E136" i="11"/>
  <c r="D136" i="11"/>
  <c r="AD135" i="11"/>
  <c r="K135" i="11"/>
  <c r="F135" i="11"/>
  <c r="E135" i="11"/>
  <c r="D135" i="11"/>
  <c r="AD134" i="11"/>
  <c r="K134" i="11"/>
  <c r="F134" i="11"/>
  <c r="D134" i="11"/>
  <c r="AD133" i="11"/>
  <c r="K133" i="11"/>
  <c r="F133" i="11"/>
  <c r="E133" i="11"/>
  <c r="D133" i="11"/>
  <c r="AD132" i="11"/>
  <c r="K132" i="11"/>
  <c r="F132" i="11"/>
  <c r="E132" i="11"/>
  <c r="D132" i="11"/>
  <c r="AD131" i="11"/>
  <c r="K131" i="11"/>
  <c r="F131" i="11"/>
  <c r="E131" i="11"/>
  <c r="D131" i="11"/>
  <c r="AD130" i="11"/>
  <c r="K130" i="11"/>
  <c r="F130" i="11"/>
  <c r="E130" i="11"/>
  <c r="D130" i="11"/>
  <c r="AD129" i="11"/>
  <c r="R129" i="11"/>
  <c r="K129" i="11"/>
  <c r="F129" i="11"/>
  <c r="E129" i="11"/>
  <c r="D129" i="11"/>
  <c r="AD128" i="11"/>
  <c r="K128" i="11"/>
  <c r="F128" i="11"/>
  <c r="E128" i="11"/>
  <c r="D128" i="11"/>
  <c r="AD127" i="11"/>
  <c r="D127" i="11"/>
  <c r="K127" i="11"/>
  <c r="F127" i="11"/>
  <c r="E127" i="11"/>
  <c r="AD126" i="11"/>
  <c r="K126" i="11"/>
  <c r="F126" i="11"/>
  <c r="E126" i="11"/>
  <c r="D126" i="11"/>
  <c r="AD117" i="11"/>
  <c r="K117" i="11"/>
  <c r="F117" i="11"/>
  <c r="E117" i="11"/>
  <c r="D117" i="11"/>
  <c r="AD116" i="11"/>
  <c r="K116" i="11"/>
  <c r="F116" i="11"/>
  <c r="E116" i="11"/>
  <c r="D116" i="11"/>
  <c r="AD115" i="11"/>
  <c r="K115" i="11"/>
  <c r="F115" i="11"/>
  <c r="E115" i="11"/>
  <c r="D115" i="11"/>
  <c r="AD114" i="11"/>
  <c r="K114" i="11"/>
  <c r="F114" i="11"/>
  <c r="E114" i="11"/>
  <c r="D114" i="11"/>
  <c r="AD113" i="11"/>
  <c r="K113" i="11"/>
  <c r="F113" i="11"/>
  <c r="E113" i="11"/>
  <c r="D113" i="11"/>
  <c r="AD112" i="11"/>
  <c r="K112" i="11"/>
  <c r="F112" i="11"/>
  <c r="E112" i="11"/>
  <c r="D112" i="11"/>
  <c r="AD111" i="11"/>
  <c r="R111" i="11"/>
  <c r="K111" i="11"/>
  <c r="F111" i="11"/>
  <c r="E111" i="11"/>
  <c r="D111" i="11"/>
  <c r="K110" i="11"/>
  <c r="F110" i="11"/>
  <c r="E110" i="11"/>
  <c r="D110" i="11"/>
  <c r="AD109" i="11"/>
  <c r="F109" i="11"/>
  <c r="E109" i="11"/>
  <c r="D109" i="11"/>
  <c r="AD99" i="11"/>
  <c r="AD98" i="11"/>
  <c r="D93" i="11"/>
  <c r="E93" i="11"/>
  <c r="F93" i="11"/>
  <c r="K93" i="11"/>
  <c r="D94" i="11"/>
  <c r="E94" i="11"/>
  <c r="F94" i="11"/>
  <c r="K94" i="11"/>
  <c r="D95" i="11"/>
  <c r="E95" i="11"/>
  <c r="F95" i="11"/>
  <c r="K95" i="11"/>
  <c r="D96" i="11"/>
  <c r="E96" i="11"/>
  <c r="F96" i="11"/>
  <c r="K96" i="11"/>
  <c r="D97" i="11"/>
  <c r="E97" i="11"/>
  <c r="F97" i="11"/>
  <c r="K97" i="11"/>
  <c r="D98" i="11"/>
  <c r="E98" i="11"/>
  <c r="F98" i="11"/>
  <c r="K98" i="11"/>
  <c r="D99" i="11"/>
  <c r="E99" i="11"/>
  <c r="F99" i="11"/>
  <c r="K99" i="11"/>
  <c r="AD97" i="11"/>
  <c r="AD96" i="11"/>
  <c r="AD95" i="11"/>
  <c r="AD94" i="11"/>
  <c r="AD93" i="11"/>
  <c r="AD92" i="11"/>
  <c r="K92" i="11"/>
  <c r="F92" i="11"/>
  <c r="E92" i="11"/>
  <c r="D92" i="11"/>
  <c r="AD91" i="11"/>
  <c r="K91" i="11"/>
  <c r="F91" i="11"/>
  <c r="E91" i="11"/>
  <c r="D91" i="11"/>
  <c r="D41" i="11"/>
  <c r="E41" i="11"/>
  <c r="F41" i="11"/>
  <c r="K41" i="11"/>
  <c r="D42" i="11"/>
  <c r="E42" i="11"/>
  <c r="F42" i="11"/>
  <c r="K42" i="11"/>
  <c r="D43" i="11"/>
  <c r="E43" i="11"/>
  <c r="F43" i="11"/>
  <c r="K43" i="11"/>
  <c r="D44" i="11"/>
  <c r="E44" i="11"/>
  <c r="F44" i="11"/>
  <c r="K44" i="11"/>
  <c r="D45" i="11"/>
  <c r="E45" i="11"/>
  <c r="F45" i="11"/>
  <c r="K45" i="11"/>
  <c r="D39" i="11"/>
  <c r="AD45" i="11"/>
  <c r="AD44" i="11"/>
  <c r="AD43" i="11"/>
  <c r="AD42" i="11"/>
  <c r="AD41" i="11"/>
  <c r="AD40" i="11"/>
  <c r="K40" i="11"/>
  <c r="S40" i="11" s="1"/>
  <c r="F40" i="11"/>
  <c r="E40" i="11"/>
  <c r="D40" i="11"/>
  <c r="AD39" i="11"/>
  <c r="K39" i="11"/>
  <c r="F39" i="11"/>
  <c r="E39" i="11"/>
  <c r="R29" i="11"/>
  <c r="AD29" i="11"/>
  <c r="K29" i="11"/>
  <c r="F29" i="11"/>
  <c r="E29" i="11"/>
  <c r="D29" i="11"/>
  <c r="AG233" i="10"/>
  <c r="L233" i="10"/>
  <c r="G233" i="10"/>
  <c r="E233" i="10"/>
  <c r="D233" i="10"/>
  <c r="AG232" i="10"/>
  <c r="L232" i="10"/>
  <c r="G232" i="10"/>
  <c r="E232" i="10"/>
  <c r="D232" i="10"/>
  <c r="AG227" i="10"/>
  <c r="AG228" i="10"/>
  <c r="AG229" i="10"/>
  <c r="AG230" i="10"/>
  <c r="AG231" i="10"/>
  <c r="AF235" i="10"/>
  <c r="AF234" i="10"/>
  <c r="AF225" i="10"/>
  <c r="AF224" i="10"/>
  <c r="AF216" i="10"/>
  <c r="AF213" i="10"/>
  <c r="AF211" i="10"/>
  <c r="AF210" i="10"/>
  <c r="AF209" i="10"/>
  <c r="AF208" i="10"/>
  <c r="AF204" i="10"/>
  <c r="AF203" i="10"/>
  <c r="AF202" i="10"/>
  <c r="AF201" i="10"/>
  <c r="AG248" i="10"/>
  <c r="L248" i="10"/>
  <c r="G248" i="10"/>
  <c r="E248" i="10"/>
  <c r="D248" i="10"/>
  <c r="AG247" i="10"/>
  <c r="L247" i="10"/>
  <c r="G247" i="10"/>
  <c r="E247" i="10"/>
  <c r="D247" i="10"/>
  <c r="AG246" i="10"/>
  <c r="L246" i="10"/>
  <c r="G246" i="10"/>
  <c r="E246" i="10"/>
  <c r="D246" i="10"/>
  <c r="AG245" i="10"/>
  <c r="L245" i="10"/>
  <c r="G245" i="10"/>
  <c r="E245" i="10"/>
  <c r="D245" i="10"/>
  <c r="AG244" i="10"/>
  <c r="L244" i="10"/>
  <c r="G244" i="10"/>
  <c r="E244" i="10"/>
  <c r="D244" i="10"/>
  <c r="AG243" i="10"/>
  <c r="L243" i="10"/>
  <c r="G243" i="10"/>
  <c r="D243" i="10"/>
  <c r="AG242" i="10"/>
  <c r="L242" i="10"/>
  <c r="G242" i="10"/>
  <c r="E242" i="10"/>
  <c r="D242" i="10"/>
  <c r="AG241" i="10"/>
  <c r="L241" i="10"/>
  <c r="G241" i="10"/>
  <c r="E241" i="10"/>
  <c r="D241" i="10"/>
  <c r="AG240" i="10"/>
  <c r="L240" i="10"/>
  <c r="G240" i="10"/>
  <c r="E240" i="10"/>
  <c r="D240" i="10"/>
  <c r="AG239" i="10"/>
  <c r="L239" i="10"/>
  <c r="G239" i="10"/>
  <c r="E239" i="10"/>
  <c r="D239" i="10"/>
  <c r="AG238" i="10"/>
  <c r="L238" i="10"/>
  <c r="G238" i="10"/>
  <c r="E238" i="10"/>
  <c r="D238" i="10"/>
  <c r="AG237" i="10"/>
  <c r="L237" i="10"/>
  <c r="G237" i="10"/>
  <c r="D237" i="10"/>
  <c r="AG236" i="10"/>
  <c r="L236" i="10"/>
  <c r="G236" i="10"/>
  <c r="E236" i="10"/>
  <c r="D236" i="10"/>
  <c r="L235" i="10"/>
  <c r="G235" i="10"/>
  <c r="E235" i="10"/>
  <c r="D235" i="10"/>
  <c r="AG234" i="10"/>
  <c r="L234" i="10"/>
  <c r="G234" i="10"/>
  <c r="E234" i="10"/>
  <c r="D234" i="10"/>
  <c r="L231" i="10"/>
  <c r="G231" i="10"/>
  <c r="E231" i="10"/>
  <c r="D231" i="10"/>
  <c r="L230" i="10"/>
  <c r="G230" i="10"/>
  <c r="E230" i="10"/>
  <c r="D230" i="10"/>
  <c r="L229" i="10"/>
  <c r="G229" i="10"/>
  <c r="E229" i="10"/>
  <c r="D229" i="10"/>
  <c r="L228" i="10"/>
  <c r="G228" i="10"/>
  <c r="E228" i="10"/>
  <c r="D228" i="10"/>
  <c r="L227" i="10"/>
  <c r="G227" i="10"/>
  <c r="E227" i="10"/>
  <c r="D227" i="10"/>
  <c r="AG226" i="10"/>
  <c r="L226" i="10"/>
  <c r="G226" i="10"/>
  <c r="E226" i="10"/>
  <c r="D226" i="10"/>
  <c r="L225" i="10"/>
  <c r="G225" i="10"/>
  <c r="E225" i="10"/>
  <c r="D225" i="10"/>
  <c r="AG224" i="10"/>
  <c r="L224" i="10"/>
  <c r="G224" i="10"/>
  <c r="D224" i="10"/>
  <c r="AG223" i="10"/>
  <c r="L223" i="10"/>
  <c r="G223" i="10"/>
  <c r="E223" i="10"/>
  <c r="D223" i="10"/>
  <c r="AG222" i="10"/>
  <c r="AG219" i="10"/>
  <c r="L219" i="10"/>
  <c r="G219" i="10"/>
  <c r="E219" i="10"/>
  <c r="D219" i="10"/>
  <c r="AG218" i="10"/>
  <c r="L218" i="10"/>
  <c r="G218" i="10"/>
  <c r="E218" i="10"/>
  <c r="D218" i="10"/>
  <c r="AG217" i="10"/>
  <c r="AG216" i="10"/>
  <c r="AG213" i="10"/>
  <c r="AG212" i="10"/>
  <c r="AG210" i="10"/>
  <c r="AG208" i="10"/>
  <c r="AG207" i="10"/>
  <c r="AG206" i="10"/>
  <c r="AG205" i="10"/>
  <c r="D217" i="10"/>
  <c r="E217" i="10"/>
  <c r="G217" i="10"/>
  <c r="L217" i="10"/>
  <c r="D205" i="10"/>
  <c r="M205" i="10" s="1"/>
  <c r="E205" i="10"/>
  <c r="G205" i="10"/>
  <c r="L205" i="10"/>
  <c r="D206" i="10"/>
  <c r="E206" i="10"/>
  <c r="G206" i="10"/>
  <c r="L206" i="10"/>
  <c r="D207" i="10"/>
  <c r="E207" i="10"/>
  <c r="G207" i="10"/>
  <c r="L207" i="10"/>
  <c r="D208" i="10"/>
  <c r="E208" i="10"/>
  <c r="G208" i="10"/>
  <c r="L208" i="10"/>
  <c r="G209" i="10"/>
  <c r="L209" i="10"/>
  <c r="D210" i="10"/>
  <c r="E210" i="10"/>
  <c r="G210" i="10"/>
  <c r="L210" i="10"/>
  <c r="G211" i="10"/>
  <c r="L211" i="10"/>
  <c r="D212" i="10"/>
  <c r="G212" i="10"/>
  <c r="L212" i="10"/>
  <c r="D213" i="10"/>
  <c r="E213" i="10"/>
  <c r="G213" i="10"/>
  <c r="L213" i="10"/>
  <c r="D216" i="10"/>
  <c r="E216" i="10"/>
  <c r="G216" i="10"/>
  <c r="L216" i="10"/>
  <c r="L204" i="10"/>
  <c r="G204" i="10"/>
  <c r="E204" i="10"/>
  <c r="AG203" i="10"/>
  <c r="L203" i="10"/>
  <c r="G203" i="10"/>
  <c r="E203" i="10"/>
  <c r="D203" i="10"/>
  <c r="L202" i="10"/>
  <c r="G202" i="10"/>
  <c r="D202" i="10"/>
  <c r="AG201" i="10"/>
  <c r="L201" i="10"/>
  <c r="G201" i="10"/>
  <c r="D201" i="10"/>
  <c r="AG200" i="10"/>
  <c r="L200" i="10"/>
  <c r="G200" i="10"/>
  <c r="D200" i="10"/>
  <c r="AG199" i="10"/>
  <c r="L199" i="10"/>
  <c r="G199" i="10"/>
  <c r="E199" i="10"/>
  <c r="D199" i="10"/>
  <c r="AG198" i="10"/>
  <c r="L198" i="10"/>
  <c r="G198" i="10"/>
  <c r="E198" i="10"/>
  <c r="D198" i="10"/>
  <c r="AG197" i="10"/>
  <c r="L197" i="10"/>
  <c r="G197" i="10"/>
  <c r="E197" i="10"/>
  <c r="D197" i="10"/>
  <c r="AG196" i="10"/>
  <c r="L196" i="10"/>
  <c r="G196" i="10"/>
  <c r="E196" i="10"/>
  <c r="D196" i="10"/>
  <c r="AG195" i="10"/>
  <c r="L195" i="10"/>
  <c r="G195" i="10"/>
  <c r="E195" i="10"/>
  <c r="D195" i="10"/>
  <c r="AG194" i="10"/>
  <c r="L194" i="10"/>
  <c r="G194" i="10"/>
  <c r="E194" i="10"/>
  <c r="D194" i="10"/>
  <c r="AG193" i="10"/>
  <c r="L193" i="10"/>
  <c r="G193" i="10"/>
  <c r="E193" i="10"/>
  <c r="D193" i="10"/>
  <c r="AG192" i="10"/>
  <c r="L192" i="10"/>
  <c r="G192" i="10"/>
  <c r="E192" i="10"/>
  <c r="D192" i="10"/>
  <c r="AG191" i="10"/>
  <c r="L191" i="10"/>
  <c r="G191" i="10"/>
  <c r="E191" i="10"/>
  <c r="D191" i="10"/>
  <c r="AG190" i="10"/>
  <c r="L190" i="10"/>
  <c r="G190" i="10"/>
  <c r="E190" i="10"/>
  <c r="D190" i="10"/>
  <c r="AG189" i="10"/>
  <c r="L189" i="10"/>
  <c r="G189" i="10"/>
  <c r="E189" i="10"/>
  <c r="D189" i="10"/>
  <c r="AG188" i="10"/>
  <c r="L188" i="10"/>
  <c r="G188" i="10"/>
  <c r="E188" i="10"/>
  <c r="D188" i="10"/>
  <c r="AG187" i="10"/>
  <c r="L187" i="10"/>
  <c r="G187" i="10"/>
  <c r="E187" i="10"/>
  <c r="D187" i="10"/>
  <c r="AG186" i="10"/>
  <c r="L186" i="10"/>
  <c r="G186" i="10"/>
  <c r="E186" i="10"/>
  <c r="D186" i="10"/>
  <c r="AG185" i="10"/>
  <c r="L185" i="10"/>
  <c r="G185" i="10"/>
  <c r="E185" i="10"/>
  <c r="D185" i="10"/>
  <c r="AG184" i="10"/>
  <c r="L184" i="10"/>
  <c r="G184" i="10"/>
  <c r="E184" i="10"/>
  <c r="D184" i="10"/>
  <c r="AG173" i="10"/>
  <c r="L173" i="10"/>
  <c r="G173" i="10"/>
  <c r="E173" i="10"/>
  <c r="D173" i="10"/>
  <c r="AF176" i="10"/>
  <c r="AF175" i="10"/>
  <c r="L179" i="10"/>
  <c r="G179" i="10"/>
  <c r="E179" i="10"/>
  <c r="D179" i="10"/>
  <c r="AF167" i="10"/>
  <c r="AF166" i="10"/>
  <c r="D160" i="10"/>
  <c r="G153" i="10"/>
  <c r="AG178" i="10"/>
  <c r="L178" i="10"/>
  <c r="G178" i="10"/>
  <c r="E178" i="10"/>
  <c r="D178" i="10"/>
  <c r="AG177" i="10"/>
  <c r="L177" i="10"/>
  <c r="G177" i="10"/>
  <c r="E177" i="10"/>
  <c r="D177" i="10"/>
  <c r="L176" i="10"/>
  <c r="G176" i="10"/>
  <c r="E176" i="10"/>
  <c r="D176" i="10"/>
  <c r="AG175" i="10"/>
  <c r="L175" i="10"/>
  <c r="G175" i="10"/>
  <c r="E175" i="10"/>
  <c r="D175" i="10"/>
  <c r="L174" i="10"/>
  <c r="G174" i="10"/>
  <c r="E174" i="10"/>
  <c r="D174" i="10"/>
  <c r="AG172" i="10"/>
  <c r="L172" i="10"/>
  <c r="G172" i="10"/>
  <c r="E172" i="10"/>
  <c r="D172" i="10"/>
  <c r="AG170" i="10"/>
  <c r="L170" i="10"/>
  <c r="G170" i="10"/>
  <c r="E170" i="10"/>
  <c r="D170" i="10"/>
  <c r="AG169" i="10"/>
  <c r="L169" i="10"/>
  <c r="G169" i="10"/>
  <c r="E169" i="10"/>
  <c r="D169" i="10"/>
  <c r="AG168" i="10"/>
  <c r="L168" i="10"/>
  <c r="G168" i="10"/>
  <c r="E168" i="10"/>
  <c r="D168" i="10"/>
  <c r="L167" i="10"/>
  <c r="G167" i="10"/>
  <c r="E167" i="10"/>
  <c r="D167" i="10"/>
  <c r="AG160" i="10"/>
  <c r="L160" i="10"/>
  <c r="G160" i="10"/>
  <c r="E160" i="10"/>
  <c r="AF159" i="10"/>
  <c r="AF158" i="10"/>
  <c r="AG158" i="10"/>
  <c r="L158" i="10"/>
  <c r="G158" i="10"/>
  <c r="E158" i="10"/>
  <c r="D158" i="10"/>
  <c r="AF164" i="10"/>
  <c r="AF163" i="10"/>
  <c r="AF155" i="10"/>
  <c r="AF154" i="10"/>
  <c r="L155" i="10"/>
  <c r="G155" i="10"/>
  <c r="E155" i="10"/>
  <c r="D155" i="10"/>
  <c r="AG166" i="10"/>
  <c r="L166" i="10"/>
  <c r="G166" i="10"/>
  <c r="E166" i="10"/>
  <c r="D166" i="10"/>
  <c r="AG165" i="10"/>
  <c r="L165" i="10"/>
  <c r="G165" i="10"/>
  <c r="E165" i="10"/>
  <c r="D165" i="10"/>
  <c r="L164" i="10"/>
  <c r="G164" i="10"/>
  <c r="E164" i="10"/>
  <c r="D164" i="10"/>
  <c r="AG163" i="10"/>
  <c r="L163" i="10"/>
  <c r="G163" i="10"/>
  <c r="E163" i="10"/>
  <c r="D163" i="10"/>
  <c r="AG162" i="10"/>
  <c r="L162" i="10"/>
  <c r="G162" i="10"/>
  <c r="E162" i="10"/>
  <c r="D162" i="10"/>
  <c r="AG161" i="10"/>
  <c r="L161" i="10"/>
  <c r="G161" i="10"/>
  <c r="E161" i="10"/>
  <c r="D161" i="10"/>
  <c r="L159" i="10"/>
  <c r="G159" i="10"/>
  <c r="E159" i="10"/>
  <c r="D159" i="10"/>
  <c r="AG157" i="10"/>
  <c r="L157" i="10"/>
  <c r="G157" i="10"/>
  <c r="E157" i="10"/>
  <c r="D157" i="10"/>
  <c r="AG156" i="10"/>
  <c r="L156" i="10"/>
  <c r="G156" i="10"/>
  <c r="E156" i="10"/>
  <c r="D156" i="10"/>
  <c r="AG154" i="10"/>
  <c r="L154" i="10"/>
  <c r="G154" i="10"/>
  <c r="E154" i="10"/>
  <c r="D154" i="10"/>
  <c r="AG153" i="10"/>
  <c r="L153" i="10"/>
  <c r="E153" i="10"/>
  <c r="D153" i="10"/>
  <c r="AG152" i="10"/>
  <c r="L152" i="10"/>
  <c r="G152" i="10"/>
  <c r="E152" i="10"/>
  <c r="D152" i="10"/>
  <c r="AG151" i="10"/>
  <c r="L151" i="10"/>
  <c r="G151" i="10"/>
  <c r="E151" i="10"/>
  <c r="D151" i="10"/>
  <c r="AG150" i="10"/>
  <c r="L150" i="10"/>
  <c r="G150" i="10"/>
  <c r="E150" i="10"/>
  <c r="D150" i="10"/>
  <c r="AG149" i="10"/>
  <c r="L149" i="10"/>
  <c r="G149" i="10"/>
  <c r="E149" i="10"/>
  <c r="D149" i="10"/>
  <c r="AG148" i="10"/>
  <c r="L148" i="10"/>
  <c r="G148" i="10"/>
  <c r="E148" i="10"/>
  <c r="D148" i="10"/>
  <c r="AG147" i="10"/>
  <c r="L147" i="10"/>
  <c r="G147" i="10"/>
  <c r="E147" i="10"/>
  <c r="D147" i="10"/>
  <c r="AD30" i="11"/>
  <c r="K30" i="11"/>
  <c r="F30" i="11"/>
  <c r="E30" i="11"/>
  <c r="D30" i="11"/>
  <c r="AD28" i="11"/>
  <c r="K28" i="11"/>
  <c r="F28" i="11"/>
  <c r="E28" i="11"/>
  <c r="D28" i="11"/>
  <c r="AD27" i="11"/>
  <c r="K27" i="11"/>
  <c r="F27" i="11"/>
  <c r="E27" i="11"/>
  <c r="D27" i="11"/>
  <c r="AD26" i="11"/>
  <c r="K26" i="11"/>
  <c r="F26" i="11"/>
  <c r="E26" i="11"/>
  <c r="D26" i="11"/>
  <c r="AD25" i="11"/>
  <c r="K25" i="11"/>
  <c r="F25" i="11"/>
  <c r="E25" i="11"/>
  <c r="D25" i="11"/>
  <c r="K24" i="11"/>
  <c r="F24" i="11"/>
  <c r="E24" i="11"/>
  <c r="D24" i="11"/>
  <c r="K23" i="11"/>
  <c r="F23" i="11"/>
  <c r="E23" i="11"/>
  <c r="D23" i="11"/>
  <c r="AD22" i="11"/>
  <c r="K22" i="11"/>
  <c r="F22" i="11"/>
  <c r="E22" i="11"/>
  <c r="D22" i="11"/>
  <c r="AD21" i="11"/>
  <c r="K21" i="11"/>
  <c r="F21" i="11"/>
  <c r="E21" i="11"/>
  <c r="D21" i="11"/>
  <c r="AD20" i="11"/>
  <c r="K20" i="11"/>
  <c r="F20" i="11"/>
  <c r="E20" i="11"/>
  <c r="D20" i="11"/>
  <c r="AD19" i="11"/>
  <c r="K19" i="11"/>
  <c r="F19" i="11"/>
  <c r="E19" i="11"/>
  <c r="D19" i="11"/>
  <c r="AD18" i="11"/>
  <c r="K18" i="11"/>
  <c r="F18" i="11"/>
  <c r="E18" i="11"/>
  <c r="D18" i="11"/>
  <c r="AD17" i="11"/>
  <c r="K17" i="11"/>
  <c r="F17" i="11"/>
  <c r="E17" i="11"/>
  <c r="D17" i="11"/>
  <c r="AD16" i="11"/>
  <c r="K16" i="11"/>
  <c r="F16" i="11"/>
  <c r="E16" i="11"/>
  <c r="D16" i="11"/>
  <c r="AD15" i="11"/>
  <c r="K15" i="11"/>
  <c r="F15" i="11"/>
  <c r="E15" i="11"/>
  <c r="D15" i="11"/>
  <c r="AD14" i="11"/>
  <c r="K14" i="11"/>
  <c r="F14" i="11"/>
  <c r="E14" i="11"/>
  <c r="D14" i="11"/>
  <c r="AD13" i="11"/>
  <c r="K13" i="11"/>
  <c r="E13" i="11"/>
  <c r="D13" i="11"/>
  <c r="AD12" i="11"/>
  <c r="K12" i="11"/>
  <c r="F12" i="11"/>
  <c r="E12" i="11"/>
  <c r="D12" i="11"/>
  <c r="AD11" i="11"/>
  <c r="R11" i="11"/>
  <c r="K11" i="11"/>
  <c r="F11" i="11"/>
  <c r="E11" i="11"/>
  <c r="D11" i="11"/>
  <c r="AD10" i="11"/>
  <c r="K10" i="11"/>
  <c r="F10" i="11"/>
  <c r="E10" i="11"/>
  <c r="D10" i="11"/>
  <c r="AD9" i="11"/>
  <c r="K9" i="11"/>
  <c r="H9" i="11"/>
  <c r="G9" i="11"/>
  <c r="F9" i="11"/>
  <c r="E9" i="11"/>
  <c r="D9" i="11"/>
  <c r="AG111" i="10"/>
  <c r="AG110" i="10"/>
  <c r="AG109" i="10"/>
  <c r="AG108" i="10"/>
  <c r="AG107" i="10"/>
  <c r="AG106" i="10"/>
  <c r="AG105" i="10"/>
  <c r="AG104" i="10"/>
  <c r="AG103" i="10"/>
  <c r="AG102" i="10"/>
  <c r="AG101" i="10"/>
  <c r="AG100" i="10"/>
  <c r="AG99" i="10"/>
  <c r="AG98" i="10"/>
  <c r="AG97" i="10"/>
  <c r="AG96" i="10"/>
  <c r="AG95" i="10"/>
  <c r="AG94" i="10"/>
  <c r="AG93" i="10"/>
  <c r="AF91" i="10"/>
  <c r="AF90" i="10"/>
  <c r="L91" i="10"/>
  <c r="G91" i="10"/>
  <c r="E91" i="10"/>
  <c r="D91" i="10"/>
  <c r="AG90" i="10"/>
  <c r="D85" i="10"/>
  <c r="E85" i="10"/>
  <c r="G85" i="10"/>
  <c r="L85" i="10"/>
  <c r="D86" i="10"/>
  <c r="E86" i="10"/>
  <c r="G86" i="10"/>
  <c r="L86" i="10"/>
  <c r="D87" i="10"/>
  <c r="E87" i="10"/>
  <c r="G87" i="10"/>
  <c r="L87" i="10"/>
  <c r="D88" i="10"/>
  <c r="E88" i="10"/>
  <c r="G88" i="10"/>
  <c r="L88" i="10"/>
  <c r="D89" i="10"/>
  <c r="E89" i="10"/>
  <c r="G89" i="10"/>
  <c r="L89" i="10"/>
  <c r="D90" i="10"/>
  <c r="E90" i="10"/>
  <c r="G90" i="10"/>
  <c r="L90" i="10"/>
  <c r="D93" i="10"/>
  <c r="E93" i="10"/>
  <c r="G93" i="10"/>
  <c r="L93" i="10"/>
  <c r="D94" i="10"/>
  <c r="E94" i="10"/>
  <c r="G94" i="10"/>
  <c r="L94" i="10"/>
  <c r="D95" i="10"/>
  <c r="E95" i="10"/>
  <c r="G95" i="10"/>
  <c r="L95" i="10"/>
  <c r="D96" i="10"/>
  <c r="E96" i="10"/>
  <c r="G96" i="10"/>
  <c r="L96" i="10"/>
  <c r="D97" i="10"/>
  <c r="E97" i="10"/>
  <c r="G97" i="10"/>
  <c r="L97" i="10"/>
  <c r="D98" i="10"/>
  <c r="E98" i="10"/>
  <c r="G98" i="10"/>
  <c r="L98" i="10"/>
  <c r="D99" i="10"/>
  <c r="E99" i="10"/>
  <c r="G99" i="10"/>
  <c r="L99" i="10"/>
  <c r="D100" i="10"/>
  <c r="E100" i="10"/>
  <c r="G100" i="10"/>
  <c r="L100" i="10"/>
  <c r="D101" i="10"/>
  <c r="E101" i="10"/>
  <c r="G101" i="10"/>
  <c r="L101" i="10"/>
  <c r="D102" i="10"/>
  <c r="E102" i="10"/>
  <c r="G102" i="10"/>
  <c r="L102" i="10"/>
  <c r="D103" i="10"/>
  <c r="E103" i="10"/>
  <c r="G103" i="10"/>
  <c r="L103" i="10"/>
  <c r="D104" i="10"/>
  <c r="E104" i="10"/>
  <c r="G104" i="10"/>
  <c r="L104" i="10"/>
  <c r="D105" i="10"/>
  <c r="E105" i="10"/>
  <c r="G105" i="10"/>
  <c r="L105" i="10"/>
  <c r="D106" i="10"/>
  <c r="E106" i="10"/>
  <c r="G106" i="10"/>
  <c r="L106" i="10"/>
  <c r="D107" i="10"/>
  <c r="E107" i="10"/>
  <c r="G107" i="10"/>
  <c r="L107" i="10"/>
  <c r="D108" i="10"/>
  <c r="E108" i="10"/>
  <c r="G108" i="10"/>
  <c r="L108" i="10"/>
  <c r="D109" i="10"/>
  <c r="E109" i="10"/>
  <c r="G109" i="10"/>
  <c r="L109" i="10"/>
  <c r="D110" i="10"/>
  <c r="E110" i="10"/>
  <c r="G110" i="10"/>
  <c r="L110" i="10"/>
  <c r="D111" i="10"/>
  <c r="E111" i="10"/>
  <c r="G111" i="10"/>
  <c r="L111" i="10"/>
  <c r="AG89" i="10"/>
  <c r="AG88" i="10"/>
  <c r="AG87" i="10"/>
  <c r="AG86" i="10"/>
  <c r="AG85" i="10"/>
  <c r="AG84" i="10"/>
  <c r="L84" i="10"/>
  <c r="G84" i="10"/>
  <c r="E84" i="10"/>
  <c r="D84" i="10"/>
  <c r="AG83" i="10"/>
  <c r="L83" i="10"/>
  <c r="G83" i="10"/>
  <c r="E83" i="10"/>
  <c r="D83" i="10"/>
  <c r="D68" i="10"/>
  <c r="AG77" i="10"/>
  <c r="L77" i="10"/>
  <c r="G77" i="10"/>
  <c r="E77" i="10"/>
  <c r="D77" i="10"/>
  <c r="AG76" i="10"/>
  <c r="L76" i="10"/>
  <c r="G76" i="10"/>
  <c r="E76" i="10"/>
  <c r="D76" i="10"/>
  <c r="AG75" i="10"/>
  <c r="L75" i="10"/>
  <c r="G75" i="10"/>
  <c r="E75" i="10"/>
  <c r="D75" i="10"/>
  <c r="AG74" i="10"/>
  <c r="L74" i="10"/>
  <c r="G74" i="10"/>
  <c r="E74" i="10"/>
  <c r="D74" i="10"/>
  <c r="AG73" i="10"/>
  <c r="L73" i="10"/>
  <c r="G73" i="10"/>
  <c r="E73" i="10"/>
  <c r="D73" i="10"/>
  <c r="AG72" i="10"/>
  <c r="L72" i="10"/>
  <c r="G72" i="10"/>
  <c r="E72" i="10"/>
  <c r="D72" i="10"/>
  <c r="AG71" i="10"/>
  <c r="L71" i="10"/>
  <c r="G71" i="10"/>
  <c r="E71" i="10"/>
  <c r="D71" i="10"/>
  <c r="AG70" i="10"/>
  <c r="L70" i="10"/>
  <c r="G70" i="10"/>
  <c r="E70" i="10"/>
  <c r="D70" i="10"/>
  <c r="AG69" i="10"/>
  <c r="L69" i="10"/>
  <c r="G69" i="10"/>
  <c r="E69" i="10"/>
  <c r="D69" i="10"/>
  <c r="AG68" i="10"/>
  <c r="L68" i="10"/>
  <c r="G68" i="10"/>
  <c r="E68" i="10"/>
  <c r="G50" i="10"/>
  <c r="G51" i="10"/>
  <c r="G52" i="10"/>
  <c r="G53" i="10"/>
  <c r="G54" i="10"/>
  <c r="G55" i="10"/>
  <c r="G60" i="10"/>
  <c r="G61" i="10"/>
  <c r="G62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AG62" i="10"/>
  <c r="L62" i="10"/>
  <c r="E62" i="10"/>
  <c r="D62" i="10"/>
  <c r="AG61" i="10"/>
  <c r="L61" i="10"/>
  <c r="E61" i="10"/>
  <c r="D61" i="10"/>
  <c r="AG60" i="10"/>
  <c r="L60" i="10"/>
  <c r="E60" i="10"/>
  <c r="D60" i="10"/>
  <c r="AG55" i="10"/>
  <c r="L55" i="10"/>
  <c r="E55" i="10"/>
  <c r="D55" i="10"/>
  <c r="AG54" i="10"/>
  <c r="L54" i="10"/>
  <c r="E54" i="10"/>
  <c r="D54" i="10"/>
  <c r="AG53" i="10"/>
  <c r="L53" i="10"/>
  <c r="E53" i="10"/>
  <c r="D53" i="10"/>
  <c r="AG52" i="10"/>
  <c r="L52" i="10"/>
  <c r="E52" i="10"/>
  <c r="D52" i="10"/>
  <c r="AG51" i="10"/>
  <c r="L51" i="10"/>
  <c r="E51" i="10"/>
  <c r="D51" i="10"/>
  <c r="AG50" i="10"/>
  <c r="L50" i="10"/>
  <c r="E50" i="10"/>
  <c r="D50" i="10"/>
  <c r="AG49" i="10"/>
  <c r="L49" i="10"/>
  <c r="G49" i="10"/>
  <c r="E49" i="10"/>
  <c r="D49" i="10"/>
  <c r="E33" i="10"/>
  <c r="G33" i="10"/>
  <c r="L33" i="10"/>
  <c r="AG33" i="10"/>
  <c r="E34" i="10"/>
  <c r="G34" i="10"/>
  <c r="L34" i="10"/>
  <c r="AG34" i="10"/>
  <c r="E35" i="10"/>
  <c r="G35" i="10"/>
  <c r="L35" i="10"/>
  <c r="AG35" i="10"/>
  <c r="E36" i="10"/>
  <c r="G36" i="10"/>
  <c r="L36" i="10"/>
  <c r="AG36" i="10"/>
  <c r="E37" i="10"/>
  <c r="G37" i="10"/>
  <c r="L37" i="10"/>
  <c r="AG37" i="10"/>
  <c r="E38" i="10"/>
  <c r="G38" i="10"/>
  <c r="L38" i="10"/>
  <c r="AG38" i="10"/>
  <c r="E39" i="10"/>
  <c r="G39" i="10"/>
  <c r="L39" i="10"/>
  <c r="AG39" i="10"/>
  <c r="E40" i="10"/>
  <c r="G40" i="10"/>
  <c r="L40" i="10"/>
  <c r="AG40" i="10"/>
  <c r="E41" i="10"/>
  <c r="G41" i="10"/>
  <c r="L41" i="10"/>
  <c r="AG41" i="10"/>
  <c r="E42" i="10"/>
  <c r="G42" i="10"/>
  <c r="L42" i="10"/>
  <c r="AG42" i="10"/>
  <c r="E43" i="10"/>
  <c r="G43" i="10"/>
  <c r="L43" i="10"/>
  <c r="AG43" i="10"/>
  <c r="AG32" i="10"/>
  <c r="L32" i="10"/>
  <c r="G32" i="10"/>
  <c r="E32" i="10"/>
  <c r="AG31" i="10"/>
  <c r="L31" i="10"/>
  <c r="G31" i="10"/>
  <c r="E31" i="10"/>
  <c r="D31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AG14" i="10"/>
  <c r="AG15" i="10"/>
  <c r="AG16" i="10"/>
  <c r="AG17" i="10"/>
  <c r="AG18" i="10"/>
  <c r="AG19" i="10"/>
  <c r="AG20" i="10"/>
  <c r="AG21" i="10"/>
  <c r="AG22" i="10"/>
  <c r="AG23" i="10"/>
  <c r="AG24" i="10"/>
  <c r="AG25" i="10"/>
  <c r="E14" i="10"/>
  <c r="G14" i="10"/>
  <c r="L14" i="10"/>
  <c r="E15" i="10"/>
  <c r="G15" i="10"/>
  <c r="L15" i="10"/>
  <c r="E16" i="10"/>
  <c r="G16" i="10"/>
  <c r="L16" i="10"/>
  <c r="E17" i="10"/>
  <c r="G17" i="10"/>
  <c r="L17" i="10"/>
  <c r="E18" i="10"/>
  <c r="G18" i="10"/>
  <c r="L18" i="10"/>
  <c r="E19" i="10"/>
  <c r="G19" i="10"/>
  <c r="L19" i="10"/>
  <c r="E20" i="10"/>
  <c r="G20" i="10"/>
  <c r="L20" i="10"/>
  <c r="E21" i="10"/>
  <c r="G21" i="10"/>
  <c r="L21" i="10"/>
  <c r="E22" i="10"/>
  <c r="G22" i="10"/>
  <c r="L22" i="10"/>
  <c r="E23" i="10"/>
  <c r="G23" i="10"/>
  <c r="L23" i="10"/>
  <c r="E24" i="10"/>
  <c r="G24" i="10"/>
  <c r="L24" i="10"/>
  <c r="E25" i="10"/>
  <c r="G25" i="10"/>
  <c r="L25" i="10"/>
  <c r="E10" i="10"/>
  <c r="G10" i="10"/>
  <c r="L10" i="10"/>
  <c r="E11" i="10"/>
  <c r="G11" i="10"/>
  <c r="L11" i="10"/>
  <c r="E12" i="10"/>
  <c r="G12" i="10"/>
  <c r="L12" i="10"/>
  <c r="E13" i="10"/>
  <c r="G13" i="10"/>
  <c r="L13" i="10"/>
  <c r="L9" i="10"/>
  <c r="I9" i="10"/>
  <c r="H9" i="10"/>
  <c r="G9" i="10"/>
  <c r="E9" i="10"/>
  <c r="D9" i="10"/>
  <c r="F529" i="3"/>
  <c r="D529" i="3"/>
  <c r="C529" i="3"/>
  <c r="D527" i="3"/>
  <c r="C527" i="3"/>
  <c r="C526" i="3"/>
  <c r="AG13" i="10"/>
  <c r="AG12" i="10"/>
  <c r="AG11" i="10"/>
  <c r="AG10" i="10"/>
  <c r="AG9" i="10"/>
  <c r="AE594" i="3"/>
  <c r="AE579" i="3"/>
  <c r="AE578" i="3"/>
  <c r="F570" i="3"/>
  <c r="D570" i="3"/>
  <c r="C570" i="3"/>
  <c r="F569" i="3"/>
  <c r="D569" i="3"/>
  <c r="C569" i="3"/>
  <c r="F568" i="3"/>
  <c r="D568" i="3"/>
  <c r="C568" i="3"/>
  <c r="F567" i="3"/>
  <c r="D567" i="3"/>
  <c r="C567" i="3"/>
  <c r="F566" i="3"/>
  <c r="D566" i="3"/>
  <c r="C566" i="3"/>
  <c r="F565" i="3"/>
  <c r="D565" i="3"/>
  <c r="C565" i="3"/>
  <c r="F564" i="3"/>
  <c r="D564" i="3"/>
  <c r="C564" i="3"/>
  <c r="F563" i="3"/>
  <c r="D563" i="3"/>
  <c r="C563" i="3"/>
  <c r="F562" i="3"/>
  <c r="D562" i="3"/>
  <c r="C562" i="3"/>
  <c r="AF564" i="3"/>
  <c r="AE561" i="3"/>
  <c r="AE560" i="3"/>
  <c r="AE554" i="3"/>
  <c r="AE553" i="3"/>
  <c r="AE527" i="3"/>
  <c r="AE526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8" i="3"/>
  <c r="C530" i="3"/>
  <c r="C531" i="3"/>
  <c r="C532" i="3"/>
  <c r="C533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435" i="3"/>
  <c r="C434" i="3"/>
  <c r="C433" i="3"/>
  <c r="AE407" i="3"/>
  <c r="X380" i="3" l="1"/>
  <c r="N120" i="10"/>
  <c r="U93" i="10"/>
  <c r="Q158" i="10"/>
  <c r="R206" i="11"/>
  <c r="N164" i="11"/>
  <c r="U236" i="10"/>
  <c r="U123" i="10"/>
  <c r="Q123" i="10"/>
  <c r="T14" i="10"/>
  <c r="T20" i="10"/>
  <c r="T123" i="10"/>
  <c r="U71" i="10"/>
  <c r="M203" i="10"/>
  <c r="U230" i="10"/>
  <c r="R158" i="10"/>
  <c r="N160" i="10"/>
  <c r="U205" i="10"/>
  <c r="M123" i="10"/>
  <c r="N154" i="10"/>
  <c r="N245" i="10"/>
  <c r="M234" i="10"/>
  <c r="N123" i="10"/>
  <c r="X202" i="3"/>
  <c r="X198" i="3"/>
  <c r="X187" i="3"/>
  <c r="P580" i="3"/>
  <c r="T116" i="3"/>
  <c r="T140" i="3"/>
  <c r="T164" i="3"/>
  <c r="T249" i="3"/>
  <c r="X195" i="3"/>
  <c r="L555" i="3"/>
  <c r="T231" i="3"/>
  <c r="T353" i="3"/>
  <c r="T402" i="3"/>
  <c r="T426" i="3"/>
  <c r="T450" i="3"/>
  <c r="T474" i="3"/>
  <c r="T112" i="3"/>
  <c r="T124" i="3"/>
  <c r="T148" i="3"/>
  <c r="T172" i="3"/>
  <c r="T295" i="3"/>
  <c r="T343" i="3"/>
  <c r="T367" i="3"/>
  <c r="T392" i="3"/>
  <c r="T416" i="3"/>
  <c r="T440" i="3"/>
  <c r="T464" i="3"/>
  <c r="T488" i="3"/>
  <c r="T512" i="3"/>
  <c r="T540" i="3"/>
  <c r="L580" i="3"/>
  <c r="T580" i="3"/>
  <c r="L578" i="3"/>
  <c r="L545" i="3"/>
  <c r="P546" i="3"/>
  <c r="X376" i="3"/>
  <c r="L553" i="3"/>
  <c r="M157" i="10"/>
  <c r="P160" i="10"/>
  <c r="U160" i="10"/>
  <c r="T158" i="10"/>
  <c r="S123" i="10"/>
  <c r="P123" i="10"/>
  <c r="M158" i="10"/>
  <c r="N158" i="10"/>
  <c r="U158" i="10"/>
  <c r="P158" i="10"/>
  <c r="S158" i="10"/>
  <c r="N148" i="10"/>
  <c r="M160" i="10"/>
  <c r="N122" i="10"/>
  <c r="R123" i="10"/>
  <c r="S160" i="10"/>
  <c r="S217" i="10"/>
  <c r="P93" i="10"/>
  <c r="N93" i="10"/>
  <c r="M71" i="10"/>
  <c r="M69" i="10"/>
  <c r="U92" i="10"/>
  <c r="U70" i="10"/>
  <c r="M50" i="10"/>
  <c r="W50" i="10" s="1"/>
  <c r="M62" i="10"/>
  <c r="W62" i="10" s="1"/>
  <c r="Q90" i="10"/>
  <c r="M73" i="10"/>
  <c r="S93" i="10"/>
  <c r="S92" i="10"/>
  <c r="T93" i="10"/>
  <c r="T92" i="10"/>
  <c r="Q92" i="10"/>
  <c r="Q93" i="10"/>
  <c r="R93" i="10"/>
  <c r="M92" i="10"/>
  <c r="M93" i="10"/>
  <c r="Q69" i="10"/>
  <c r="M70" i="10"/>
  <c r="N70" i="10"/>
  <c r="M72" i="10"/>
  <c r="U72" i="10"/>
  <c r="M55" i="10"/>
  <c r="M61" i="10"/>
  <c r="U69" i="10"/>
  <c r="N69" i="10"/>
  <c r="X190" i="3"/>
  <c r="X183" i="3"/>
  <c r="X180" i="3"/>
  <c r="T142" i="3"/>
  <c r="T166" i="3"/>
  <c r="T251" i="3"/>
  <c r="T313" i="3"/>
  <c r="T410" i="3"/>
  <c r="T434" i="3"/>
  <c r="T482" i="3"/>
  <c r="T530" i="3"/>
  <c r="T582" i="3"/>
  <c r="T70" i="3"/>
  <c r="T94" i="3"/>
  <c r="T191" i="3"/>
  <c r="T215" i="3"/>
  <c r="T239" i="3"/>
  <c r="T263" i="3"/>
  <c r="T337" i="3"/>
  <c r="T361" i="3"/>
  <c r="T386" i="3"/>
  <c r="T458" i="3"/>
  <c r="T506" i="3"/>
  <c r="T558" i="3"/>
  <c r="T62" i="3"/>
  <c r="T134" i="3"/>
  <c r="T158" i="3"/>
  <c r="T182" i="3"/>
  <c r="T207" i="3"/>
  <c r="T69" i="3"/>
  <c r="T93" i="3"/>
  <c r="T190" i="3"/>
  <c r="T214" i="3"/>
  <c r="T238" i="3"/>
  <c r="T262" i="3"/>
  <c r="T529" i="3"/>
  <c r="R211" i="3"/>
  <c r="R161" i="3"/>
  <c r="T287" i="3"/>
  <c r="T557" i="3"/>
  <c r="R209" i="3"/>
  <c r="T61" i="3"/>
  <c r="T85" i="3"/>
  <c r="T206" i="3"/>
  <c r="T230" i="3"/>
  <c r="T254" i="3"/>
  <c r="T278" i="3"/>
  <c r="T573" i="3"/>
  <c r="T255" i="3"/>
  <c r="T279" i="3"/>
  <c r="T305" i="3"/>
  <c r="T329" i="3"/>
  <c r="T375" i="3"/>
  <c r="T327" i="3"/>
  <c r="T548" i="3"/>
  <c r="R210" i="3"/>
  <c r="T400" i="3"/>
  <c r="T496" i="3"/>
  <c r="T86" i="3"/>
  <c r="T498" i="3"/>
  <c r="T522" i="3"/>
  <c r="T550" i="3"/>
  <c r="T574" i="3"/>
  <c r="T598" i="3"/>
  <c r="T156" i="3"/>
  <c r="T448" i="3"/>
  <c r="T565" i="3"/>
  <c r="T132" i="3"/>
  <c r="T351" i="3"/>
  <c r="T472" i="3"/>
  <c r="T520" i="3"/>
  <c r="T297" i="3"/>
  <c r="T321" i="3"/>
  <c r="T345" i="3"/>
  <c r="T369" i="3"/>
  <c r="T394" i="3"/>
  <c r="T418" i="3"/>
  <c r="T442" i="3"/>
  <c r="T466" i="3"/>
  <c r="T490" i="3"/>
  <c r="T514" i="3"/>
  <c r="T542" i="3"/>
  <c r="T566" i="3"/>
  <c r="T590" i="3"/>
  <c r="T614" i="3"/>
  <c r="T193" i="3"/>
  <c r="T303" i="3"/>
  <c r="T424" i="3"/>
  <c r="R162" i="3"/>
  <c r="T311" i="3"/>
  <c r="T335" i="3"/>
  <c r="T359" i="3"/>
  <c r="T384" i="3"/>
  <c r="T408" i="3"/>
  <c r="T432" i="3"/>
  <c r="T456" i="3"/>
  <c r="T480" i="3"/>
  <c r="T504" i="3"/>
  <c r="T248" i="3"/>
  <c r="N56" i="3"/>
  <c r="X58" i="3" s="1"/>
  <c r="N55" i="3"/>
  <c r="R208" i="3"/>
  <c r="T250" i="3"/>
  <c r="T289" i="3"/>
  <c r="T606" i="3"/>
  <c r="P161" i="3"/>
  <c r="T319" i="3"/>
  <c r="T118" i="3"/>
  <c r="T110" i="3"/>
  <c r="T108" i="3"/>
  <c r="T101" i="3"/>
  <c r="T47" i="3"/>
  <c r="T63" i="3"/>
  <c r="T71" i="3"/>
  <c r="T79" i="3"/>
  <c r="T87" i="3"/>
  <c r="T95" i="3"/>
  <c r="T111" i="3"/>
  <c r="T119" i="3"/>
  <c r="T127" i="3"/>
  <c r="T135" i="3"/>
  <c r="T143" i="3"/>
  <c r="T151" i="3"/>
  <c r="T159" i="3"/>
  <c r="T167" i="3"/>
  <c r="T175" i="3"/>
  <c r="T183" i="3"/>
  <c r="T200" i="3"/>
  <c r="T208" i="3"/>
  <c r="T216" i="3"/>
  <c r="T224" i="3"/>
  <c r="T232" i="3"/>
  <c r="T240" i="3"/>
  <c r="T256" i="3"/>
  <c r="T264" i="3"/>
  <c r="T272" i="3"/>
  <c r="T280" i="3"/>
  <c r="T290" i="3"/>
  <c r="T298" i="3"/>
  <c r="T306" i="3"/>
  <c r="T314" i="3"/>
  <c r="T322" i="3"/>
  <c r="T330" i="3"/>
  <c r="T338" i="3"/>
  <c r="T346" i="3"/>
  <c r="T354" i="3"/>
  <c r="T362" i="3"/>
  <c r="T370" i="3"/>
  <c r="T379" i="3"/>
  <c r="T387" i="3"/>
  <c r="T395" i="3"/>
  <c r="T403" i="3"/>
  <c r="T411" i="3"/>
  <c r="T419" i="3"/>
  <c r="T427" i="3"/>
  <c r="T435" i="3"/>
  <c r="T443" i="3"/>
  <c r="T451" i="3"/>
  <c r="T459" i="3"/>
  <c r="T467" i="3"/>
  <c r="T475" i="3"/>
  <c r="T483" i="3"/>
  <c r="T491" i="3"/>
  <c r="T499" i="3"/>
  <c r="T507" i="3"/>
  <c r="T515" i="3"/>
  <c r="T523" i="3"/>
  <c r="T531" i="3"/>
  <c r="T543" i="3"/>
  <c r="T551" i="3"/>
  <c r="T559" i="3"/>
  <c r="T567" i="3"/>
  <c r="T575" i="3"/>
  <c r="T583" i="3"/>
  <c r="T591" i="3"/>
  <c r="T599" i="3"/>
  <c r="T607" i="3"/>
  <c r="T615" i="3"/>
  <c r="T623" i="3"/>
  <c r="T631" i="3"/>
  <c r="T639" i="3"/>
  <c r="T647" i="3"/>
  <c r="T659" i="3"/>
  <c r="T588" i="3"/>
  <c r="T596" i="3"/>
  <c r="T604" i="3"/>
  <c r="T612" i="3"/>
  <c r="T620" i="3"/>
  <c r="T628" i="3"/>
  <c r="T636" i="3"/>
  <c r="T644" i="3"/>
  <c r="T652" i="3"/>
  <c r="T660" i="3"/>
  <c r="T66" i="3"/>
  <c r="T98" i="3"/>
  <c r="T146" i="3"/>
  <c r="T243" i="3"/>
  <c r="T259" i="3"/>
  <c r="T267" i="3"/>
  <c r="T275" i="3"/>
  <c r="T283" i="3"/>
  <c r="T293" i="3"/>
  <c r="T301" i="3"/>
  <c r="T309" i="3"/>
  <c r="T317" i="3"/>
  <c r="T325" i="3"/>
  <c r="T333" i="3"/>
  <c r="T341" i="3"/>
  <c r="T349" i="3"/>
  <c r="T357" i="3"/>
  <c r="T365" i="3"/>
  <c r="T373" i="3"/>
  <c r="T382" i="3"/>
  <c r="T390" i="3"/>
  <c r="T398" i="3"/>
  <c r="T406" i="3"/>
  <c r="T414" i="3"/>
  <c r="T422" i="3"/>
  <c r="T430" i="3"/>
  <c r="T438" i="3"/>
  <c r="T446" i="3"/>
  <c r="T454" i="3"/>
  <c r="T462" i="3"/>
  <c r="T470" i="3"/>
  <c r="T478" i="3"/>
  <c r="T486" i="3"/>
  <c r="T494" i="3"/>
  <c r="T502" i="3"/>
  <c r="T510" i="3"/>
  <c r="T518" i="3"/>
  <c r="T526" i="3"/>
  <c r="T546" i="3"/>
  <c r="T570" i="3"/>
  <c r="T578" i="3"/>
  <c r="T586" i="3"/>
  <c r="T594" i="3"/>
  <c r="T602" i="3"/>
  <c r="T610" i="3"/>
  <c r="T618" i="3"/>
  <c r="T626" i="3"/>
  <c r="T634" i="3"/>
  <c r="T642" i="3"/>
  <c r="T650" i="3"/>
  <c r="T658" i="3"/>
  <c r="T622" i="3"/>
  <c r="T630" i="3"/>
  <c r="T638" i="3"/>
  <c r="T646" i="3"/>
  <c r="T654" i="3"/>
  <c r="T655" i="3"/>
  <c r="T16" i="3"/>
  <c r="T32" i="3"/>
  <c r="T40" i="3"/>
  <c r="T9" i="3"/>
  <c r="T17" i="3"/>
  <c r="T25" i="3"/>
  <c r="T33" i="3"/>
  <c r="T42" i="3"/>
  <c r="T113" i="3"/>
  <c r="T121" i="3"/>
  <c r="T129" i="3"/>
  <c r="T137" i="3"/>
  <c r="T145" i="3"/>
  <c r="T153" i="3"/>
  <c r="T161" i="3"/>
  <c r="T169" i="3"/>
  <c r="T177" i="3"/>
  <c r="T292" i="3"/>
  <c r="T300" i="3"/>
  <c r="T308" i="3"/>
  <c r="T316" i="3"/>
  <c r="T324" i="3"/>
  <c r="T332" i="3"/>
  <c r="T340" i="3"/>
  <c r="T348" i="3"/>
  <c r="T356" i="3"/>
  <c r="T364" i="3"/>
  <c r="T372" i="3"/>
  <c r="T381" i="3"/>
  <c r="T389" i="3"/>
  <c r="T397" i="3"/>
  <c r="T405" i="3"/>
  <c r="T413" i="3"/>
  <c r="T421" i="3"/>
  <c r="T429" i="3"/>
  <c r="T437" i="3"/>
  <c r="T445" i="3"/>
  <c r="T453" i="3"/>
  <c r="T461" i="3"/>
  <c r="T469" i="3"/>
  <c r="T477" i="3"/>
  <c r="T485" i="3"/>
  <c r="T493" i="3"/>
  <c r="T501" i="3"/>
  <c r="T509" i="3"/>
  <c r="T517" i="3"/>
  <c r="T525" i="3"/>
  <c r="T533" i="3"/>
  <c r="T545" i="3"/>
  <c r="T553" i="3"/>
  <c r="T585" i="3"/>
  <c r="T593" i="3"/>
  <c r="T601" i="3"/>
  <c r="T609" i="3"/>
  <c r="T617" i="3"/>
  <c r="T625" i="3"/>
  <c r="T633" i="3"/>
  <c r="T641" i="3"/>
  <c r="T649" i="3"/>
  <c r="T657" i="3"/>
  <c r="T19" i="3"/>
  <c r="T27" i="3"/>
  <c r="T43" i="3"/>
  <c r="T52" i="3"/>
  <c r="T59" i="3"/>
  <c r="T67" i="3"/>
  <c r="T75" i="3"/>
  <c r="T83" i="3"/>
  <c r="T13" i="3"/>
  <c r="T22" i="3"/>
  <c r="T29" i="3"/>
  <c r="T38" i="3"/>
  <c r="T45" i="3"/>
  <c r="T12" i="3"/>
  <c r="T20" i="3"/>
  <c r="T28" i="3"/>
  <c r="T36" i="3"/>
  <c r="T44" i="3"/>
  <c r="T58" i="3"/>
  <c r="T74" i="3"/>
  <c r="T82" i="3"/>
  <c r="T90" i="3"/>
  <c r="T114" i="3"/>
  <c r="T122" i="3"/>
  <c r="T130" i="3"/>
  <c r="T138" i="3"/>
  <c r="T154" i="3"/>
  <c r="T162" i="3"/>
  <c r="T170" i="3"/>
  <c r="T178" i="3"/>
  <c r="T187" i="3"/>
  <c r="T195" i="3"/>
  <c r="T203" i="3"/>
  <c r="T211" i="3"/>
  <c r="T219" i="3"/>
  <c r="T227" i="3"/>
  <c r="T235" i="3"/>
  <c r="T30" i="3"/>
  <c r="T15" i="3"/>
  <c r="T31" i="3"/>
  <c r="T39" i="3"/>
  <c r="T48" i="3"/>
  <c r="T53" i="3"/>
  <c r="T600" i="3"/>
  <c r="T632" i="3"/>
  <c r="T18" i="3"/>
  <c r="T26" i="3"/>
  <c r="T34" i="3"/>
  <c r="T49" i="3"/>
  <c r="T56" i="3"/>
  <c r="T64" i="3"/>
  <c r="T72" i="3"/>
  <c r="T80" i="3"/>
  <c r="T104" i="3"/>
  <c r="T380" i="3"/>
  <c r="T388" i="3"/>
  <c r="T396" i="3"/>
  <c r="T404" i="3"/>
  <c r="T412" i="3"/>
  <c r="T420" i="3"/>
  <c r="T428" i="3"/>
  <c r="T436" i="3"/>
  <c r="T444" i="3"/>
  <c r="T452" i="3"/>
  <c r="T460" i="3"/>
  <c r="T468" i="3"/>
  <c r="T476" i="3"/>
  <c r="T484" i="3"/>
  <c r="T492" i="3"/>
  <c r="T500" i="3"/>
  <c r="T508" i="3"/>
  <c r="T516" i="3"/>
  <c r="T524" i="3"/>
  <c r="T584" i="3"/>
  <c r="T592" i="3"/>
  <c r="T608" i="3"/>
  <c r="T616" i="3"/>
  <c r="T624" i="3"/>
  <c r="T640" i="3"/>
  <c r="T648" i="3"/>
  <c r="T656" i="3"/>
  <c r="T88" i="3"/>
  <c r="T96" i="3"/>
  <c r="T120" i="3"/>
  <c r="T128" i="3"/>
  <c r="T136" i="3"/>
  <c r="T144" i="3"/>
  <c r="T152" i="3"/>
  <c r="T160" i="3"/>
  <c r="T168" i="3"/>
  <c r="T176" i="3"/>
  <c r="T184" i="3"/>
  <c r="T201" i="3"/>
  <c r="T209" i="3"/>
  <c r="T217" i="3"/>
  <c r="T225" i="3"/>
  <c r="T233" i="3"/>
  <c r="T241" i="3"/>
  <c r="T257" i="3"/>
  <c r="T265" i="3"/>
  <c r="T273" i="3"/>
  <c r="T281" i="3"/>
  <c r="T291" i="3"/>
  <c r="T299" i="3"/>
  <c r="T307" i="3"/>
  <c r="T315" i="3"/>
  <c r="T323" i="3"/>
  <c r="T331" i="3"/>
  <c r="T339" i="3"/>
  <c r="T347" i="3"/>
  <c r="T355" i="3"/>
  <c r="T363" i="3"/>
  <c r="T371" i="3"/>
  <c r="T532" i="3"/>
  <c r="T544" i="3"/>
  <c r="T552" i="3"/>
  <c r="T560" i="3"/>
  <c r="T568" i="3"/>
  <c r="T576" i="3"/>
  <c r="T91" i="3"/>
  <c r="T99" i="3"/>
  <c r="T107" i="3"/>
  <c r="T115" i="3"/>
  <c r="T123" i="3"/>
  <c r="T131" i="3"/>
  <c r="T139" i="3"/>
  <c r="T147" i="3"/>
  <c r="T155" i="3"/>
  <c r="T163" i="3"/>
  <c r="T171" i="3"/>
  <c r="T188" i="3"/>
  <c r="T196" i="3"/>
  <c r="T204" i="3"/>
  <c r="T212" i="3"/>
  <c r="T220" i="3"/>
  <c r="T228" i="3"/>
  <c r="T236" i="3"/>
  <c r="T244" i="3"/>
  <c r="T252" i="3"/>
  <c r="T260" i="3"/>
  <c r="T268" i="3"/>
  <c r="T276" i="3"/>
  <c r="T294" i="3"/>
  <c r="T302" i="3"/>
  <c r="T310" i="3"/>
  <c r="T318" i="3"/>
  <c r="T326" i="3"/>
  <c r="T334" i="3"/>
  <c r="T342" i="3"/>
  <c r="T350" i="3"/>
  <c r="T358" i="3"/>
  <c r="T366" i="3"/>
  <c r="T374" i="3"/>
  <c r="T383" i="3"/>
  <c r="T391" i="3"/>
  <c r="T399" i="3"/>
  <c r="T407" i="3"/>
  <c r="T415" i="3"/>
  <c r="T423" i="3"/>
  <c r="T431" i="3"/>
  <c r="T439" i="3"/>
  <c r="T447" i="3"/>
  <c r="T455" i="3"/>
  <c r="T463" i="3"/>
  <c r="T471" i="3"/>
  <c r="T479" i="3"/>
  <c r="T487" i="3"/>
  <c r="T495" i="3"/>
  <c r="T503" i="3"/>
  <c r="T511" i="3"/>
  <c r="T519" i="3"/>
  <c r="T539" i="3"/>
  <c r="T547" i="3"/>
  <c r="T555" i="3"/>
  <c r="T563" i="3"/>
  <c r="T571" i="3"/>
  <c r="T587" i="3"/>
  <c r="T595" i="3"/>
  <c r="T603" i="3"/>
  <c r="T611" i="3"/>
  <c r="T619" i="3"/>
  <c r="T627" i="3"/>
  <c r="T635" i="3"/>
  <c r="T643" i="3"/>
  <c r="T651" i="3"/>
  <c r="T181" i="3"/>
  <c r="T288" i="3"/>
  <c r="T296" i="3"/>
  <c r="T304" i="3"/>
  <c r="T312" i="3"/>
  <c r="T320" i="3"/>
  <c r="T328" i="3"/>
  <c r="T336" i="3"/>
  <c r="T344" i="3"/>
  <c r="T352" i="3"/>
  <c r="T360" i="3"/>
  <c r="T368" i="3"/>
  <c r="T376" i="3"/>
  <c r="T385" i="3"/>
  <c r="T393" i="3"/>
  <c r="T401" i="3"/>
  <c r="T409" i="3"/>
  <c r="T417" i="3"/>
  <c r="T425" i="3"/>
  <c r="T433" i="3"/>
  <c r="T441" i="3"/>
  <c r="T449" i="3"/>
  <c r="T457" i="3"/>
  <c r="T465" i="3"/>
  <c r="T473" i="3"/>
  <c r="T481" i="3"/>
  <c r="T489" i="3"/>
  <c r="T497" i="3"/>
  <c r="T505" i="3"/>
  <c r="T513" i="3"/>
  <c r="T521" i="3"/>
  <c r="T541" i="3"/>
  <c r="T549" i="3"/>
  <c r="T581" i="3"/>
  <c r="T589" i="3"/>
  <c r="T597" i="3"/>
  <c r="T605" i="3"/>
  <c r="T613" i="3"/>
  <c r="T621" i="3"/>
  <c r="T629" i="3"/>
  <c r="T637" i="3"/>
  <c r="T645" i="3"/>
  <c r="T653" i="3"/>
  <c r="T41" i="3"/>
  <c r="T57" i="3"/>
  <c r="T65" i="3"/>
  <c r="T73" i="3"/>
  <c r="T81" i="3"/>
  <c r="T89" i="3"/>
  <c r="T97" i="3"/>
  <c r="T109" i="3"/>
  <c r="T117" i="3"/>
  <c r="T125" i="3"/>
  <c r="T133" i="3"/>
  <c r="T141" i="3"/>
  <c r="T149" i="3"/>
  <c r="T157" i="3"/>
  <c r="T165" i="3"/>
  <c r="T173" i="3"/>
  <c r="T194" i="3"/>
  <c r="T202" i="3"/>
  <c r="T210" i="3"/>
  <c r="T218" i="3"/>
  <c r="T226" i="3"/>
  <c r="T234" i="3"/>
  <c r="T242" i="3"/>
  <c r="T258" i="3"/>
  <c r="T266" i="3"/>
  <c r="T274" i="3"/>
  <c r="T282" i="3"/>
  <c r="T569" i="3"/>
  <c r="T577" i="3"/>
  <c r="T21" i="3"/>
  <c r="T51" i="3"/>
  <c r="T60" i="3"/>
  <c r="T68" i="3"/>
  <c r="T76" i="3"/>
  <c r="T84" i="3"/>
  <c r="T92" i="3"/>
  <c r="T100" i="3"/>
  <c r="T197" i="3"/>
  <c r="T205" i="3"/>
  <c r="T213" i="3"/>
  <c r="T221" i="3"/>
  <c r="T229" i="3"/>
  <c r="T237" i="3"/>
  <c r="T245" i="3"/>
  <c r="T253" i="3"/>
  <c r="T261" i="3"/>
  <c r="T269" i="3"/>
  <c r="T277" i="3"/>
  <c r="T564" i="3"/>
  <c r="T572" i="3"/>
  <c r="T37" i="3"/>
  <c r="T189" i="3"/>
  <c r="T556" i="3"/>
  <c r="T46" i="3"/>
  <c r="R183" i="11"/>
  <c r="Q81" i="11"/>
  <c r="R269" i="11"/>
  <c r="AA272" i="11" s="1"/>
  <c r="R12" i="11"/>
  <c r="R24" i="11"/>
  <c r="R30" i="11"/>
  <c r="R96" i="11"/>
  <c r="N85" i="11"/>
  <c r="R10" i="11"/>
  <c r="R59" i="11"/>
  <c r="R76" i="11"/>
  <c r="R82" i="11"/>
  <c r="R218" i="11"/>
  <c r="R264" i="11"/>
  <c r="R270" i="11"/>
  <c r="R97" i="11"/>
  <c r="R224" i="11"/>
  <c r="R92" i="11"/>
  <c r="R68" i="11"/>
  <c r="AA142" i="11"/>
  <c r="S84" i="11"/>
  <c r="N83" i="11"/>
  <c r="N86" i="11"/>
  <c r="O79" i="11"/>
  <c r="P80" i="11"/>
  <c r="P86" i="11"/>
  <c r="R113" i="11"/>
  <c r="R135" i="11"/>
  <c r="R146" i="11"/>
  <c r="R159" i="11"/>
  <c r="R165" i="11"/>
  <c r="R199" i="11"/>
  <c r="R217" i="11"/>
  <c r="R223" i="11"/>
  <c r="R243" i="11"/>
  <c r="AA244" i="11" s="1"/>
  <c r="R19" i="11"/>
  <c r="R25" i="11"/>
  <c r="R45" i="11"/>
  <c r="R62" i="11"/>
  <c r="R79" i="11"/>
  <c r="R85" i="11"/>
  <c r="S165" i="11"/>
  <c r="R207" i="11"/>
  <c r="AA207" i="11" s="1"/>
  <c r="Q59" i="11"/>
  <c r="R42" i="11"/>
  <c r="R180" i="11"/>
  <c r="R212" i="11"/>
  <c r="AA213" i="11" s="1"/>
  <c r="R117" i="11"/>
  <c r="R262" i="11"/>
  <c r="R274" i="11"/>
  <c r="AA274" i="11" s="1"/>
  <c r="S82" i="11"/>
  <c r="R190" i="11"/>
  <c r="R196" i="11"/>
  <c r="AA196" i="11" s="1"/>
  <c r="R202" i="11"/>
  <c r="R208" i="11"/>
  <c r="R214" i="11"/>
  <c r="R220" i="11"/>
  <c r="R240" i="11"/>
  <c r="AA240" i="11" s="1"/>
  <c r="R133" i="11"/>
  <c r="R145" i="11"/>
  <c r="R164" i="11"/>
  <c r="R175" i="11"/>
  <c r="R94" i="11"/>
  <c r="R200" i="11"/>
  <c r="R170" i="11"/>
  <c r="M64" i="11"/>
  <c r="R127" i="11"/>
  <c r="R260" i="11"/>
  <c r="AA261" i="11" s="1"/>
  <c r="R266" i="11"/>
  <c r="R272" i="11"/>
  <c r="R41" i="11"/>
  <c r="R58" i="11"/>
  <c r="L85" i="11"/>
  <c r="N82" i="11"/>
  <c r="P163" i="11"/>
  <c r="P78" i="11"/>
  <c r="P84" i="11"/>
  <c r="R112" i="11"/>
  <c r="AA114" i="11" s="1"/>
  <c r="R139" i="11"/>
  <c r="AA140" i="11" s="1"/>
  <c r="R151" i="11"/>
  <c r="AA153" i="11" s="1"/>
  <c r="R134" i="11"/>
  <c r="R147" i="11"/>
  <c r="Q77" i="11"/>
  <c r="N68" i="11"/>
  <c r="S85" i="11"/>
  <c r="R18" i="11"/>
  <c r="R61" i="11"/>
  <c r="R66" i="11"/>
  <c r="R78" i="11"/>
  <c r="R268" i="11"/>
  <c r="AA268" i="11" s="1"/>
  <c r="Q165" i="11"/>
  <c r="R248" i="11"/>
  <c r="R185" i="11"/>
  <c r="R191" i="11"/>
  <c r="R197" i="11"/>
  <c r="R203" i="11"/>
  <c r="R209" i="11"/>
  <c r="R215" i="11"/>
  <c r="R221" i="11"/>
  <c r="R227" i="11"/>
  <c r="R241" i="11"/>
  <c r="R247" i="11"/>
  <c r="R114" i="11"/>
  <c r="O172" i="11"/>
  <c r="R158" i="11"/>
  <c r="R128" i="11"/>
  <c r="R20" i="11"/>
  <c r="R26" i="11"/>
  <c r="R63" i="11"/>
  <c r="R80" i="11"/>
  <c r="R86" i="11"/>
  <c r="L174" i="11"/>
  <c r="R176" i="11"/>
  <c r="R131" i="11"/>
  <c r="AA131" i="11" s="1"/>
  <c r="R137" i="11"/>
  <c r="R143" i="11"/>
  <c r="R149" i="11"/>
  <c r="AA150" i="11" s="1"/>
  <c r="R155" i="11"/>
  <c r="AA155" i="11" s="1"/>
  <c r="R161" i="11"/>
  <c r="R173" i="11"/>
  <c r="R99" i="11"/>
  <c r="AA99" i="11" s="1"/>
  <c r="R98" i="11"/>
  <c r="R179" i="11"/>
  <c r="R178" i="11"/>
  <c r="R177" i="11"/>
  <c r="R93" i="11"/>
  <c r="R182" i="11"/>
  <c r="AA183" i="11" s="1"/>
  <c r="R263" i="11"/>
  <c r="R14" i="11"/>
  <c r="R69" i="11"/>
  <c r="AA136" i="11"/>
  <c r="R184" i="11"/>
  <c r="R226" i="11"/>
  <c r="R138" i="11"/>
  <c r="R186" i="11"/>
  <c r="AA188" i="11" s="1"/>
  <c r="R81" i="11"/>
  <c r="N79" i="11"/>
  <c r="R174" i="11"/>
  <c r="R16" i="11"/>
  <c r="R22" i="11"/>
  <c r="R27" i="11"/>
  <c r="R65" i="11"/>
  <c r="R132" i="11"/>
  <c r="R144" i="11"/>
  <c r="R156" i="11"/>
  <c r="AA157" i="11" s="1"/>
  <c r="R168" i="11"/>
  <c r="R192" i="11"/>
  <c r="R198" i="11"/>
  <c r="R204" i="11"/>
  <c r="R210" i="11"/>
  <c r="R216" i="11"/>
  <c r="R222" i="11"/>
  <c r="R228" i="11"/>
  <c r="AA111" i="11"/>
  <c r="M206" i="11"/>
  <c r="N77" i="11"/>
  <c r="S168" i="11"/>
  <c r="R23" i="11"/>
  <c r="O165" i="11"/>
  <c r="P68" i="11"/>
  <c r="P85" i="11"/>
  <c r="P165" i="11"/>
  <c r="R40" i="11"/>
  <c r="R44" i="11"/>
  <c r="R245" i="11"/>
  <c r="K148" i="10"/>
  <c r="T148" i="10" s="1"/>
  <c r="T69" i="10"/>
  <c r="S128" i="10"/>
  <c r="T166" i="10"/>
  <c r="T197" i="10"/>
  <c r="T217" i="10"/>
  <c r="T224" i="10"/>
  <c r="T230" i="10"/>
  <c r="T248" i="10"/>
  <c r="T128" i="10"/>
  <c r="T134" i="10"/>
  <c r="I87" i="10"/>
  <c r="I159" i="10"/>
  <c r="R160" i="10" s="1"/>
  <c r="K149" i="10"/>
  <c r="T173" i="10"/>
  <c r="T179" i="10"/>
  <c r="T198" i="10"/>
  <c r="T210" i="10"/>
  <c r="T243" i="10"/>
  <c r="I151" i="10"/>
  <c r="R152" i="10" s="1"/>
  <c r="T132" i="10"/>
  <c r="Q121" i="10"/>
  <c r="S134" i="10"/>
  <c r="T133" i="10"/>
  <c r="T19" i="10"/>
  <c r="T25" i="10"/>
  <c r="T51" i="10"/>
  <c r="T175" i="10"/>
  <c r="T194" i="10"/>
  <c r="T239" i="10"/>
  <c r="T245" i="10"/>
  <c r="T95" i="10"/>
  <c r="Q124" i="10"/>
  <c r="Q130" i="10"/>
  <c r="Q136" i="10"/>
  <c r="N172" i="10"/>
  <c r="T193" i="10"/>
  <c r="T205" i="10"/>
  <c r="T219" i="10"/>
  <c r="T226" i="10"/>
  <c r="T238" i="10"/>
  <c r="R124" i="10"/>
  <c r="R136" i="10"/>
  <c r="T196" i="10"/>
  <c r="T223" i="10"/>
  <c r="T229" i="10"/>
  <c r="T241" i="10"/>
  <c r="T247" i="10"/>
  <c r="K86" i="10"/>
  <c r="I91" i="10"/>
  <c r="R92" i="10" s="1"/>
  <c r="P171" i="10"/>
  <c r="I90" i="10"/>
  <c r="T10" i="10"/>
  <c r="T16" i="10"/>
  <c r="T22" i="10"/>
  <c r="T33" i="10"/>
  <c r="M120" i="10"/>
  <c r="T84" i="10"/>
  <c r="U135" i="10"/>
  <c r="P131" i="10"/>
  <c r="T61" i="10"/>
  <c r="T40" i="10"/>
  <c r="T96" i="10"/>
  <c r="T160" i="10"/>
  <c r="I150" i="10"/>
  <c r="S124" i="10"/>
  <c r="T119" i="10"/>
  <c r="T136" i="10"/>
  <c r="K85" i="10"/>
  <c r="T85" i="10" s="1"/>
  <c r="K89" i="10"/>
  <c r="T190" i="10"/>
  <c r="T109" i="10"/>
  <c r="N243" i="10"/>
  <c r="T54" i="10"/>
  <c r="Q172" i="10"/>
  <c r="T24" i="10"/>
  <c r="T73" i="10"/>
  <c r="T104" i="10"/>
  <c r="I148" i="10"/>
  <c r="R148" i="10" s="1"/>
  <c r="R121" i="10"/>
  <c r="R139" i="10"/>
  <c r="K151" i="10"/>
  <c r="T152" i="10" s="1"/>
  <c r="T203" i="10"/>
  <c r="T242" i="10"/>
  <c r="U138" i="10"/>
  <c r="T192" i="10"/>
  <c r="T50" i="10"/>
  <c r="AD50" i="10" s="1"/>
  <c r="K87" i="10"/>
  <c r="T168" i="10"/>
  <c r="K88" i="10"/>
  <c r="T55" i="10"/>
  <c r="N171" i="10"/>
  <c r="T244" i="10"/>
  <c r="I154" i="10"/>
  <c r="R154" i="10" s="1"/>
  <c r="P233" i="10"/>
  <c r="T105" i="10"/>
  <c r="N133" i="10"/>
  <c r="U171" i="10"/>
  <c r="T103" i="10"/>
  <c r="T34" i="10"/>
  <c r="S120" i="10"/>
  <c r="S126" i="10"/>
  <c r="S133" i="10"/>
  <c r="S138" i="10"/>
  <c r="T195" i="10"/>
  <c r="T201" i="10"/>
  <c r="T207" i="10"/>
  <c r="T213" i="10"/>
  <c r="T228" i="10"/>
  <c r="T234" i="10"/>
  <c r="T240" i="10"/>
  <c r="Q171" i="10"/>
  <c r="T237" i="10"/>
  <c r="I85" i="10"/>
  <c r="T18" i="10"/>
  <c r="T208" i="10"/>
  <c r="M135" i="10"/>
  <c r="T77" i="10"/>
  <c r="I86" i="10"/>
  <c r="I149" i="10"/>
  <c r="S130" i="10"/>
  <c r="K90" i="10"/>
  <c r="T130" i="10"/>
  <c r="T185" i="10"/>
  <c r="T52" i="10"/>
  <c r="T62" i="10"/>
  <c r="AD62" i="10" s="1"/>
  <c r="T153" i="10"/>
  <c r="T154" i="10"/>
  <c r="T72" i="10"/>
  <c r="P133" i="10"/>
  <c r="T121" i="10"/>
  <c r="T126" i="10"/>
  <c r="T139" i="10"/>
  <c r="Q127" i="10"/>
  <c r="Q139" i="10"/>
  <c r="T186" i="10"/>
  <c r="U136" i="10"/>
  <c r="T99" i="10"/>
  <c r="M130" i="10"/>
  <c r="T12" i="10"/>
  <c r="N130" i="10"/>
  <c r="P130" i="10"/>
  <c r="M138" i="10"/>
  <c r="I89" i="10"/>
  <c r="K150" i="10"/>
  <c r="P122" i="10"/>
  <c r="N126" i="10"/>
  <c r="N138" i="10"/>
  <c r="S171" i="10"/>
  <c r="T169" i="10"/>
  <c r="S129" i="10"/>
  <c r="P138" i="10"/>
  <c r="I88" i="10"/>
  <c r="T94" i="10"/>
  <c r="S135" i="10"/>
  <c r="S121" i="10"/>
  <c r="T129" i="10"/>
  <c r="T122" i="10"/>
  <c r="M171" i="10"/>
  <c r="T246" i="10"/>
  <c r="T157" i="10"/>
  <c r="T32" i="10"/>
  <c r="S131" i="10"/>
  <c r="S136" i="10"/>
  <c r="T172" i="10"/>
  <c r="T178" i="10"/>
  <c r="N128" i="10"/>
  <c r="U172" i="10"/>
  <c r="M132" i="10"/>
  <c r="T106" i="10"/>
  <c r="M172" i="10"/>
  <c r="P172" i="10"/>
  <c r="T75" i="10"/>
  <c r="T76" i="10"/>
  <c r="T110" i="10"/>
  <c r="T111" i="10"/>
  <c r="T107" i="10"/>
  <c r="T108" i="10"/>
  <c r="T101" i="10"/>
  <c r="T37" i="10"/>
  <c r="T36" i="10"/>
  <c r="T71" i="10"/>
  <c r="T100" i="10"/>
  <c r="T163" i="10"/>
  <c r="T162" i="10"/>
  <c r="T42" i="10"/>
  <c r="T98" i="10"/>
  <c r="T161" i="10"/>
  <c r="T41" i="10"/>
  <c r="T97" i="10"/>
  <c r="T39" i="10"/>
  <c r="T38" i="10"/>
  <c r="T102" i="10"/>
  <c r="T188" i="10"/>
  <c r="P128" i="10"/>
  <c r="T138" i="10"/>
  <c r="R234" i="10"/>
  <c r="T53" i="10"/>
  <c r="T127" i="10"/>
  <c r="T11" i="10"/>
  <c r="T17" i="10"/>
  <c r="T23" i="10"/>
  <c r="T125" i="10"/>
  <c r="T131" i="10"/>
  <c r="T137" i="10"/>
  <c r="N121" i="10"/>
  <c r="N125" i="10"/>
  <c r="Q126" i="10"/>
  <c r="Q132" i="10"/>
  <c r="P121" i="10"/>
  <c r="P125" i="10"/>
  <c r="S132" i="10"/>
  <c r="R120" i="10"/>
  <c r="R126" i="10"/>
  <c r="R132" i="10"/>
  <c r="R138" i="10"/>
  <c r="U120" i="10"/>
  <c r="U132" i="10"/>
  <c r="U139" i="10"/>
  <c r="T156" i="10"/>
  <c r="T191" i="10"/>
  <c r="T236" i="10"/>
  <c r="U133" i="10"/>
  <c r="M133" i="10"/>
  <c r="T74" i="10"/>
  <c r="T165" i="10"/>
  <c r="T171" i="10"/>
  <c r="T177" i="10"/>
  <c r="T187" i="10"/>
  <c r="T199" i="10"/>
  <c r="T218" i="10"/>
  <c r="T232" i="10"/>
  <c r="R171" i="10"/>
  <c r="S122" i="10"/>
  <c r="T15" i="10"/>
  <c r="T21" i="10"/>
  <c r="T135" i="10"/>
  <c r="S172" i="10"/>
  <c r="T50" i="3"/>
  <c r="H473" i="3"/>
  <c r="H485" i="3"/>
  <c r="H497" i="3"/>
  <c r="H475" i="3"/>
  <c r="H499" i="3"/>
  <c r="S526" i="3"/>
  <c r="S376" i="3"/>
  <c r="H478" i="3"/>
  <c r="H644" i="3"/>
  <c r="J577" i="3"/>
  <c r="S578" i="3" s="1"/>
  <c r="S379" i="3"/>
  <c r="J405" i="3"/>
  <c r="J557" i="3"/>
  <c r="S558" i="3" s="1"/>
  <c r="H562" i="3"/>
  <c r="Q562" i="3" s="1"/>
  <c r="H581" i="3"/>
  <c r="S178" i="3"/>
  <c r="S184" i="3"/>
  <c r="H481" i="3"/>
  <c r="H493" i="3"/>
  <c r="J640" i="3"/>
  <c r="S640" i="3" s="1"/>
  <c r="S9" i="3"/>
  <c r="S22" i="3"/>
  <c r="S106" i="3"/>
  <c r="J552" i="3"/>
  <c r="J562" i="3"/>
  <c r="S562" i="3" s="1"/>
  <c r="H641" i="3"/>
  <c r="J389" i="3"/>
  <c r="H469" i="3"/>
  <c r="H563" i="3"/>
  <c r="H582" i="3"/>
  <c r="H645" i="3"/>
  <c r="J550" i="3"/>
  <c r="S550" i="3" s="1"/>
  <c r="H408" i="3"/>
  <c r="J592" i="3"/>
  <c r="J161" i="3"/>
  <c r="S161" i="3" s="1"/>
  <c r="H472" i="3"/>
  <c r="H484" i="3"/>
  <c r="H496" i="3"/>
  <c r="J649" i="3"/>
  <c r="H487" i="3"/>
  <c r="H555" i="3"/>
  <c r="H568" i="3"/>
  <c r="J591" i="3"/>
  <c r="J650" i="3"/>
  <c r="S651" i="3" s="1"/>
  <c r="J572" i="3"/>
  <c r="S24" i="3"/>
  <c r="S55" i="3"/>
  <c r="J404" i="3"/>
  <c r="J209" i="3"/>
  <c r="J467" i="3"/>
  <c r="S467" i="3" s="1"/>
  <c r="H467" i="3"/>
  <c r="H479" i="3"/>
  <c r="H491" i="3"/>
  <c r="H642" i="3"/>
  <c r="J553" i="3"/>
  <c r="H646" i="3"/>
  <c r="J644" i="3"/>
  <c r="J580" i="3"/>
  <c r="H550" i="3"/>
  <c r="H564" i="3"/>
  <c r="H647" i="3"/>
  <c r="S193" i="3"/>
  <c r="H470" i="3"/>
  <c r="H482" i="3"/>
  <c r="H494" i="3"/>
  <c r="J399" i="3"/>
  <c r="J590" i="3"/>
  <c r="J398" i="3"/>
  <c r="J386" i="3"/>
  <c r="J499" i="3"/>
  <c r="J487" i="3"/>
  <c r="J475" i="3"/>
  <c r="J396" i="3"/>
  <c r="J565" i="3"/>
  <c r="J498" i="3"/>
  <c r="J486" i="3"/>
  <c r="J474" i="3"/>
  <c r="H566" i="3"/>
  <c r="H574" i="3"/>
  <c r="H588" i="3"/>
  <c r="J594" i="3"/>
  <c r="S595" i="3" s="1"/>
  <c r="S11" i="3"/>
  <c r="S34" i="3"/>
  <c r="J165" i="3"/>
  <c r="S166" i="3" s="1"/>
  <c r="J485" i="3"/>
  <c r="H589" i="3"/>
  <c r="J164" i="3"/>
  <c r="J407" i="3"/>
  <c r="J395" i="3"/>
  <c r="J383" i="3"/>
  <c r="J496" i="3"/>
  <c r="J484" i="3"/>
  <c r="J472" i="3"/>
  <c r="H554" i="3"/>
  <c r="H590" i="3"/>
  <c r="H576" i="3"/>
  <c r="H591" i="3"/>
  <c r="H476" i="3"/>
  <c r="H488" i="3"/>
  <c r="H477" i="3"/>
  <c r="H489" i="3"/>
  <c r="H502" i="3"/>
  <c r="J589" i="3"/>
  <c r="S528" i="3"/>
  <c r="H640" i="3"/>
  <c r="J588" i="3"/>
  <c r="S588" i="3" s="1"/>
  <c r="J571" i="3"/>
  <c r="J403" i="3"/>
  <c r="H446" i="3"/>
  <c r="J492" i="3"/>
  <c r="J480" i="3"/>
  <c r="J468" i="3"/>
  <c r="J387" i="3"/>
  <c r="J647" i="3"/>
  <c r="H571" i="3"/>
  <c r="H643" i="3"/>
  <c r="J210" i="3"/>
  <c r="J645" i="3"/>
  <c r="J401" i="3"/>
  <c r="J385" i="3"/>
  <c r="H551" i="3"/>
  <c r="J563" i="3"/>
  <c r="J397" i="3"/>
  <c r="J497" i="3"/>
  <c r="J473" i="3"/>
  <c r="H567" i="3"/>
  <c r="H575" i="3"/>
  <c r="J575" i="3"/>
  <c r="S180" i="3"/>
  <c r="AC180" i="3" s="1"/>
  <c r="S187" i="3"/>
  <c r="H474" i="3"/>
  <c r="H486" i="3"/>
  <c r="H498" i="3"/>
  <c r="J564" i="3"/>
  <c r="H552" i="3"/>
  <c r="J445" i="3"/>
  <c r="J593" i="3"/>
  <c r="J574" i="3"/>
  <c r="J582" i="3"/>
  <c r="J163" i="3"/>
  <c r="J406" i="3"/>
  <c r="J394" i="3"/>
  <c r="J495" i="3"/>
  <c r="J483" i="3"/>
  <c r="J471" i="3"/>
  <c r="J576" i="3"/>
  <c r="J446" i="3"/>
  <c r="S447" i="3" s="1"/>
  <c r="H501" i="3"/>
  <c r="S36" i="3"/>
  <c r="S53" i="3"/>
  <c r="S101" i="3"/>
  <c r="J162" i="3"/>
  <c r="J393" i="3"/>
  <c r="J494" i="3"/>
  <c r="J482" i="3"/>
  <c r="J470" i="3"/>
  <c r="H557" i="3"/>
  <c r="H569" i="3"/>
  <c r="H577" i="3"/>
  <c r="H592" i="3"/>
  <c r="J570" i="3"/>
  <c r="J207" i="3"/>
  <c r="S207" i="3" s="1"/>
  <c r="H445" i="3"/>
  <c r="J392" i="3"/>
  <c r="J493" i="3"/>
  <c r="J481" i="3"/>
  <c r="J469" i="3"/>
  <c r="H579" i="3"/>
  <c r="H593" i="3"/>
  <c r="H649" i="3"/>
  <c r="J384" i="3"/>
  <c r="J408" i="3"/>
  <c r="S409" i="3" s="1"/>
  <c r="J648" i="3"/>
  <c r="J555" i="3"/>
  <c r="J208" i="3"/>
  <c r="H490" i="3"/>
  <c r="H500" i="3"/>
  <c r="H570" i="3"/>
  <c r="J573" i="3"/>
  <c r="J391" i="3"/>
  <c r="H580" i="3"/>
  <c r="H594" i="3"/>
  <c r="J554" i="3"/>
  <c r="J402" i="3"/>
  <c r="J390" i="3"/>
  <c r="J491" i="3"/>
  <c r="J479" i="3"/>
  <c r="J569" i="3"/>
  <c r="J502" i="3"/>
  <c r="S503" i="3" s="1"/>
  <c r="J490" i="3"/>
  <c r="J478" i="3"/>
  <c r="H480" i="3"/>
  <c r="H492" i="3"/>
  <c r="J568" i="3"/>
  <c r="J581" i="3"/>
  <c r="J551" i="3"/>
  <c r="J211" i="3"/>
  <c r="J400" i="3"/>
  <c r="J388" i="3"/>
  <c r="J501" i="3"/>
  <c r="J489" i="3"/>
  <c r="J477" i="3"/>
  <c r="H468" i="3"/>
  <c r="H572" i="3"/>
  <c r="H648" i="3"/>
  <c r="J642" i="3"/>
  <c r="J579" i="3"/>
  <c r="J382" i="3"/>
  <c r="S382" i="3" s="1"/>
  <c r="J500" i="3"/>
  <c r="J488" i="3"/>
  <c r="J476" i="3"/>
  <c r="H573" i="3"/>
  <c r="J566" i="3"/>
  <c r="J643" i="3"/>
  <c r="H471" i="3"/>
  <c r="H483" i="3"/>
  <c r="H495" i="3"/>
  <c r="H553" i="3"/>
  <c r="H565" i="3"/>
  <c r="H650" i="3"/>
  <c r="J641" i="3"/>
  <c r="J646" i="3"/>
  <c r="L539" i="3"/>
  <c r="S191" i="3"/>
  <c r="AC192" i="3" s="1"/>
  <c r="S539" i="3"/>
  <c r="S103" i="3"/>
  <c r="J567" i="3"/>
  <c r="R242" i="11"/>
  <c r="R246" i="11"/>
  <c r="AA246" i="11" s="1"/>
  <c r="AA202" i="11"/>
  <c r="R229" i="11"/>
  <c r="R169" i="11"/>
  <c r="R181" i="11"/>
  <c r="R115" i="11"/>
  <c r="R95" i="11"/>
  <c r="Q78" i="11"/>
  <c r="R77" i="11"/>
  <c r="R60" i="11"/>
  <c r="R64" i="11"/>
  <c r="R43" i="11"/>
  <c r="R13" i="11"/>
  <c r="R17" i="11"/>
  <c r="R21" i="11"/>
  <c r="AA21" i="11" s="1"/>
  <c r="R28" i="11"/>
  <c r="AA30" i="11" s="1"/>
  <c r="AA12" i="11"/>
  <c r="R15" i="11"/>
  <c r="T212" i="10"/>
  <c r="T189" i="10"/>
  <c r="T233" i="10"/>
  <c r="T227" i="10"/>
  <c r="T200" i="10"/>
  <c r="T206" i="10"/>
  <c r="T231" i="10"/>
  <c r="R172" i="10"/>
  <c r="T170" i="10"/>
  <c r="Q129" i="10"/>
  <c r="T120" i="10"/>
  <c r="S139" i="10"/>
  <c r="T124" i="10"/>
  <c r="T70" i="10"/>
  <c r="T43" i="10"/>
  <c r="AD43" i="10" s="1"/>
  <c r="T35" i="10"/>
  <c r="T13" i="10"/>
  <c r="S104" i="3"/>
  <c r="S163" i="10"/>
  <c r="S109" i="10"/>
  <c r="S95" i="10"/>
  <c r="S104" i="10"/>
  <c r="S597" i="3"/>
  <c r="S560" i="3"/>
  <c r="R567" i="3"/>
  <c r="L84" i="11"/>
  <c r="Q197" i="11"/>
  <c r="N208" i="11"/>
  <c r="O240" i="11"/>
  <c r="S245" i="11"/>
  <c r="L78" i="11"/>
  <c r="Q80" i="11"/>
  <c r="S81" i="11"/>
  <c r="N63" i="11"/>
  <c r="P76" i="11"/>
  <c r="N60" i="11"/>
  <c r="Q264" i="11"/>
  <c r="N78" i="11"/>
  <c r="Q159" i="11"/>
  <c r="Q270" i="11"/>
  <c r="S83" i="11"/>
  <c r="O76" i="11"/>
  <c r="Q133" i="10"/>
  <c r="P127" i="10"/>
  <c r="U129" i="10"/>
  <c r="R133" i="10"/>
  <c r="P132" i="10"/>
  <c r="N137" i="10"/>
  <c r="P137" i="10"/>
  <c r="U121" i="10"/>
  <c r="P135" i="10"/>
  <c r="U124" i="10"/>
  <c r="R135" i="10"/>
  <c r="Q120" i="10"/>
  <c r="R127" i="10"/>
  <c r="P126" i="10"/>
  <c r="S127" i="10"/>
  <c r="U127" i="10"/>
  <c r="M136" i="10"/>
  <c r="N132" i="10"/>
  <c r="M124" i="10"/>
  <c r="P136" i="10"/>
  <c r="S224" i="10"/>
  <c r="U126" i="10"/>
  <c r="M129" i="10"/>
  <c r="R130" i="10"/>
  <c r="Q135" i="10"/>
  <c r="P124" i="10"/>
  <c r="S125" i="10"/>
  <c r="M139" i="10"/>
  <c r="U241" i="10"/>
  <c r="P129" i="10"/>
  <c r="U130" i="10"/>
  <c r="R244" i="10"/>
  <c r="N134" i="10"/>
  <c r="P139" i="10"/>
  <c r="R129" i="10"/>
  <c r="P134" i="10"/>
  <c r="Q138" i="10"/>
  <c r="N139" i="10"/>
  <c r="N136" i="10"/>
  <c r="N135" i="10"/>
  <c r="N131" i="10"/>
  <c r="N129" i="10"/>
  <c r="N127" i="10"/>
  <c r="M127" i="10"/>
  <c r="M126" i="10"/>
  <c r="N124" i="10"/>
  <c r="P120" i="10"/>
  <c r="M122" i="10"/>
  <c r="M125" i="10"/>
  <c r="M128" i="10"/>
  <c r="M131" i="10"/>
  <c r="M134" i="10"/>
  <c r="M137" i="10"/>
  <c r="Q122" i="10"/>
  <c r="Q125" i="10"/>
  <c r="Q128" i="10"/>
  <c r="Q131" i="10"/>
  <c r="Q134" i="10"/>
  <c r="Q137" i="10"/>
  <c r="R122" i="10"/>
  <c r="R125" i="10"/>
  <c r="R128" i="10"/>
  <c r="R131" i="10"/>
  <c r="R134" i="10"/>
  <c r="R137" i="10"/>
  <c r="S137" i="10"/>
  <c r="U122" i="10"/>
  <c r="U125" i="10"/>
  <c r="U128" i="10"/>
  <c r="U131" i="10"/>
  <c r="U134" i="10"/>
  <c r="U137" i="10"/>
  <c r="M121" i="10"/>
  <c r="P92" i="10"/>
  <c r="S218" i="10"/>
  <c r="R236" i="10"/>
  <c r="N92" i="10"/>
  <c r="Q231" i="10"/>
  <c r="U224" i="10"/>
  <c r="P243" i="10"/>
  <c r="P238" i="10"/>
  <c r="S119" i="10"/>
  <c r="S246" i="10"/>
  <c r="R241" i="10"/>
  <c r="N236" i="10"/>
  <c r="S241" i="10"/>
  <c r="P119" i="10"/>
  <c r="R199" i="10"/>
  <c r="Q244" i="10"/>
  <c r="R119" i="10"/>
  <c r="U119" i="10"/>
  <c r="N119" i="10"/>
  <c r="M119" i="10"/>
  <c r="P236" i="10"/>
  <c r="Q119" i="10"/>
  <c r="M245" i="10"/>
  <c r="U247" i="10"/>
  <c r="P219" i="10"/>
  <c r="S233" i="10"/>
  <c r="U233" i="10"/>
  <c r="N223" i="10"/>
  <c r="Q236" i="10"/>
  <c r="P223" i="10"/>
  <c r="N226" i="10"/>
  <c r="P240" i="10"/>
  <c r="P226" i="10"/>
  <c r="S236" i="10"/>
  <c r="Q239" i="10"/>
  <c r="P248" i="10"/>
  <c r="R231" i="10"/>
  <c r="R239" i="10"/>
  <c r="S239" i="10"/>
  <c r="P234" i="10"/>
  <c r="Q233" i="10"/>
  <c r="U234" i="10"/>
  <c r="S234" i="10"/>
  <c r="Q234" i="10"/>
  <c r="S248" i="10"/>
  <c r="U248" i="10"/>
  <c r="S243" i="10"/>
  <c r="U243" i="10"/>
  <c r="P247" i="10"/>
  <c r="Q224" i="10"/>
  <c r="U219" i="10"/>
  <c r="R233" i="10"/>
  <c r="Q248" i="10"/>
  <c r="R248" i="10"/>
  <c r="S238" i="10"/>
  <c r="U231" i="10"/>
  <c r="M237" i="10"/>
  <c r="N233" i="10"/>
  <c r="Q218" i="10"/>
  <c r="M229" i="10"/>
  <c r="M226" i="10"/>
  <c r="S231" i="10"/>
  <c r="S244" i="10"/>
  <c r="P230" i="10"/>
  <c r="S200" i="10"/>
  <c r="P242" i="10"/>
  <c r="L568" i="3"/>
  <c r="R564" i="3"/>
  <c r="M9" i="3"/>
  <c r="O9" i="3"/>
  <c r="P9" i="3"/>
  <c r="Q9" i="3"/>
  <c r="R9" i="3"/>
  <c r="L9" i="3"/>
  <c r="L560" i="3"/>
  <c r="L526" i="3"/>
  <c r="L564" i="3"/>
  <c r="P563" i="3"/>
  <c r="O568" i="3"/>
  <c r="L562" i="3"/>
  <c r="R570" i="3"/>
  <c r="M564" i="3"/>
  <c r="O564" i="3"/>
  <c r="O570" i="3"/>
  <c r="L528" i="3"/>
  <c r="L565" i="3"/>
  <c r="M565" i="3"/>
  <c r="O569" i="3"/>
  <c r="R568" i="3"/>
  <c r="L594" i="3"/>
  <c r="P564" i="3"/>
  <c r="O565" i="3"/>
  <c r="P565" i="3"/>
  <c r="R565" i="3"/>
  <c r="M566" i="3"/>
  <c r="R563" i="3"/>
  <c r="O567" i="3"/>
  <c r="R569" i="3"/>
  <c r="M563" i="3"/>
  <c r="O563" i="3"/>
  <c r="L86" i="11"/>
  <c r="M83" i="11"/>
  <c r="M84" i="11"/>
  <c r="L83" i="11"/>
  <c r="L81" i="11"/>
  <c r="L80" i="11"/>
  <c r="M78" i="11"/>
  <c r="P83" i="11"/>
  <c r="P79" i="11"/>
  <c r="L145" i="11"/>
  <c r="N177" i="11"/>
  <c r="Q182" i="11"/>
  <c r="O77" i="11"/>
  <c r="Q86" i="11"/>
  <c r="M80" i="11"/>
  <c r="P61" i="11"/>
  <c r="O69" i="11"/>
  <c r="O85" i="11"/>
  <c r="O84" i="11"/>
  <c r="M81" i="11"/>
  <c r="N84" i="11"/>
  <c r="L82" i="11"/>
  <c r="S271" i="11"/>
  <c r="M86" i="11"/>
  <c r="O228" i="11"/>
  <c r="N264" i="11"/>
  <c r="S59" i="11"/>
  <c r="N172" i="11"/>
  <c r="Q244" i="11"/>
  <c r="S261" i="11"/>
  <c r="O264" i="11"/>
  <c r="Q83" i="11"/>
  <c r="O78" i="11"/>
  <c r="M77" i="11"/>
  <c r="P177" i="11"/>
  <c r="P82" i="11"/>
  <c r="Q84" i="11"/>
  <c r="O82" i="11"/>
  <c r="O81" i="11"/>
  <c r="M79" i="11"/>
  <c r="L271" i="11"/>
  <c r="M61" i="11"/>
  <c r="N81" i="11"/>
  <c r="L79" i="11"/>
  <c r="M263" i="11"/>
  <c r="P77" i="11"/>
  <c r="L77" i="11"/>
  <c r="N65" i="11"/>
  <c r="N270" i="11"/>
  <c r="P69" i="11"/>
  <c r="Q85" i="11"/>
  <c r="Q82" i="11"/>
  <c r="Q79" i="11"/>
  <c r="Q76" i="11"/>
  <c r="P64" i="11"/>
  <c r="Q69" i="11"/>
  <c r="N196" i="11"/>
  <c r="Q201" i="11"/>
  <c r="Q210" i="11"/>
  <c r="N213" i="11"/>
  <c r="S241" i="11"/>
  <c r="O244" i="11"/>
  <c r="M265" i="11"/>
  <c r="P269" i="11"/>
  <c r="P59" i="11"/>
  <c r="Q170" i="11"/>
  <c r="M85" i="11"/>
  <c r="M82" i="11"/>
  <c r="O272" i="11"/>
  <c r="O86" i="11"/>
  <c r="O83" i="11"/>
  <c r="O80" i="11"/>
  <c r="L64" i="11"/>
  <c r="Q273" i="11"/>
  <c r="O58" i="11"/>
  <c r="N66" i="11"/>
  <c r="N271" i="11"/>
  <c r="N62" i="11"/>
  <c r="P66" i="11"/>
  <c r="Q62" i="11"/>
  <c r="L274" i="11"/>
  <c r="S62" i="11"/>
  <c r="O60" i="11"/>
  <c r="O266" i="11"/>
  <c r="P60" i="11"/>
  <c r="O65" i="11"/>
  <c r="Q222" i="11"/>
  <c r="N225" i="11"/>
  <c r="P65" i="11"/>
  <c r="S198" i="11"/>
  <c r="L152" i="11"/>
  <c r="S154" i="11"/>
  <c r="N69" i="11"/>
  <c r="L267" i="11"/>
  <c r="Q63" i="11"/>
  <c r="Q147" i="11"/>
  <c r="O261" i="11"/>
  <c r="L264" i="11"/>
  <c r="N59" i="11"/>
  <c r="S66" i="11"/>
  <c r="L68" i="11"/>
  <c r="M67" i="11"/>
  <c r="S69" i="11"/>
  <c r="O267" i="11"/>
  <c r="N195" i="11"/>
  <c r="S240" i="11"/>
  <c r="Q267" i="11"/>
  <c r="P62" i="11"/>
  <c r="M69" i="11"/>
  <c r="M60" i="11"/>
  <c r="L59" i="11"/>
  <c r="L58" i="11"/>
  <c r="S264" i="11"/>
  <c r="O271" i="11"/>
  <c r="Q58" i="11"/>
  <c r="N64" i="11"/>
  <c r="Q65" i="11"/>
  <c r="P266" i="11"/>
  <c r="P271" i="11"/>
  <c r="S58" i="11"/>
  <c r="L62" i="11"/>
  <c r="O63" i="11"/>
  <c r="S65" i="11"/>
  <c r="N267" i="11"/>
  <c r="P58" i="11"/>
  <c r="P67" i="11"/>
  <c r="M245" i="11"/>
  <c r="P259" i="11"/>
  <c r="Q271" i="11"/>
  <c r="P63" i="11"/>
  <c r="L69" i="11"/>
  <c r="M197" i="11"/>
  <c r="N245" i="11"/>
  <c r="O62" i="11"/>
  <c r="S63" i="11"/>
  <c r="O68" i="11"/>
  <c r="M149" i="11"/>
  <c r="L273" i="11"/>
  <c r="N141" i="11"/>
  <c r="Q220" i="11"/>
  <c r="L242" i="11"/>
  <c r="P264" i="11"/>
  <c r="S270" i="11"/>
  <c r="N67" i="11"/>
  <c r="Q68" i="11"/>
  <c r="O132" i="11"/>
  <c r="O148" i="11"/>
  <c r="O223" i="11"/>
  <c r="L226" i="11"/>
  <c r="M268" i="11"/>
  <c r="N273" i="11"/>
  <c r="L65" i="11"/>
  <c r="O66" i="11"/>
  <c r="S68" i="11"/>
  <c r="O59" i="11"/>
  <c r="L63" i="11"/>
  <c r="M190" i="11"/>
  <c r="M266" i="11"/>
  <c r="M63" i="11"/>
  <c r="N265" i="11"/>
  <c r="N61" i="11"/>
  <c r="Q149" i="11"/>
  <c r="L66" i="11"/>
  <c r="O168" i="11"/>
  <c r="Q60" i="11"/>
  <c r="M66" i="11"/>
  <c r="N58" i="11"/>
  <c r="S60" i="11"/>
  <c r="M59" i="11"/>
  <c r="M62" i="11"/>
  <c r="M65" i="11"/>
  <c r="M68" i="11"/>
  <c r="L61" i="11"/>
  <c r="L67" i="11"/>
  <c r="O61" i="11"/>
  <c r="O64" i="11"/>
  <c r="O67" i="11"/>
  <c r="Q61" i="11"/>
  <c r="Q64" i="11"/>
  <c r="Q67" i="11"/>
  <c r="S61" i="11"/>
  <c r="S64" i="11"/>
  <c r="S67" i="11"/>
  <c r="L60" i="11"/>
  <c r="M58" i="11"/>
  <c r="Q155" i="11"/>
  <c r="O268" i="11"/>
  <c r="P268" i="11"/>
  <c r="O273" i="11"/>
  <c r="O201" i="11"/>
  <c r="Q268" i="11"/>
  <c r="P273" i="11"/>
  <c r="Q241" i="11"/>
  <c r="S268" i="11"/>
  <c r="S267" i="11"/>
  <c r="P240" i="11"/>
  <c r="L179" i="11"/>
  <c r="M211" i="11"/>
  <c r="Q239" i="11"/>
  <c r="N243" i="11"/>
  <c r="Q247" i="11"/>
  <c r="Q199" i="11"/>
  <c r="N226" i="11"/>
  <c r="O242" i="11"/>
  <c r="N274" i="11"/>
  <c r="O274" i="11"/>
  <c r="O138" i="11"/>
  <c r="P274" i="11"/>
  <c r="P130" i="11"/>
  <c r="P138" i="11"/>
  <c r="O269" i="11"/>
  <c r="Q274" i="11"/>
  <c r="O213" i="11"/>
  <c r="O229" i="11"/>
  <c r="P245" i="11"/>
  <c r="P262" i="11"/>
  <c r="S274" i="11"/>
  <c r="N157" i="11"/>
  <c r="S178" i="11"/>
  <c r="P229" i="11"/>
  <c r="L265" i="11"/>
  <c r="P267" i="11"/>
  <c r="Q265" i="11"/>
  <c r="O270" i="11"/>
  <c r="O265" i="11"/>
  <c r="P265" i="11"/>
  <c r="S265" i="11"/>
  <c r="L268" i="11"/>
  <c r="P270" i="11"/>
  <c r="M269" i="11"/>
  <c r="S273" i="11"/>
  <c r="N268" i="11"/>
  <c r="M274" i="11"/>
  <c r="M272" i="11"/>
  <c r="M271" i="11"/>
  <c r="L270" i="11"/>
  <c r="M264" i="11"/>
  <c r="M267" i="11"/>
  <c r="M270" i="11"/>
  <c r="M273" i="11"/>
  <c r="L266" i="11"/>
  <c r="L269" i="11"/>
  <c r="L272" i="11"/>
  <c r="N266" i="11"/>
  <c r="N269" i="11"/>
  <c r="N272" i="11"/>
  <c r="P272" i="11"/>
  <c r="Q266" i="11"/>
  <c r="Q269" i="11"/>
  <c r="Q272" i="11"/>
  <c r="S266" i="11"/>
  <c r="S269" i="11"/>
  <c r="S272" i="11"/>
  <c r="L260" i="11"/>
  <c r="M260" i="11"/>
  <c r="O259" i="11"/>
  <c r="O262" i="11"/>
  <c r="L261" i="11"/>
  <c r="N263" i="11"/>
  <c r="N261" i="11"/>
  <c r="P168" i="11"/>
  <c r="S174" i="11"/>
  <c r="O208" i="11"/>
  <c r="L220" i="11"/>
  <c r="S222" i="11"/>
  <c r="L143" i="11"/>
  <c r="O160" i="11"/>
  <c r="M164" i="11"/>
  <c r="Q240" i="11"/>
  <c r="M261" i="11"/>
  <c r="Q262" i="11"/>
  <c r="S112" i="11"/>
  <c r="M143" i="11"/>
  <c r="O147" i="11"/>
  <c r="N156" i="11"/>
  <c r="P160" i="11"/>
  <c r="Q176" i="11"/>
  <c r="L199" i="11"/>
  <c r="Q225" i="11"/>
  <c r="N260" i="11"/>
  <c r="S262" i="11"/>
  <c r="P115" i="11"/>
  <c r="N135" i="11"/>
  <c r="N142" i="11"/>
  <c r="S153" i="11"/>
  <c r="Q200" i="11"/>
  <c r="O219" i="11"/>
  <c r="O260" i="11"/>
  <c r="M131" i="11"/>
  <c r="L151" i="11"/>
  <c r="O142" i="11"/>
  <c r="S160" i="11"/>
  <c r="M175" i="11"/>
  <c r="P261" i="11"/>
  <c r="M130" i="11"/>
  <c r="L170" i="11"/>
  <c r="Q171" i="11"/>
  <c r="Q180" i="11"/>
  <c r="Q261" i="11"/>
  <c r="S156" i="11"/>
  <c r="M170" i="11"/>
  <c r="O190" i="11"/>
  <c r="P198" i="11"/>
  <c r="O214" i="11"/>
  <c r="L217" i="11"/>
  <c r="M242" i="11"/>
  <c r="M259" i="11"/>
  <c r="Q142" i="11"/>
  <c r="O129" i="11"/>
  <c r="O145" i="11"/>
  <c r="P150" i="11"/>
  <c r="S187" i="11"/>
  <c r="P214" i="11"/>
  <c r="P222" i="11"/>
  <c r="N242" i="11"/>
  <c r="N259" i="11"/>
  <c r="L149" i="11"/>
  <c r="S155" i="11"/>
  <c r="Q206" i="11"/>
  <c r="O263" i="11"/>
  <c r="Q141" i="11"/>
  <c r="N144" i="11"/>
  <c r="L224" i="11"/>
  <c r="S141" i="11"/>
  <c r="L160" i="11"/>
  <c r="N248" i="11"/>
  <c r="L195" i="11"/>
  <c r="O178" i="11"/>
  <c r="L205" i="11"/>
  <c r="O226" i="11"/>
  <c r="P242" i="11"/>
  <c r="Q259" i="11"/>
  <c r="M262" i="11"/>
  <c r="S259" i="11"/>
  <c r="Q178" i="11"/>
  <c r="N181" i="11"/>
  <c r="P186" i="11"/>
  <c r="L200" i="11"/>
  <c r="Q219" i="11"/>
  <c r="Q226" i="11"/>
  <c r="L263" i="11"/>
  <c r="Q144" i="11"/>
  <c r="L142" i="11"/>
  <c r="S144" i="11"/>
  <c r="M160" i="11"/>
  <c r="Q177" i="11"/>
  <c r="M218" i="11"/>
  <c r="Q228" i="11"/>
  <c r="Q245" i="11"/>
  <c r="Q130" i="11"/>
  <c r="N133" i="11"/>
  <c r="M142" i="11"/>
  <c r="P172" i="11"/>
  <c r="Q186" i="11"/>
  <c r="O196" i="11"/>
  <c r="P201" i="11"/>
  <c r="M205" i="11"/>
  <c r="S207" i="11"/>
  <c r="N210" i="11"/>
  <c r="Q214" i="11"/>
  <c r="S228" i="11"/>
  <c r="O133" i="11"/>
  <c r="L137" i="11"/>
  <c r="L150" i="11"/>
  <c r="L184" i="11"/>
  <c r="S186" i="11"/>
  <c r="L212" i="11"/>
  <c r="S214" i="11"/>
  <c r="N244" i="11"/>
  <c r="P260" i="11"/>
  <c r="P263" i="11"/>
  <c r="P133" i="11"/>
  <c r="M137" i="11"/>
  <c r="N171" i="11"/>
  <c r="M184" i="11"/>
  <c r="Q196" i="11"/>
  <c r="N199" i="11"/>
  <c r="O204" i="11"/>
  <c r="M221" i="11"/>
  <c r="O248" i="11"/>
  <c r="Q260" i="11"/>
  <c r="Q263" i="11"/>
  <c r="P117" i="11"/>
  <c r="N128" i="11"/>
  <c r="Q133" i="11"/>
  <c r="N136" i="11"/>
  <c r="P175" i="11"/>
  <c r="S196" i="11"/>
  <c r="O199" i="11"/>
  <c r="P204" i="11"/>
  <c r="P248" i="11"/>
  <c r="S133" i="11"/>
  <c r="M145" i="11"/>
  <c r="Q154" i="11"/>
  <c r="Q175" i="11"/>
  <c r="M179" i="11"/>
  <c r="O183" i="11"/>
  <c r="P199" i="11"/>
  <c r="S210" i="11"/>
  <c r="Q248" i="11"/>
  <c r="S260" i="11"/>
  <c r="S263" i="11"/>
  <c r="P128" i="11"/>
  <c r="P183" i="11"/>
  <c r="S248" i="11"/>
  <c r="L259" i="11"/>
  <c r="L262" i="11"/>
  <c r="Q129" i="11"/>
  <c r="N132" i="11"/>
  <c r="L169" i="11"/>
  <c r="Q192" i="11"/>
  <c r="N216" i="11"/>
  <c r="O241" i="11"/>
  <c r="N247" i="11"/>
  <c r="Q112" i="11"/>
  <c r="N116" i="11"/>
  <c r="S129" i="11"/>
  <c r="O157" i="11"/>
  <c r="M169" i="11"/>
  <c r="N174" i="11"/>
  <c r="P178" i="11"/>
  <c r="M182" i="11"/>
  <c r="O186" i="11"/>
  <c r="S192" i="11"/>
  <c r="S220" i="11"/>
  <c r="N223" i="11"/>
  <c r="P241" i="11"/>
  <c r="N262" i="11"/>
  <c r="N127" i="11"/>
  <c r="Q153" i="11"/>
  <c r="L164" i="11"/>
  <c r="Q174" i="11"/>
  <c r="L214" i="11"/>
  <c r="N201" i="11"/>
  <c r="S239" i="11"/>
  <c r="P142" i="11"/>
  <c r="L146" i="11"/>
  <c r="N222" i="11"/>
  <c r="P244" i="11"/>
  <c r="M196" i="11"/>
  <c r="S219" i="11"/>
  <c r="N145" i="11"/>
  <c r="O150" i="11"/>
  <c r="L154" i="11"/>
  <c r="S205" i="11"/>
  <c r="M209" i="11"/>
  <c r="P213" i="11"/>
  <c r="S226" i="11"/>
  <c r="N229" i="11"/>
  <c r="L241" i="11"/>
  <c r="M243" i="11"/>
  <c r="S244" i="11"/>
  <c r="M248" i="11"/>
  <c r="P132" i="11"/>
  <c r="Q145" i="11"/>
  <c r="O153" i="11"/>
  <c r="Q195" i="11"/>
  <c r="P208" i="11"/>
  <c r="P216" i="11"/>
  <c r="Q221" i="11"/>
  <c r="P247" i="11"/>
  <c r="S145" i="11"/>
  <c r="N148" i="11"/>
  <c r="P153" i="11"/>
  <c r="Q187" i="11"/>
  <c r="N190" i="11"/>
  <c r="O198" i="11"/>
  <c r="Q242" i="11"/>
  <c r="S242" i="11"/>
  <c r="P190" i="11"/>
  <c r="S204" i="11"/>
  <c r="N207" i="11"/>
  <c r="P211" i="11"/>
  <c r="P219" i="11"/>
  <c r="S140" i="11"/>
  <c r="S169" i="11"/>
  <c r="Q190" i="11"/>
  <c r="Q211" i="11"/>
  <c r="N214" i="11"/>
  <c r="L239" i="11"/>
  <c r="O245" i="11"/>
  <c r="L248" i="11"/>
  <c r="L247" i="11"/>
  <c r="O247" i="11"/>
  <c r="M246" i="11"/>
  <c r="L245" i="11"/>
  <c r="L244" i="11"/>
  <c r="M239" i="11"/>
  <c r="M240" i="11"/>
  <c r="M241" i="11"/>
  <c r="M244" i="11"/>
  <c r="M247" i="11"/>
  <c r="N241" i="11"/>
  <c r="L240" i="11"/>
  <c r="L243" i="11"/>
  <c r="L246" i="11"/>
  <c r="O243" i="11"/>
  <c r="O246" i="11"/>
  <c r="P243" i="11"/>
  <c r="P246" i="11"/>
  <c r="Q243" i="11"/>
  <c r="Q246" i="11"/>
  <c r="S243" i="11"/>
  <c r="S246" i="11"/>
  <c r="O239" i="11"/>
  <c r="P239" i="11"/>
  <c r="Q134" i="11"/>
  <c r="N138" i="11"/>
  <c r="P144" i="11"/>
  <c r="P195" i="11"/>
  <c r="S201" i="11"/>
  <c r="S216" i="11"/>
  <c r="P225" i="11"/>
  <c r="Q150" i="11"/>
  <c r="Q164" i="11"/>
  <c r="N168" i="11"/>
  <c r="Q183" i="11"/>
  <c r="M199" i="11"/>
  <c r="N204" i="11"/>
  <c r="Q215" i="11"/>
  <c r="N219" i="11"/>
  <c r="N153" i="11"/>
  <c r="S183" i="11"/>
  <c r="N186" i="11"/>
  <c r="L148" i="11"/>
  <c r="S164" i="11"/>
  <c r="M181" i="11"/>
  <c r="Q138" i="11"/>
  <c r="S138" i="11"/>
  <c r="S142" i="11"/>
  <c r="P157" i="11"/>
  <c r="Q168" i="11"/>
  <c r="Q172" i="11"/>
  <c r="M176" i="11"/>
  <c r="S190" i="11"/>
  <c r="Q204" i="11"/>
  <c r="L207" i="11"/>
  <c r="Q208" i="11"/>
  <c r="M212" i="11"/>
  <c r="P223" i="11"/>
  <c r="N130" i="11"/>
  <c r="Q137" i="11"/>
  <c r="Q157" i="11"/>
  <c r="S172" i="11"/>
  <c r="N175" i="11"/>
  <c r="O180" i="11"/>
  <c r="L196" i="11"/>
  <c r="Q198" i="11"/>
  <c r="S208" i="11"/>
  <c r="N211" i="11"/>
  <c r="Q223" i="11"/>
  <c r="P228" i="11"/>
  <c r="S150" i="11"/>
  <c r="M229" i="11"/>
  <c r="O130" i="11"/>
  <c r="O135" i="11"/>
  <c r="P147" i="11"/>
  <c r="S157" i="11"/>
  <c r="O175" i="11"/>
  <c r="P180" i="11"/>
  <c r="Q203" i="11"/>
  <c r="O211" i="11"/>
  <c r="L218" i="11"/>
  <c r="S223" i="11"/>
  <c r="M128" i="11"/>
  <c r="P135" i="11"/>
  <c r="L144" i="11"/>
  <c r="Q152" i="11"/>
  <c r="Q185" i="11"/>
  <c r="O216" i="11"/>
  <c r="Q218" i="11"/>
  <c r="S130" i="11"/>
  <c r="Q140" i="11"/>
  <c r="P145" i="11"/>
  <c r="Q156" i="11"/>
  <c r="L159" i="11"/>
  <c r="Q160" i="11"/>
  <c r="S171" i="11"/>
  <c r="S175" i="11"/>
  <c r="N178" i="11"/>
  <c r="N192" i="11"/>
  <c r="P196" i="11"/>
  <c r="Q207" i="11"/>
  <c r="S211" i="11"/>
  <c r="P226" i="11"/>
  <c r="Q128" i="11"/>
  <c r="L41" i="11"/>
  <c r="O136" i="11"/>
  <c r="L147" i="11"/>
  <c r="P148" i="11"/>
  <c r="S159" i="11"/>
  <c r="Q173" i="11"/>
  <c r="P181" i="11"/>
  <c r="L185" i="11"/>
  <c r="S199" i="11"/>
  <c r="M203" i="11"/>
  <c r="M208" i="11"/>
  <c r="Q209" i="11"/>
  <c r="N217" i="11"/>
  <c r="L223" i="11"/>
  <c r="S225" i="11"/>
  <c r="Q229" i="11"/>
  <c r="Q191" i="11"/>
  <c r="S128" i="11"/>
  <c r="P136" i="11"/>
  <c r="O141" i="11"/>
  <c r="Q143" i="11"/>
  <c r="Q148" i="11"/>
  <c r="Q158" i="11"/>
  <c r="Q181" i="11"/>
  <c r="S195" i="11"/>
  <c r="N198" i="11"/>
  <c r="N202" i="11"/>
  <c r="O217" i="11"/>
  <c r="M223" i="11"/>
  <c r="S229" i="11"/>
  <c r="Q132" i="11"/>
  <c r="L135" i="11"/>
  <c r="Q136" i="11"/>
  <c r="L140" i="11"/>
  <c r="P141" i="11"/>
  <c r="N147" i="11"/>
  <c r="S148" i="11"/>
  <c r="N151" i="11"/>
  <c r="O171" i="11"/>
  <c r="S181" i="11"/>
  <c r="N184" i="11"/>
  <c r="O202" i="11"/>
  <c r="O207" i="11"/>
  <c r="Q213" i="11"/>
  <c r="P217" i="11"/>
  <c r="Q224" i="11"/>
  <c r="N228" i="11"/>
  <c r="L130" i="11"/>
  <c r="S132" i="11"/>
  <c r="S136" i="11"/>
  <c r="M140" i="11"/>
  <c r="S143" i="11"/>
  <c r="O151" i="11"/>
  <c r="O156" i="11"/>
  <c r="P171" i="11"/>
  <c r="L175" i="11"/>
  <c r="U175" i="11" s="1"/>
  <c r="S177" i="11"/>
  <c r="N180" i="11"/>
  <c r="P202" i="11"/>
  <c r="P207" i="11"/>
  <c r="L211" i="11"/>
  <c r="S213" i="11"/>
  <c r="L216" i="11"/>
  <c r="Q217" i="11"/>
  <c r="O222" i="11"/>
  <c r="L136" i="11"/>
  <c r="P156" i="11"/>
  <c r="P184" i="11"/>
  <c r="Q202" i="11"/>
  <c r="S217" i="11"/>
  <c r="Q151" i="11"/>
  <c r="N169" i="11"/>
  <c r="Q184" i="11"/>
  <c r="O192" i="11"/>
  <c r="S202" i="11"/>
  <c r="N205" i="11"/>
  <c r="P139" i="11"/>
  <c r="S147" i="11"/>
  <c r="S151" i="11"/>
  <c r="N154" i="11"/>
  <c r="Q161" i="11"/>
  <c r="O169" i="11"/>
  <c r="O174" i="11"/>
  <c r="S184" i="11"/>
  <c r="N187" i="11"/>
  <c r="P192" i="11"/>
  <c r="O205" i="11"/>
  <c r="O210" i="11"/>
  <c r="N220" i="11"/>
  <c r="N139" i="11"/>
  <c r="O139" i="11"/>
  <c r="Q212" i="11"/>
  <c r="P129" i="11"/>
  <c r="Q135" i="11"/>
  <c r="Q139" i="11"/>
  <c r="N150" i="11"/>
  <c r="O154" i="11"/>
  <c r="O159" i="11"/>
  <c r="P169" i="11"/>
  <c r="P174" i="11"/>
  <c r="Y175" i="11" s="1"/>
  <c r="S180" i="11"/>
  <c r="N183" i="11"/>
  <c r="O187" i="11"/>
  <c r="P205" i="11"/>
  <c r="P210" i="11"/>
  <c r="O220" i="11"/>
  <c r="Q227" i="11"/>
  <c r="P151" i="11"/>
  <c r="Q131" i="11"/>
  <c r="O128" i="11"/>
  <c r="S135" i="11"/>
  <c r="S139" i="11"/>
  <c r="O144" i="11"/>
  <c r="Q146" i="11"/>
  <c r="P154" i="11"/>
  <c r="P159" i="11"/>
  <c r="Q169" i="11"/>
  <c r="L173" i="11"/>
  <c r="M178" i="11"/>
  <c r="Q179" i="11"/>
  <c r="P187" i="11"/>
  <c r="O195" i="11"/>
  <c r="L204" i="11"/>
  <c r="Q205" i="11"/>
  <c r="L209" i="11"/>
  <c r="Q216" i="11"/>
  <c r="L219" i="11"/>
  <c r="P220" i="11"/>
  <c r="O225" i="11"/>
  <c r="L229" i="11"/>
  <c r="L228" i="11"/>
  <c r="M227" i="11"/>
  <c r="L227" i="11"/>
  <c r="M226" i="11"/>
  <c r="L225" i="11"/>
  <c r="L222" i="11"/>
  <c r="L221" i="11"/>
  <c r="M217" i="11"/>
  <c r="M215" i="11"/>
  <c r="L215" i="11"/>
  <c r="M214" i="11"/>
  <c r="L213" i="11"/>
  <c r="L210" i="11"/>
  <c r="L208" i="11"/>
  <c r="L206" i="11"/>
  <c r="L203" i="11"/>
  <c r="U204" i="11" s="1"/>
  <c r="M202" i="11"/>
  <c r="L202" i="11"/>
  <c r="L201" i="11"/>
  <c r="M200" i="11"/>
  <c r="L198" i="11"/>
  <c r="L197" i="11"/>
  <c r="M191" i="11"/>
  <c r="L191" i="11"/>
  <c r="M187" i="11"/>
  <c r="L186" i="11"/>
  <c r="M185" i="11"/>
  <c r="O184" i="11"/>
  <c r="L183" i="11"/>
  <c r="L182" i="11"/>
  <c r="L181" i="11"/>
  <c r="O181" i="11"/>
  <c r="L178" i="11"/>
  <c r="O177" i="11"/>
  <c r="L176" i="11"/>
  <c r="M173" i="11"/>
  <c r="M172" i="11"/>
  <c r="L172" i="11"/>
  <c r="L171" i="11"/>
  <c r="M158" i="11"/>
  <c r="L158" i="11"/>
  <c r="M157" i="11"/>
  <c r="L157" i="11"/>
  <c r="M155" i="11"/>
  <c r="M154" i="11"/>
  <c r="M152" i="11"/>
  <c r="M151" i="11"/>
  <c r="M148" i="11"/>
  <c r="M146" i="11"/>
  <c r="L141" i="11"/>
  <c r="M139" i="11"/>
  <c r="L139" i="11"/>
  <c r="L138" i="11"/>
  <c r="M136" i="11"/>
  <c r="M134" i="11"/>
  <c r="L134" i="11"/>
  <c r="M133" i="11"/>
  <c r="L133" i="11"/>
  <c r="L132" i="11"/>
  <c r="L153" i="11"/>
  <c r="L177" i="11"/>
  <c r="L156" i="11"/>
  <c r="L168" i="11"/>
  <c r="L180" i="11"/>
  <c r="L155" i="11"/>
  <c r="L131" i="11"/>
  <c r="L129" i="11"/>
  <c r="L128" i="11"/>
  <c r="M132" i="11"/>
  <c r="M138" i="11"/>
  <c r="M144" i="11"/>
  <c r="M153" i="11"/>
  <c r="M174" i="11"/>
  <c r="M180" i="11"/>
  <c r="M201" i="11"/>
  <c r="M210" i="11"/>
  <c r="M228" i="11"/>
  <c r="N129" i="11"/>
  <c r="S161" i="11"/>
  <c r="M135" i="11"/>
  <c r="M141" i="11"/>
  <c r="M150" i="11"/>
  <c r="M159" i="11"/>
  <c r="M168" i="11"/>
  <c r="M171" i="11"/>
  <c r="M177" i="11"/>
  <c r="M186" i="11"/>
  <c r="M192" i="11"/>
  <c r="M198" i="11"/>
  <c r="M207" i="11"/>
  <c r="M216" i="11"/>
  <c r="M219" i="11"/>
  <c r="M225" i="11"/>
  <c r="S152" i="11"/>
  <c r="M129" i="11"/>
  <c r="M147" i="11"/>
  <c r="M156" i="11"/>
  <c r="M183" i="11"/>
  <c r="M195" i="11"/>
  <c r="M204" i="11"/>
  <c r="M213" i="11"/>
  <c r="M222" i="11"/>
  <c r="S146" i="11"/>
  <c r="N131" i="11"/>
  <c r="N134" i="11"/>
  <c r="N137" i="11"/>
  <c r="W138" i="11" s="1"/>
  <c r="N140" i="11"/>
  <c r="N143" i="11"/>
  <c r="N146" i="11"/>
  <c r="N149" i="11"/>
  <c r="N152" i="11"/>
  <c r="N155" i="11"/>
  <c r="N158" i="11"/>
  <c r="N170" i="11"/>
  <c r="N173" i="11"/>
  <c r="N176" i="11"/>
  <c r="N179" i="11"/>
  <c r="N182" i="11"/>
  <c r="N185" i="11"/>
  <c r="N191" i="11"/>
  <c r="N197" i="11"/>
  <c r="N200" i="11"/>
  <c r="N203" i="11"/>
  <c r="N206" i="11"/>
  <c r="N209" i="11"/>
  <c r="N212" i="11"/>
  <c r="N215" i="11"/>
  <c r="N218" i="11"/>
  <c r="N221" i="11"/>
  <c r="N224" i="11"/>
  <c r="N227" i="11"/>
  <c r="O131" i="11"/>
  <c r="O134" i="11"/>
  <c r="O137" i="11"/>
  <c r="O140" i="11"/>
  <c r="O143" i="11"/>
  <c r="X144" i="11" s="1"/>
  <c r="O146" i="11"/>
  <c r="O149" i="11"/>
  <c r="O152" i="11"/>
  <c r="O155" i="11"/>
  <c r="O158" i="11"/>
  <c r="O161" i="11"/>
  <c r="O164" i="11"/>
  <c r="O170" i="11"/>
  <c r="O173" i="11"/>
  <c r="O176" i="11"/>
  <c r="X177" i="11" s="1"/>
  <c r="O179" i="11"/>
  <c r="O182" i="11"/>
  <c r="O185" i="11"/>
  <c r="O191" i="11"/>
  <c r="O197" i="11"/>
  <c r="O200" i="11"/>
  <c r="O203" i="11"/>
  <c r="O206" i="11"/>
  <c r="O209" i="11"/>
  <c r="O212" i="11"/>
  <c r="O215" i="11"/>
  <c r="O218" i="11"/>
  <c r="O221" i="11"/>
  <c r="O224" i="11"/>
  <c r="O227" i="11"/>
  <c r="P131" i="11"/>
  <c r="P134" i="11"/>
  <c r="P137" i="11"/>
  <c r="P140" i="11"/>
  <c r="P143" i="11"/>
  <c r="P146" i="11"/>
  <c r="P149" i="11"/>
  <c r="P152" i="11"/>
  <c r="P155" i="11"/>
  <c r="P158" i="11"/>
  <c r="P161" i="11"/>
  <c r="P164" i="11"/>
  <c r="P170" i="11"/>
  <c r="P173" i="11"/>
  <c r="P176" i="11"/>
  <c r="P179" i="11"/>
  <c r="P182" i="11"/>
  <c r="P185" i="11"/>
  <c r="P191" i="11"/>
  <c r="P197" i="11"/>
  <c r="P200" i="11"/>
  <c r="P203" i="11"/>
  <c r="P206" i="11"/>
  <c r="P209" i="11"/>
  <c r="P212" i="11"/>
  <c r="P215" i="11"/>
  <c r="P218" i="11"/>
  <c r="P221" i="11"/>
  <c r="P224" i="11"/>
  <c r="P227" i="11"/>
  <c r="S131" i="11"/>
  <c r="S134" i="11"/>
  <c r="S137" i="11"/>
  <c r="S170" i="11"/>
  <c r="S173" i="11"/>
  <c r="S176" i="11"/>
  <c r="S179" i="11"/>
  <c r="S182" i="11"/>
  <c r="S185" i="11"/>
  <c r="S191" i="11"/>
  <c r="S197" i="11"/>
  <c r="S200" i="11"/>
  <c r="S203" i="11"/>
  <c r="S206" i="11"/>
  <c r="S209" i="11"/>
  <c r="S212" i="11"/>
  <c r="S215" i="11"/>
  <c r="S218" i="11"/>
  <c r="S221" i="11"/>
  <c r="S224" i="11"/>
  <c r="S227" i="11"/>
  <c r="S158" i="11"/>
  <c r="S149" i="11"/>
  <c r="M127" i="11"/>
  <c r="S99" i="11"/>
  <c r="AB99" i="11" s="1"/>
  <c r="S96" i="11"/>
  <c r="O117" i="11"/>
  <c r="N114" i="11"/>
  <c r="M117" i="11"/>
  <c r="M110" i="11"/>
  <c r="P93" i="11"/>
  <c r="N117" i="11"/>
  <c r="L127" i="11"/>
  <c r="Q93" i="11"/>
  <c r="P94" i="11"/>
  <c r="O97" i="11"/>
  <c r="N111" i="11"/>
  <c r="Q115" i="11"/>
  <c r="N97" i="11"/>
  <c r="Q110" i="11"/>
  <c r="N45" i="11"/>
  <c r="S95" i="11"/>
  <c r="O127" i="11"/>
  <c r="P127" i="11"/>
  <c r="Q127" i="11"/>
  <c r="O96" i="11"/>
  <c r="O93" i="11"/>
  <c r="S127" i="11"/>
  <c r="O99" i="11"/>
  <c r="X99" i="11" s="1"/>
  <c r="S117" i="11"/>
  <c r="P111" i="11"/>
  <c r="Q116" i="11"/>
  <c r="S116" i="11"/>
  <c r="P114" i="11"/>
  <c r="L117" i="11"/>
  <c r="N93" i="11"/>
  <c r="O112" i="11"/>
  <c r="L116" i="11"/>
  <c r="N96" i="11"/>
  <c r="L43" i="11"/>
  <c r="Q117" i="11"/>
  <c r="Q99" i="11"/>
  <c r="Z99" i="11" s="1"/>
  <c r="Q96" i="11"/>
  <c r="S110" i="11"/>
  <c r="Q29" i="11"/>
  <c r="L110" i="11"/>
  <c r="N113" i="11"/>
  <c r="M113" i="11"/>
  <c r="N41" i="11"/>
  <c r="P44" i="11"/>
  <c r="S97" i="11"/>
  <c r="Q97" i="11"/>
  <c r="P112" i="11"/>
  <c r="O115" i="11"/>
  <c r="O110" i="11"/>
  <c r="O41" i="11"/>
  <c r="N29" i="11"/>
  <c r="P110" i="11"/>
  <c r="S115" i="11"/>
  <c r="L112" i="11"/>
  <c r="Q113" i="11"/>
  <c r="S45" i="11"/>
  <c r="N94" i="11"/>
  <c r="S113" i="11"/>
  <c r="L93" i="11"/>
  <c r="M94" i="11"/>
  <c r="P95" i="11"/>
  <c r="O116" i="11"/>
  <c r="Q95" i="11"/>
  <c r="P113" i="11"/>
  <c r="L115" i="11"/>
  <c r="M114" i="11"/>
  <c r="P116" i="11"/>
  <c r="O111" i="11"/>
  <c r="O113" i="11"/>
  <c r="L113" i="11"/>
  <c r="O114" i="11"/>
  <c r="M116" i="11"/>
  <c r="N110" i="11"/>
  <c r="P96" i="11"/>
  <c r="M112" i="11"/>
  <c r="N112" i="11"/>
  <c r="N115" i="11"/>
  <c r="Q27" i="11"/>
  <c r="S98" i="11"/>
  <c r="P97" i="11"/>
  <c r="Q40" i="11"/>
  <c r="Q98" i="11"/>
  <c r="P99" i="11"/>
  <c r="Y99" i="11" s="1"/>
  <c r="S94" i="11"/>
  <c r="L114" i="11"/>
  <c r="N98" i="11"/>
  <c r="Q92" i="11"/>
  <c r="Q94" i="11"/>
  <c r="S92" i="11"/>
  <c r="M92" i="11"/>
  <c r="M41" i="11"/>
  <c r="Q111" i="11"/>
  <c r="Q114" i="11"/>
  <c r="S114" i="11"/>
  <c r="L27" i="11"/>
  <c r="N95" i="11"/>
  <c r="L96" i="11"/>
  <c r="L97" i="11"/>
  <c r="O95" i="11"/>
  <c r="O94" i="11"/>
  <c r="O98" i="11"/>
  <c r="N99" i="11"/>
  <c r="W99" i="11" s="1"/>
  <c r="L99" i="11"/>
  <c r="U99" i="11" s="1"/>
  <c r="M98" i="11"/>
  <c r="M95" i="11"/>
  <c r="L98" i="11"/>
  <c r="M99" i="11"/>
  <c r="V99" i="11" s="1"/>
  <c r="M93" i="11"/>
  <c r="L95" i="11"/>
  <c r="L92" i="11"/>
  <c r="M96" i="11"/>
  <c r="M97" i="11"/>
  <c r="P98" i="11"/>
  <c r="S93" i="11"/>
  <c r="P30" i="11"/>
  <c r="S24" i="11"/>
  <c r="N92" i="11"/>
  <c r="Q45" i="11"/>
  <c r="O92" i="11"/>
  <c r="P92" i="11"/>
  <c r="S41" i="11"/>
  <c r="L45" i="11"/>
  <c r="Q41" i="11"/>
  <c r="P41" i="11"/>
  <c r="S43" i="11"/>
  <c r="Q43" i="11"/>
  <c r="P29" i="11"/>
  <c r="P43" i="11"/>
  <c r="S28" i="11"/>
  <c r="M44" i="11"/>
  <c r="L44" i="11"/>
  <c r="S30" i="11"/>
  <c r="O45" i="11"/>
  <c r="P45" i="11"/>
  <c r="S42" i="11"/>
  <c r="M45" i="11"/>
  <c r="O24" i="11"/>
  <c r="P42" i="11"/>
  <c r="Q42" i="11"/>
  <c r="S44" i="11"/>
  <c r="O42" i="11"/>
  <c r="Q44" i="11"/>
  <c r="M30" i="11"/>
  <c r="N42" i="11"/>
  <c r="O44" i="11"/>
  <c r="M42" i="11"/>
  <c r="N44" i="11"/>
  <c r="L42" i="11"/>
  <c r="O43" i="11"/>
  <c r="N43" i="11"/>
  <c r="M43" i="11"/>
  <c r="S26" i="11"/>
  <c r="Q30" i="11"/>
  <c r="L25" i="11"/>
  <c r="O13" i="11"/>
  <c r="P40" i="11"/>
  <c r="L19" i="11"/>
  <c r="O27" i="11"/>
  <c r="L17" i="11"/>
  <c r="S29" i="11"/>
  <c r="N30" i="11"/>
  <c r="O30" i="11"/>
  <c r="O29" i="11"/>
  <c r="P28" i="11"/>
  <c r="Q28" i="11"/>
  <c r="N27" i="11"/>
  <c r="O26" i="11"/>
  <c r="L28" i="11"/>
  <c r="N40" i="11"/>
  <c r="P24" i="11"/>
  <c r="N28" i="11"/>
  <c r="O40" i="11"/>
  <c r="P27" i="11"/>
  <c r="O28" i="11"/>
  <c r="O25" i="11"/>
  <c r="M28" i="11"/>
  <c r="P25" i="11"/>
  <c r="S27" i="11"/>
  <c r="Q25" i="11"/>
  <c r="Q24" i="11"/>
  <c r="N26" i="11"/>
  <c r="L29" i="11"/>
  <c r="L30" i="11"/>
  <c r="M29" i="11"/>
  <c r="M27" i="11"/>
  <c r="L26" i="11"/>
  <c r="N10" i="11"/>
  <c r="L23" i="11"/>
  <c r="N23" i="11"/>
  <c r="N25" i="11"/>
  <c r="P26" i="11"/>
  <c r="Q26" i="11"/>
  <c r="S25" i="11"/>
  <c r="M23" i="11"/>
  <c r="M18" i="11"/>
  <c r="M10" i="11"/>
  <c r="N246" i="10"/>
  <c r="M236" i="10"/>
  <c r="N234" i="10"/>
  <c r="M233" i="10"/>
  <c r="R223" i="10"/>
  <c r="S226" i="10"/>
  <c r="S229" i="10"/>
  <c r="M246" i="10"/>
  <c r="Q232" i="10"/>
  <c r="S223" i="10"/>
  <c r="U227" i="10"/>
  <c r="R232" i="10"/>
  <c r="U223" i="10"/>
  <c r="S232" i="10"/>
  <c r="U199" i="10"/>
  <c r="M231" i="10"/>
  <c r="U232" i="10"/>
  <c r="M239" i="10"/>
  <c r="N231" i="10"/>
  <c r="N239" i="10"/>
  <c r="M232" i="10"/>
  <c r="U201" i="10"/>
  <c r="P228" i="10"/>
  <c r="N232" i="10"/>
  <c r="M219" i="10"/>
  <c r="P200" i="10"/>
  <c r="N219" i="10"/>
  <c r="R224" i="10"/>
  <c r="S227" i="10"/>
  <c r="S230" i="10"/>
  <c r="U218" i="10"/>
  <c r="M243" i="10"/>
  <c r="P245" i="10"/>
  <c r="P231" i="10"/>
  <c r="P218" i="10"/>
  <c r="Q242" i="10"/>
  <c r="N237" i="10"/>
  <c r="S219" i="10"/>
  <c r="M240" i="10"/>
  <c r="P224" i="10"/>
  <c r="Q226" i="10"/>
  <c r="S237" i="10"/>
  <c r="N240" i="10"/>
  <c r="U239" i="10"/>
  <c r="Q223" i="10"/>
  <c r="R226" i="10"/>
  <c r="U238" i="10"/>
  <c r="P241" i="10"/>
  <c r="S247" i="10"/>
  <c r="P232" i="10"/>
  <c r="M248" i="10"/>
  <c r="N229" i="10"/>
  <c r="Q238" i="10"/>
  <c r="N248" i="10"/>
  <c r="P229" i="10"/>
  <c r="R238" i="10"/>
  <c r="S210" i="10"/>
  <c r="N218" i="10"/>
  <c r="Q228" i="10"/>
  <c r="P237" i="10"/>
  <c r="S240" i="10"/>
  <c r="Q247" i="10"/>
  <c r="U200" i="10"/>
  <c r="R228" i="10"/>
  <c r="P246" i="10"/>
  <c r="R247" i="10"/>
  <c r="U213" i="10"/>
  <c r="S228" i="10"/>
  <c r="P244" i="10"/>
  <c r="Q245" i="10"/>
  <c r="S213" i="10"/>
  <c r="U206" i="10"/>
  <c r="U228" i="10"/>
  <c r="M242" i="10"/>
  <c r="R245" i="10"/>
  <c r="R213" i="10"/>
  <c r="N242" i="10"/>
  <c r="S245" i="10"/>
  <c r="Q213" i="10"/>
  <c r="U245" i="10"/>
  <c r="S199" i="10"/>
  <c r="Q201" i="10"/>
  <c r="P227" i="10"/>
  <c r="Q241" i="10"/>
  <c r="U244" i="10"/>
  <c r="U226" i="10"/>
  <c r="P239" i="10"/>
  <c r="R218" i="10"/>
  <c r="Q227" i="10"/>
  <c r="R227" i="10"/>
  <c r="U237" i="10"/>
  <c r="Q230" i="10"/>
  <c r="R242" i="10"/>
  <c r="R230" i="10"/>
  <c r="S242" i="10"/>
  <c r="P203" i="10"/>
  <c r="U242" i="10"/>
  <c r="N228" i="10"/>
  <c r="M228" i="10"/>
  <c r="N224" i="10"/>
  <c r="M224" i="10"/>
  <c r="M223" i="10"/>
  <c r="M218" i="10"/>
  <c r="M208" i="10"/>
  <c r="N203" i="10"/>
  <c r="M201" i="10"/>
  <c r="M200" i="10"/>
  <c r="U229" i="10"/>
  <c r="M238" i="10"/>
  <c r="M241" i="10"/>
  <c r="M247" i="10"/>
  <c r="N227" i="10"/>
  <c r="N230" i="10"/>
  <c r="N238" i="10"/>
  <c r="N241" i="10"/>
  <c r="N244" i="10"/>
  <c r="N247" i="10"/>
  <c r="M227" i="10"/>
  <c r="M244" i="10"/>
  <c r="M230" i="10"/>
  <c r="Q219" i="10"/>
  <c r="Q229" i="10"/>
  <c r="Q237" i="10"/>
  <c r="Q240" i="10"/>
  <c r="Q243" i="10"/>
  <c r="Q246" i="10"/>
  <c r="R219" i="10"/>
  <c r="R229" i="10"/>
  <c r="R237" i="10"/>
  <c r="R240" i="10"/>
  <c r="R243" i="10"/>
  <c r="R246" i="10"/>
  <c r="U246" i="10"/>
  <c r="U240" i="10"/>
  <c r="Q208" i="10"/>
  <c r="P201" i="10"/>
  <c r="P208" i="10"/>
  <c r="Q200" i="10"/>
  <c r="R203" i="10"/>
  <c r="P166" i="10"/>
  <c r="M178" i="10"/>
  <c r="R201" i="10"/>
  <c r="S203" i="10"/>
  <c r="S201" i="10"/>
  <c r="U203" i="10"/>
  <c r="R217" i="10"/>
  <c r="Q217" i="10"/>
  <c r="P217" i="10"/>
  <c r="N217" i="10"/>
  <c r="U210" i="10"/>
  <c r="Q207" i="10"/>
  <c r="P207" i="10"/>
  <c r="Q203" i="10"/>
  <c r="N213" i="10"/>
  <c r="S208" i="10"/>
  <c r="P205" i="10"/>
  <c r="M213" i="10"/>
  <c r="R208" i="10"/>
  <c r="N205" i="10"/>
  <c r="N199" i="10"/>
  <c r="R200" i="10"/>
  <c r="M206" i="10"/>
  <c r="M188" i="10"/>
  <c r="M217" i="10"/>
  <c r="R210" i="10"/>
  <c r="N207" i="10"/>
  <c r="R212" i="10"/>
  <c r="N210" i="10"/>
  <c r="S205" i="10"/>
  <c r="P199" i="10"/>
  <c r="Q212" i="10"/>
  <c r="M210" i="10"/>
  <c r="R205" i="10"/>
  <c r="Q199" i="10"/>
  <c r="N200" i="10"/>
  <c r="P213" i="10"/>
  <c r="U208" i="10"/>
  <c r="Q205" i="10"/>
  <c r="M212" i="10"/>
  <c r="P212" i="10"/>
  <c r="Z214" i="10" s="1"/>
  <c r="P206" i="10"/>
  <c r="Q206" i="10"/>
  <c r="U217" i="10"/>
  <c r="R206" i="10"/>
  <c r="S206" i="10"/>
  <c r="U212" i="10"/>
  <c r="Q210" i="10"/>
  <c r="M207" i="10"/>
  <c r="S212" i="10"/>
  <c r="P210" i="10"/>
  <c r="U207" i="10"/>
  <c r="N212" i="10"/>
  <c r="S207" i="10"/>
  <c r="R207" i="10"/>
  <c r="N206" i="10"/>
  <c r="M199" i="10"/>
  <c r="U175" i="10"/>
  <c r="P156" i="10"/>
  <c r="R186" i="10"/>
  <c r="Q160" i="10"/>
  <c r="R175" i="10"/>
  <c r="S175" i="10"/>
  <c r="P173" i="10"/>
  <c r="M185" i="10"/>
  <c r="R196" i="10"/>
  <c r="P187" i="10"/>
  <c r="P195" i="10"/>
  <c r="N195" i="10"/>
  <c r="P154" i="10"/>
  <c r="M198" i="10"/>
  <c r="N190" i="10"/>
  <c r="N198" i="10"/>
  <c r="P190" i="10"/>
  <c r="U185" i="10"/>
  <c r="Q189" i="10"/>
  <c r="R189" i="10"/>
  <c r="R197" i="10"/>
  <c r="U173" i="10"/>
  <c r="P192" i="10"/>
  <c r="U189" i="10"/>
  <c r="R165" i="10"/>
  <c r="R192" i="10"/>
  <c r="Q192" i="10"/>
  <c r="R162" i="10"/>
  <c r="R187" i="10"/>
  <c r="S187" i="10"/>
  <c r="N186" i="10"/>
  <c r="U187" i="10"/>
  <c r="P186" i="10"/>
  <c r="U195" i="10"/>
  <c r="Q198" i="10"/>
  <c r="Q168" i="10"/>
  <c r="N173" i="10"/>
  <c r="M193" i="10"/>
  <c r="P189" i="10"/>
  <c r="S166" i="10"/>
  <c r="P179" i="10"/>
  <c r="U157" i="10"/>
  <c r="S197" i="10"/>
  <c r="Q185" i="10"/>
  <c r="Q190" i="10"/>
  <c r="S195" i="10"/>
  <c r="P175" i="10"/>
  <c r="P188" i="10"/>
  <c r="S190" i="10"/>
  <c r="R190" i="10"/>
  <c r="Q175" i="10"/>
  <c r="Q188" i="10"/>
  <c r="U190" i="10"/>
  <c r="Q173" i="10"/>
  <c r="R188" i="10"/>
  <c r="Q193" i="10"/>
  <c r="R198" i="10"/>
  <c r="R173" i="10"/>
  <c r="S173" i="10"/>
  <c r="M192" i="10"/>
  <c r="S193" i="10"/>
  <c r="M197" i="10"/>
  <c r="R193" i="10"/>
  <c r="Q187" i="10"/>
  <c r="N191" i="10"/>
  <c r="U193" i="10"/>
  <c r="N152" i="10"/>
  <c r="P191" i="10"/>
  <c r="M190" i="10"/>
  <c r="Q191" i="10"/>
  <c r="Q196" i="10"/>
  <c r="M165" i="10"/>
  <c r="M195" i="10"/>
  <c r="R185" i="10"/>
  <c r="S196" i="10"/>
  <c r="M191" i="10"/>
  <c r="Q194" i="10"/>
  <c r="N187" i="10"/>
  <c r="M189" i="10"/>
  <c r="S192" i="10"/>
  <c r="S194" i="10"/>
  <c r="S185" i="10"/>
  <c r="M187" i="10"/>
  <c r="R194" i="10"/>
  <c r="U196" i="10"/>
  <c r="N188" i="10"/>
  <c r="U192" i="10"/>
  <c r="N192" i="10"/>
  <c r="S188" i="10"/>
  <c r="N197" i="10"/>
  <c r="N185" i="10"/>
  <c r="P196" i="10"/>
  <c r="P197" i="10"/>
  <c r="M196" i="10"/>
  <c r="N196" i="10"/>
  <c r="P185" i="10"/>
  <c r="Q197" i="10"/>
  <c r="S186" i="10"/>
  <c r="U186" i="10"/>
  <c r="Q186" i="10"/>
  <c r="M194" i="10"/>
  <c r="M186" i="10"/>
  <c r="Q195" i="10"/>
  <c r="S189" i="10"/>
  <c r="R191" i="10"/>
  <c r="R195" i="10"/>
  <c r="S191" i="10"/>
  <c r="N189" i="10"/>
  <c r="S198" i="10"/>
  <c r="U198" i="10"/>
  <c r="N193" i="10"/>
  <c r="N194" i="10"/>
  <c r="P193" i="10"/>
  <c r="P194" i="10"/>
  <c r="P198" i="10"/>
  <c r="Q162" i="10"/>
  <c r="M169" i="10"/>
  <c r="U166" i="10"/>
  <c r="U161" i="10"/>
  <c r="U162" i="10"/>
  <c r="S162" i="10"/>
  <c r="Q179" i="10"/>
  <c r="M149" i="10"/>
  <c r="M168" i="10"/>
  <c r="P168" i="10"/>
  <c r="M173" i="10"/>
  <c r="U188" i="10"/>
  <c r="U191" i="10"/>
  <c r="U194" i="10"/>
  <c r="U197" i="10"/>
  <c r="Q161" i="10"/>
  <c r="R168" i="10"/>
  <c r="S168" i="10"/>
  <c r="U169" i="10"/>
  <c r="N178" i="10"/>
  <c r="N175" i="10"/>
  <c r="M175" i="10"/>
  <c r="P170" i="10"/>
  <c r="R179" i="10"/>
  <c r="U151" i="10"/>
  <c r="M162" i="10"/>
  <c r="N156" i="10"/>
  <c r="Q170" i="10"/>
  <c r="N162" i="10"/>
  <c r="N165" i="10"/>
  <c r="P162" i="10"/>
  <c r="P153" i="10"/>
  <c r="R156" i="10"/>
  <c r="U178" i="10"/>
  <c r="U177" i="10"/>
  <c r="P169" i="10"/>
  <c r="U168" i="10"/>
  <c r="N177" i="10"/>
  <c r="P161" i="10"/>
  <c r="S169" i="10"/>
  <c r="P177" i="10"/>
  <c r="Q166" i="10"/>
  <c r="Q177" i="10"/>
  <c r="R177" i="10"/>
  <c r="S177" i="10"/>
  <c r="N179" i="10"/>
  <c r="Q178" i="10"/>
  <c r="U154" i="10"/>
  <c r="R178" i="10"/>
  <c r="S178" i="10"/>
  <c r="M150" i="10"/>
  <c r="P165" i="10"/>
  <c r="R161" i="10"/>
  <c r="Q157" i="10"/>
  <c r="M177" i="10"/>
  <c r="U39" i="10"/>
  <c r="U36" i="10"/>
  <c r="P150" i="10"/>
  <c r="N150" i="10"/>
  <c r="Q165" i="10"/>
  <c r="S161" i="10"/>
  <c r="U108" i="10"/>
  <c r="U99" i="10"/>
  <c r="S149" i="10"/>
  <c r="Q169" i="10"/>
  <c r="U152" i="10"/>
  <c r="R169" i="10"/>
  <c r="R166" i="10"/>
  <c r="N161" i="10"/>
  <c r="S179" i="10"/>
  <c r="N163" i="10"/>
  <c r="U179" i="10"/>
  <c r="Q163" i="10"/>
  <c r="S170" i="10"/>
  <c r="M179" i="10"/>
  <c r="P163" i="10"/>
  <c r="R170" i="10"/>
  <c r="P151" i="10"/>
  <c r="Q154" i="10"/>
  <c r="R163" i="10"/>
  <c r="U170" i="10"/>
  <c r="P178" i="10"/>
  <c r="N170" i="10"/>
  <c r="M170" i="10"/>
  <c r="N169" i="10"/>
  <c r="N168" i="10"/>
  <c r="N166" i="10"/>
  <c r="M166" i="10"/>
  <c r="M163" i="10"/>
  <c r="M161" i="10"/>
  <c r="R153" i="10"/>
  <c r="U165" i="10"/>
  <c r="S153" i="10"/>
  <c r="S157" i="10"/>
  <c r="N149" i="10"/>
  <c r="U150" i="10"/>
  <c r="U153" i="10"/>
  <c r="P149" i="10"/>
  <c r="Q152" i="10"/>
  <c r="R157" i="10"/>
  <c r="U149" i="10"/>
  <c r="S151" i="10"/>
  <c r="S154" i="10"/>
  <c r="U163" i="10"/>
  <c r="M156" i="10"/>
  <c r="U156" i="10"/>
  <c r="S156" i="10"/>
  <c r="P152" i="10"/>
  <c r="U75" i="10"/>
  <c r="N151" i="10"/>
  <c r="N157" i="10"/>
  <c r="S165" i="10"/>
  <c r="M154" i="10"/>
  <c r="S150" i="10"/>
  <c r="Q151" i="10"/>
  <c r="Q156" i="10"/>
  <c r="M152" i="10"/>
  <c r="N153" i="10"/>
  <c r="U24" i="10"/>
  <c r="Q149" i="10"/>
  <c r="S152" i="10"/>
  <c r="P157" i="10"/>
  <c r="M151" i="10"/>
  <c r="Q153" i="10"/>
  <c r="M153" i="10"/>
  <c r="Q150" i="10"/>
  <c r="P148" i="10"/>
  <c r="U40" i="10"/>
  <c r="U37" i="10"/>
  <c r="U17" i="10"/>
  <c r="U34" i="10"/>
  <c r="S84" i="10"/>
  <c r="U20" i="10"/>
  <c r="U43" i="10"/>
  <c r="AE43" i="10" s="1"/>
  <c r="U148" i="10"/>
  <c r="U13" i="10"/>
  <c r="U85" i="10"/>
  <c r="R96" i="10"/>
  <c r="U15" i="10"/>
  <c r="U50" i="10"/>
  <c r="AE50" i="10" s="1"/>
  <c r="S85" i="10"/>
  <c r="R106" i="10"/>
  <c r="U38" i="10"/>
  <c r="U35" i="10"/>
  <c r="M148" i="10"/>
  <c r="U84" i="10"/>
  <c r="U110" i="10"/>
  <c r="U104" i="10"/>
  <c r="U101" i="10"/>
  <c r="U98" i="10"/>
  <c r="U87" i="10"/>
  <c r="U52" i="10"/>
  <c r="U55" i="10"/>
  <c r="U62" i="10"/>
  <c r="U14" i="10"/>
  <c r="U11" i="10"/>
  <c r="U77" i="10"/>
  <c r="U109" i="10"/>
  <c r="U103" i="10"/>
  <c r="U100" i="10"/>
  <c r="U97" i="10"/>
  <c r="U89" i="10"/>
  <c r="U61" i="10"/>
  <c r="U90" i="10"/>
  <c r="S148" i="10"/>
  <c r="U94" i="10"/>
  <c r="N101" i="10"/>
  <c r="U42" i="10"/>
  <c r="U33" i="10"/>
  <c r="Q148" i="10"/>
  <c r="U19" i="10"/>
  <c r="U111" i="10"/>
  <c r="U105" i="10"/>
  <c r="U102" i="10"/>
  <c r="U51" i="10"/>
  <c r="U54" i="10"/>
  <c r="U96" i="10"/>
  <c r="U88" i="10"/>
  <c r="U25" i="10"/>
  <c r="U12" i="10"/>
  <c r="U18" i="10"/>
  <c r="U76" i="10"/>
  <c r="U95" i="10"/>
  <c r="U22" i="10"/>
  <c r="U73" i="10"/>
  <c r="M85" i="10"/>
  <c r="U32" i="10"/>
  <c r="N85" i="10"/>
  <c r="U107" i="10"/>
  <c r="S107" i="10"/>
  <c r="U10" i="10"/>
  <c r="R98" i="10"/>
  <c r="U53" i="10"/>
  <c r="U23" i="10"/>
  <c r="U74" i="10"/>
  <c r="U86" i="10"/>
  <c r="U16" i="10"/>
  <c r="Q19" i="11"/>
  <c r="L10" i="11"/>
  <c r="S19" i="11"/>
  <c r="L16" i="11"/>
  <c r="S18" i="11"/>
  <c r="M21" i="11"/>
  <c r="O17" i="11"/>
  <c r="L21" i="11"/>
  <c r="P12" i="11"/>
  <c r="M16" i="11"/>
  <c r="M25" i="11"/>
  <c r="Q14" i="11"/>
  <c r="M26" i="11"/>
  <c r="M24" i="11"/>
  <c r="O23" i="11"/>
  <c r="O22" i="11"/>
  <c r="L24" i="11"/>
  <c r="N19" i="11"/>
  <c r="P23" i="11"/>
  <c r="Q23" i="11"/>
  <c r="N24" i="11"/>
  <c r="S23" i="11"/>
  <c r="S22" i="11"/>
  <c r="Q12" i="11"/>
  <c r="N15" i="11"/>
  <c r="O15" i="11"/>
  <c r="O20" i="11"/>
  <c r="Q10" i="11"/>
  <c r="P15" i="11"/>
  <c r="S10" i="11"/>
  <c r="Q15" i="11"/>
  <c r="N14" i="11"/>
  <c r="L12" i="11"/>
  <c r="Q13" i="11"/>
  <c r="M14" i="11"/>
  <c r="M12" i="11"/>
  <c r="L22" i="11"/>
  <c r="L14" i="11"/>
  <c r="P13" i="11"/>
  <c r="O11" i="11"/>
  <c r="L13" i="11"/>
  <c r="L11" i="11"/>
  <c r="Q17" i="11"/>
  <c r="Q22" i="11"/>
  <c r="O18" i="11"/>
  <c r="P18" i="11"/>
  <c r="Q11" i="11"/>
  <c r="L15" i="11"/>
  <c r="O16" i="11"/>
  <c r="Q18" i="11"/>
  <c r="S12" i="11"/>
  <c r="M17" i="11"/>
  <c r="L20" i="11"/>
  <c r="N17" i="11"/>
  <c r="Q20" i="11"/>
  <c r="M15" i="11"/>
  <c r="P16" i="11"/>
  <c r="S16" i="11"/>
  <c r="N21" i="11"/>
  <c r="Q16" i="11"/>
  <c r="O14" i="11"/>
  <c r="N12" i="11"/>
  <c r="O21" i="11"/>
  <c r="M20" i="11"/>
  <c r="N11" i="11"/>
  <c r="O12" i="11"/>
  <c r="S15" i="11"/>
  <c r="N20" i="11"/>
  <c r="P21" i="11"/>
  <c r="M22" i="11"/>
  <c r="N16" i="11"/>
  <c r="O10" i="11"/>
  <c r="O19" i="11"/>
  <c r="Q21" i="11"/>
  <c r="P10" i="11"/>
  <c r="L18" i="11"/>
  <c r="P19" i="11"/>
  <c r="N22" i="11"/>
  <c r="M19" i="11"/>
  <c r="N18" i="11"/>
  <c r="S21" i="11"/>
  <c r="M11" i="11"/>
  <c r="P22" i="11"/>
  <c r="P11" i="11"/>
  <c r="P14" i="11"/>
  <c r="P17" i="11"/>
  <c r="P20" i="11"/>
  <c r="S11" i="11"/>
  <c r="S14" i="11"/>
  <c r="S17" i="11"/>
  <c r="S20" i="11"/>
  <c r="Q108" i="10"/>
  <c r="Q102" i="10"/>
  <c r="M99" i="10"/>
  <c r="M97" i="10"/>
  <c r="M96" i="10"/>
  <c r="Q96" i="10"/>
  <c r="Q94" i="10"/>
  <c r="M95" i="10"/>
  <c r="Q100" i="10"/>
  <c r="U41" i="10"/>
  <c r="N109" i="10"/>
  <c r="P100" i="10"/>
  <c r="M109" i="10"/>
  <c r="M103" i="10"/>
  <c r="M105" i="10"/>
  <c r="N84" i="10"/>
  <c r="S110" i="10"/>
  <c r="M84" i="10"/>
  <c r="P108" i="10"/>
  <c r="P84" i="10"/>
  <c r="R84" i="10"/>
  <c r="U21" i="10"/>
  <c r="U106" i="10"/>
  <c r="M110" i="10"/>
  <c r="M107" i="10"/>
  <c r="M104" i="10"/>
  <c r="P95" i="10"/>
  <c r="P90" i="10"/>
  <c r="S106" i="10"/>
  <c r="Q106" i="10"/>
  <c r="S89" i="10"/>
  <c r="Q84" i="10"/>
  <c r="M102" i="10"/>
  <c r="P99" i="10"/>
  <c r="S103" i="10"/>
  <c r="P107" i="10"/>
  <c r="P104" i="10"/>
  <c r="R101" i="10"/>
  <c r="S98" i="10"/>
  <c r="N96" i="10"/>
  <c r="N110" i="10"/>
  <c r="S94" i="10"/>
  <c r="S102" i="10"/>
  <c r="P89" i="10"/>
  <c r="Q104" i="10"/>
  <c r="N94" i="10"/>
  <c r="Q86" i="10"/>
  <c r="P105" i="10"/>
  <c r="M94" i="10"/>
  <c r="P86" i="10"/>
  <c r="P85" i="10"/>
  <c r="Q99" i="10"/>
  <c r="M88" i="10"/>
  <c r="M87" i="10"/>
  <c r="Q85" i="10"/>
  <c r="N95" i="10"/>
  <c r="R104" i="10"/>
  <c r="N107" i="10"/>
  <c r="N99" i="10"/>
  <c r="Q89" i="10"/>
  <c r="N105" i="10"/>
  <c r="S86" i="10"/>
  <c r="M101" i="10"/>
  <c r="Q109" i="10"/>
  <c r="P97" i="10"/>
  <c r="N90" i="10"/>
  <c r="S111" i="10"/>
  <c r="P109" i="10"/>
  <c r="Q101" i="10"/>
  <c r="N97" i="10"/>
  <c r="R107" i="10"/>
  <c r="P101" i="10"/>
  <c r="S99" i="10"/>
  <c r="P87" i="10"/>
  <c r="Q107" i="10"/>
  <c r="N102" i="10"/>
  <c r="R99" i="10"/>
  <c r="N87" i="10"/>
  <c r="N104" i="10"/>
  <c r="R109" i="10"/>
  <c r="S101" i="10"/>
  <c r="P96" i="10"/>
  <c r="P77" i="10"/>
  <c r="R111" i="10"/>
  <c r="P106" i="10"/>
  <c r="Q98" i="10"/>
  <c r="S87" i="10"/>
  <c r="Q111" i="10"/>
  <c r="N106" i="10"/>
  <c r="R103" i="10"/>
  <c r="P98" i="10"/>
  <c r="P111" i="10"/>
  <c r="M106" i="10"/>
  <c r="N98" i="10"/>
  <c r="Q88" i="10"/>
  <c r="N111" i="10"/>
  <c r="P103" i="10"/>
  <c r="M98" i="10"/>
  <c r="R95" i="10"/>
  <c r="P88" i="10"/>
  <c r="N86" i="10"/>
  <c r="M111" i="10"/>
  <c r="N103" i="10"/>
  <c r="N88" i="10"/>
  <c r="M86" i="10"/>
  <c r="M90" i="10"/>
  <c r="N100" i="10"/>
  <c r="Q95" i="10"/>
  <c r="N108" i="10"/>
  <c r="R110" i="10"/>
  <c r="R102" i="10"/>
  <c r="R94" i="10"/>
  <c r="N89" i="10"/>
  <c r="M108" i="10"/>
  <c r="S88" i="10"/>
  <c r="M100" i="10"/>
  <c r="Q110" i="10"/>
  <c r="Q103" i="10"/>
  <c r="M89" i="10"/>
  <c r="Q105" i="10"/>
  <c r="Q97" i="10"/>
  <c r="Q87" i="10"/>
  <c r="P110" i="10"/>
  <c r="P102" i="10"/>
  <c r="S97" i="10"/>
  <c r="P94" i="10"/>
  <c r="R97" i="10"/>
  <c r="S108" i="10"/>
  <c r="S100" i="10"/>
  <c r="S90" i="10"/>
  <c r="S105" i="10"/>
  <c r="R105" i="10"/>
  <c r="R108" i="10"/>
  <c r="R100" i="10"/>
  <c r="Q77" i="10"/>
  <c r="N73" i="10"/>
  <c r="R77" i="10"/>
  <c r="S69" i="10"/>
  <c r="S77" i="10"/>
  <c r="Q73" i="10"/>
  <c r="N76" i="10"/>
  <c r="S52" i="10"/>
  <c r="P75" i="10"/>
  <c r="R69" i="10"/>
  <c r="N61" i="10"/>
  <c r="P73" i="10"/>
  <c r="Q61" i="10"/>
  <c r="M76" i="10"/>
  <c r="R55" i="10"/>
  <c r="P71" i="10"/>
  <c r="R73" i="10"/>
  <c r="Q71" i="10"/>
  <c r="R71" i="10"/>
  <c r="S71" i="10"/>
  <c r="P70" i="10"/>
  <c r="P74" i="10"/>
  <c r="Q74" i="10"/>
  <c r="P61" i="10"/>
  <c r="S73" i="10"/>
  <c r="Q76" i="10"/>
  <c r="M74" i="10"/>
  <c r="N74" i="10"/>
  <c r="N77" i="10"/>
  <c r="M77" i="10"/>
  <c r="N72" i="10"/>
  <c r="R76" i="10"/>
  <c r="N75" i="10"/>
  <c r="S76" i="10"/>
  <c r="P76" i="10"/>
  <c r="N52" i="10"/>
  <c r="P54" i="10"/>
  <c r="N71" i="10"/>
  <c r="P72" i="10"/>
  <c r="S74" i="10"/>
  <c r="R74" i="10"/>
  <c r="Q72" i="10"/>
  <c r="R62" i="10"/>
  <c r="AB62" i="10" s="1"/>
  <c r="S55" i="10"/>
  <c r="S62" i="10"/>
  <c r="AC62" i="10" s="1"/>
  <c r="R70" i="10"/>
  <c r="S70" i="10"/>
  <c r="N51" i="10"/>
  <c r="Q70" i="10"/>
  <c r="Q75" i="10"/>
  <c r="P69" i="10"/>
  <c r="N42" i="10"/>
  <c r="M75" i="10"/>
  <c r="Q53" i="10"/>
  <c r="Q54" i="10"/>
  <c r="R52" i="10"/>
  <c r="R72" i="10"/>
  <c r="R75" i="10"/>
  <c r="S72" i="10"/>
  <c r="S75" i="10"/>
  <c r="Q55" i="10"/>
  <c r="P38" i="10"/>
  <c r="P35" i="10"/>
  <c r="S53" i="10"/>
  <c r="Q51" i="10"/>
  <c r="N55" i="10"/>
  <c r="P50" i="10"/>
  <c r="Z50" i="10" s="1"/>
  <c r="M54" i="10"/>
  <c r="R53" i="10"/>
  <c r="N54" i="10"/>
  <c r="P53" i="10"/>
  <c r="N62" i="10"/>
  <c r="Q50" i="10"/>
  <c r="AA50" i="10" s="1"/>
  <c r="M42" i="10"/>
  <c r="R50" i="10"/>
  <c r="AB50" i="10" s="1"/>
  <c r="S54" i="10"/>
  <c r="M53" i="10"/>
  <c r="Q41" i="10"/>
  <c r="Q62" i="10"/>
  <c r="AA62" i="10" s="1"/>
  <c r="S11" i="10"/>
  <c r="N50" i="10"/>
  <c r="X50" i="10" s="1"/>
  <c r="S50" i="10"/>
  <c r="AC50" i="10" s="1"/>
  <c r="R54" i="10"/>
  <c r="Q52" i="10"/>
  <c r="N53" i="10"/>
  <c r="R61" i="10"/>
  <c r="S61" i="10"/>
  <c r="P52" i="10"/>
  <c r="R51" i="10"/>
  <c r="S51" i="10"/>
  <c r="N33" i="10"/>
  <c r="M51" i="10"/>
  <c r="P51" i="10"/>
  <c r="Q34" i="10"/>
  <c r="R11" i="10"/>
  <c r="P42" i="10"/>
  <c r="S38" i="10"/>
  <c r="N39" i="10"/>
  <c r="P43" i="10"/>
  <c r="Z43" i="10" s="1"/>
  <c r="M52" i="10"/>
  <c r="N32" i="10"/>
  <c r="M43" i="10"/>
  <c r="W43" i="10" s="1"/>
  <c r="N36" i="10"/>
  <c r="S35" i="10"/>
  <c r="P55" i="10"/>
  <c r="P62" i="10"/>
  <c r="Z62" i="10" s="1"/>
  <c r="P40" i="10"/>
  <c r="N40" i="10"/>
  <c r="R37" i="10"/>
  <c r="M40" i="10"/>
  <c r="Q37" i="10"/>
  <c r="R34" i="10"/>
  <c r="Q40" i="10"/>
  <c r="M37" i="10"/>
  <c r="N35" i="10"/>
  <c r="M33" i="10"/>
  <c r="R35" i="10"/>
  <c r="S40" i="10"/>
  <c r="Q35" i="10"/>
  <c r="M34" i="10"/>
  <c r="S41" i="10"/>
  <c r="N22" i="10"/>
  <c r="Q11" i="10"/>
  <c r="P37" i="10"/>
  <c r="P12" i="10"/>
  <c r="N37" i="10"/>
  <c r="S34" i="10"/>
  <c r="R21" i="10"/>
  <c r="M32" i="10"/>
  <c r="S20" i="10"/>
  <c r="S43" i="10"/>
  <c r="AC43" i="10" s="1"/>
  <c r="M36" i="10"/>
  <c r="Q13" i="10"/>
  <c r="R43" i="10"/>
  <c r="AB43" i="10" s="1"/>
  <c r="N41" i="10"/>
  <c r="Q43" i="10"/>
  <c r="AA43" i="10" s="1"/>
  <c r="Q38" i="10"/>
  <c r="R38" i="10"/>
  <c r="R14" i="10"/>
  <c r="R40" i="10"/>
  <c r="N38" i="10"/>
  <c r="R41" i="10"/>
  <c r="P10" i="10"/>
  <c r="S10" i="10"/>
  <c r="N18" i="10"/>
  <c r="P34" i="10"/>
  <c r="R10" i="10"/>
  <c r="Q10" i="10"/>
  <c r="S36" i="10"/>
  <c r="Q42" i="10"/>
  <c r="P39" i="10"/>
  <c r="M39" i="10"/>
  <c r="M24" i="10"/>
  <c r="R32" i="10"/>
  <c r="P33" i="10"/>
  <c r="S32" i="10"/>
  <c r="N43" i="10"/>
  <c r="X43" i="10" s="1"/>
  <c r="N34" i="10"/>
  <c r="P32" i="10"/>
  <c r="Q32" i="10"/>
  <c r="S37" i="10"/>
  <c r="P36" i="10"/>
  <c r="P41" i="10"/>
  <c r="M41" i="10"/>
  <c r="M38" i="10"/>
  <c r="M35" i="10"/>
  <c r="S42" i="10"/>
  <c r="S39" i="10"/>
  <c r="S33" i="10"/>
  <c r="R42" i="10"/>
  <c r="R39" i="10"/>
  <c r="R36" i="10"/>
  <c r="R33" i="10"/>
  <c r="Q39" i="10"/>
  <c r="Q36" i="10"/>
  <c r="Q33" i="10"/>
  <c r="Q12" i="10"/>
  <c r="P13" i="10"/>
  <c r="S14" i="10"/>
  <c r="R16" i="10"/>
  <c r="S12" i="10"/>
  <c r="M12" i="10"/>
  <c r="R12" i="10"/>
  <c r="N13" i="10"/>
  <c r="N12" i="10"/>
  <c r="M13" i="10"/>
  <c r="N11" i="10"/>
  <c r="N10" i="10"/>
  <c r="R20" i="10"/>
  <c r="P11" i="10"/>
  <c r="S17" i="10"/>
  <c r="Q14" i="10"/>
  <c r="S13" i="10"/>
  <c r="P14" i="10"/>
  <c r="R13" i="10"/>
  <c r="N14" i="10"/>
  <c r="M14" i="10"/>
  <c r="M11" i="10"/>
  <c r="P23" i="10"/>
  <c r="S24" i="10"/>
  <c r="M20" i="10"/>
  <c r="N17" i="10"/>
  <c r="P17" i="10"/>
  <c r="R24" i="10"/>
  <c r="S21" i="10"/>
  <c r="M17" i="10"/>
  <c r="N23" i="10"/>
  <c r="Q24" i="10"/>
  <c r="P25" i="10"/>
  <c r="Q21" i="10"/>
  <c r="Q16" i="10"/>
  <c r="N19" i="10"/>
  <c r="N25" i="10"/>
  <c r="P22" i="10"/>
  <c r="M10" i="10"/>
  <c r="M22" i="10"/>
  <c r="Q18" i="10"/>
  <c r="P16" i="10"/>
  <c r="P24" i="10"/>
  <c r="N16" i="10"/>
  <c r="N24" i="10"/>
  <c r="M16" i="10"/>
  <c r="M19" i="10"/>
  <c r="P21" i="10"/>
  <c r="N21" i="10"/>
  <c r="R17" i="10"/>
  <c r="S25" i="10"/>
  <c r="S22" i="10"/>
  <c r="M21" i="10"/>
  <c r="Q17" i="10"/>
  <c r="P18" i="10"/>
  <c r="S19" i="10"/>
  <c r="R19" i="10"/>
  <c r="Q22" i="10"/>
  <c r="M23" i="10"/>
  <c r="Q19" i="10"/>
  <c r="R25" i="10"/>
  <c r="R22" i="10"/>
  <c r="Q25" i="10"/>
  <c r="P19" i="10"/>
  <c r="S16" i="10"/>
  <c r="Q20" i="10"/>
  <c r="P15" i="10"/>
  <c r="M15" i="10"/>
  <c r="S23" i="10"/>
  <c r="P20" i="10"/>
  <c r="R23" i="10"/>
  <c r="N20" i="10"/>
  <c r="R15" i="10"/>
  <c r="Q23" i="10"/>
  <c r="Q15" i="10"/>
  <c r="S18" i="10"/>
  <c r="R18" i="10"/>
  <c r="N15" i="10"/>
  <c r="M25" i="10"/>
  <c r="M18" i="10"/>
  <c r="S15" i="10"/>
  <c r="M570" i="3"/>
  <c r="P570" i="3"/>
  <c r="P569" i="3"/>
  <c r="M569" i="3"/>
  <c r="L570" i="3"/>
  <c r="L569" i="3"/>
  <c r="P568" i="3"/>
  <c r="M568" i="3"/>
  <c r="P567" i="3"/>
  <c r="M567" i="3"/>
  <c r="P566" i="3"/>
  <c r="L566" i="3"/>
  <c r="L567" i="3"/>
  <c r="O566" i="3"/>
  <c r="R566" i="3"/>
  <c r="L563" i="3"/>
  <c r="C217" i="3"/>
  <c r="D217" i="3"/>
  <c r="C218" i="3"/>
  <c r="D218" i="3"/>
  <c r="C219" i="3"/>
  <c r="D219" i="3"/>
  <c r="C220" i="3"/>
  <c r="D220" i="3"/>
  <c r="C221" i="3"/>
  <c r="C222" i="3"/>
  <c r="D222" i="3"/>
  <c r="C223" i="3"/>
  <c r="D223" i="3"/>
  <c r="C224" i="3"/>
  <c r="D224" i="3"/>
  <c r="C225" i="3"/>
  <c r="D225" i="3"/>
  <c r="C226" i="3"/>
  <c r="D226" i="3"/>
  <c r="C227" i="3"/>
  <c r="D227" i="3"/>
  <c r="C228" i="3"/>
  <c r="D228" i="3"/>
  <c r="C229" i="3"/>
  <c r="D229" i="3"/>
  <c r="C230" i="3"/>
  <c r="D230" i="3"/>
  <c r="C231" i="3"/>
  <c r="D231" i="3"/>
  <c r="C232" i="3"/>
  <c r="D232" i="3"/>
  <c r="C233" i="3"/>
  <c r="D233" i="3"/>
  <c r="C234" i="3"/>
  <c r="D234" i="3"/>
  <c r="C235" i="3"/>
  <c r="D235" i="3"/>
  <c r="C236" i="3"/>
  <c r="D236" i="3"/>
  <c r="C237" i="3"/>
  <c r="D237" i="3"/>
  <c r="C238" i="3"/>
  <c r="D238" i="3"/>
  <c r="C239" i="3"/>
  <c r="D239" i="3"/>
  <c r="C240" i="3"/>
  <c r="D240" i="3"/>
  <c r="C241" i="3"/>
  <c r="D241" i="3"/>
  <c r="C242" i="3"/>
  <c r="D242" i="3"/>
  <c r="C243" i="3"/>
  <c r="D243" i="3"/>
  <c r="C244" i="3"/>
  <c r="D244" i="3"/>
  <c r="C245" i="3"/>
  <c r="D245" i="3"/>
  <c r="C246" i="3"/>
  <c r="D246" i="3"/>
  <c r="C247" i="3"/>
  <c r="D247" i="3"/>
  <c r="C248" i="3"/>
  <c r="D248" i="3"/>
  <c r="C249" i="3"/>
  <c r="D249" i="3"/>
  <c r="C250" i="3"/>
  <c r="D250" i="3"/>
  <c r="C251" i="3"/>
  <c r="D251" i="3"/>
  <c r="C252" i="3"/>
  <c r="D252" i="3"/>
  <c r="C253" i="3"/>
  <c r="D253" i="3"/>
  <c r="C254" i="3"/>
  <c r="D254" i="3"/>
  <c r="C255" i="3"/>
  <c r="D255" i="3"/>
  <c r="C256" i="3"/>
  <c r="D256" i="3"/>
  <c r="C257" i="3"/>
  <c r="D257" i="3"/>
  <c r="C258" i="3"/>
  <c r="D258" i="3"/>
  <c r="C259" i="3"/>
  <c r="D259" i="3"/>
  <c r="C260" i="3"/>
  <c r="D260" i="3"/>
  <c r="C261" i="3"/>
  <c r="D261" i="3"/>
  <c r="C262" i="3"/>
  <c r="D262" i="3"/>
  <c r="C263" i="3"/>
  <c r="D263" i="3"/>
  <c r="C264" i="3"/>
  <c r="C265" i="3"/>
  <c r="D265" i="3"/>
  <c r="C266" i="3"/>
  <c r="D266" i="3"/>
  <c r="C267" i="3"/>
  <c r="D267" i="3"/>
  <c r="C268" i="3"/>
  <c r="D268" i="3"/>
  <c r="C269" i="3"/>
  <c r="D269" i="3"/>
  <c r="C270" i="3"/>
  <c r="D270" i="3"/>
  <c r="C271" i="3"/>
  <c r="D271" i="3"/>
  <c r="C272" i="3"/>
  <c r="D272" i="3"/>
  <c r="C273" i="3"/>
  <c r="D273" i="3"/>
  <c r="C274" i="3"/>
  <c r="D274" i="3"/>
  <c r="C275" i="3"/>
  <c r="D275" i="3"/>
  <c r="C276" i="3"/>
  <c r="D276" i="3"/>
  <c r="C277" i="3"/>
  <c r="D277" i="3"/>
  <c r="C278" i="3"/>
  <c r="D278" i="3"/>
  <c r="C279" i="3"/>
  <c r="D279" i="3"/>
  <c r="C280" i="3"/>
  <c r="D280" i="3"/>
  <c r="C281" i="3"/>
  <c r="D281" i="3"/>
  <c r="C282" i="3"/>
  <c r="D282" i="3"/>
  <c r="C283" i="3"/>
  <c r="D283" i="3"/>
  <c r="C286" i="3"/>
  <c r="D286" i="3"/>
  <c r="C287" i="3"/>
  <c r="D287" i="3"/>
  <c r="C288" i="3"/>
  <c r="D288" i="3"/>
  <c r="C289" i="3"/>
  <c r="D289" i="3"/>
  <c r="C290" i="3"/>
  <c r="D290" i="3"/>
  <c r="C291" i="3"/>
  <c r="D291" i="3"/>
  <c r="C292" i="3"/>
  <c r="D292" i="3"/>
  <c r="C293" i="3"/>
  <c r="D293" i="3"/>
  <c r="C294" i="3"/>
  <c r="D294" i="3"/>
  <c r="C295" i="3"/>
  <c r="D295" i="3"/>
  <c r="C296" i="3"/>
  <c r="D296" i="3"/>
  <c r="C297" i="3"/>
  <c r="D297" i="3"/>
  <c r="C298" i="3"/>
  <c r="D298" i="3"/>
  <c r="C299" i="3"/>
  <c r="D299" i="3"/>
  <c r="C300" i="3"/>
  <c r="D300" i="3"/>
  <c r="C301" i="3"/>
  <c r="D301" i="3"/>
  <c r="C302" i="3"/>
  <c r="D302" i="3"/>
  <c r="C303" i="3"/>
  <c r="D303" i="3"/>
  <c r="C304" i="3"/>
  <c r="D304" i="3"/>
  <c r="C305" i="3"/>
  <c r="D305" i="3"/>
  <c r="C306" i="3"/>
  <c r="D306" i="3"/>
  <c r="C307" i="3"/>
  <c r="D307" i="3"/>
  <c r="C308" i="3"/>
  <c r="D308" i="3"/>
  <c r="C309" i="3"/>
  <c r="D309" i="3"/>
  <c r="C310" i="3"/>
  <c r="D310" i="3"/>
  <c r="C311" i="3"/>
  <c r="D311" i="3"/>
  <c r="C312" i="3"/>
  <c r="D312" i="3"/>
  <c r="C313" i="3"/>
  <c r="D313" i="3"/>
  <c r="C314" i="3"/>
  <c r="D314" i="3"/>
  <c r="C315" i="3"/>
  <c r="D315" i="3"/>
  <c r="C316" i="3"/>
  <c r="D316" i="3"/>
  <c r="C317" i="3"/>
  <c r="D317" i="3"/>
  <c r="C318" i="3"/>
  <c r="D318" i="3"/>
  <c r="C319" i="3"/>
  <c r="D319" i="3"/>
  <c r="C320" i="3"/>
  <c r="D320" i="3"/>
  <c r="C321" i="3"/>
  <c r="D321" i="3"/>
  <c r="C322" i="3"/>
  <c r="D322" i="3"/>
  <c r="C323" i="3"/>
  <c r="D323" i="3"/>
  <c r="C324" i="3"/>
  <c r="D324" i="3"/>
  <c r="C325" i="3"/>
  <c r="D325" i="3"/>
  <c r="C326" i="3"/>
  <c r="D326" i="3"/>
  <c r="C327" i="3"/>
  <c r="D327" i="3"/>
  <c r="C328" i="3"/>
  <c r="D328" i="3"/>
  <c r="C329" i="3"/>
  <c r="D329" i="3"/>
  <c r="C330" i="3"/>
  <c r="D330" i="3"/>
  <c r="C331" i="3"/>
  <c r="D331" i="3"/>
  <c r="C332" i="3"/>
  <c r="D332" i="3"/>
  <c r="C333" i="3"/>
  <c r="D333" i="3"/>
  <c r="C334" i="3"/>
  <c r="D334" i="3"/>
  <c r="C335" i="3"/>
  <c r="D335" i="3"/>
  <c r="C336" i="3"/>
  <c r="D336" i="3"/>
  <c r="C337" i="3"/>
  <c r="D337" i="3"/>
  <c r="C338" i="3"/>
  <c r="D338" i="3"/>
  <c r="C339" i="3"/>
  <c r="D339" i="3"/>
  <c r="C340" i="3"/>
  <c r="D340" i="3"/>
  <c r="C341" i="3"/>
  <c r="D341" i="3"/>
  <c r="C342" i="3"/>
  <c r="D342" i="3"/>
  <c r="C343" i="3"/>
  <c r="D343" i="3"/>
  <c r="C344" i="3"/>
  <c r="D344" i="3"/>
  <c r="C345" i="3"/>
  <c r="D345" i="3"/>
  <c r="C346" i="3"/>
  <c r="D346" i="3"/>
  <c r="C347" i="3"/>
  <c r="D347" i="3"/>
  <c r="C348" i="3"/>
  <c r="D348" i="3"/>
  <c r="C349" i="3"/>
  <c r="D349" i="3"/>
  <c r="C350" i="3"/>
  <c r="D350" i="3"/>
  <c r="C351" i="3"/>
  <c r="D351" i="3"/>
  <c r="C352" i="3"/>
  <c r="D352" i="3"/>
  <c r="C353" i="3"/>
  <c r="D353" i="3"/>
  <c r="C354" i="3"/>
  <c r="D354" i="3"/>
  <c r="C355" i="3"/>
  <c r="D355" i="3"/>
  <c r="C356" i="3"/>
  <c r="D356" i="3"/>
  <c r="C357" i="3"/>
  <c r="D357" i="3"/>
  <c r="C358" i="3"/>
  <c r="D358" i="3"/>
  <c r="C359" i="3"/>
  <c r="D359" i="3"/>
  <c r="C360" i="3"/>
  <c r="D360" i="3"/>
  <c r="C361" i="3"/>
  <c r="D361" i="3"/>
  <c r="C362" i="3"/>
  <c r="D362" i="3"/>
  <c r="C363" i="3"/>
  <c r="D363" i="3"/>
  <c r="C364" i="3"/>
  <c r="D364" i="3"/>
  <c r="C365" i="3"/>
  <c r="D365" i="3"/>
  <c r="C366" i="3"/>
  <c r="D366" i="3"/>
  <c r="C367" i="3"/>
  <c r="D367" i="3"/>
  <c r="C368" i="3"/>
  <c r="D368" i="3"/>
  <c r="C369" i="3"/>
  <c r="D369" i="3"/>
  <c r="C370" i="3"/>
  <c r="D370" i="3"/>
  <c r="C371" i="3"/>
  <c r="D371" i="3"/>
  <c r="C372" i="3"/>
  <c r="D372" i="3"/>
  <c r="C373" i="3"/>
  <c r="D373" i="3"/>
  <c r="C374" i="3"/>
  <c r="D374" i="3"/>
  <c r="C375" i="3"/>
  <c r="D375" i="3"/>
  <c r="C376" i="3"/>
  <c r="D376" i="3"/>
  <c r="C378" i="3"/>
  <c r="D378" i="3"/>
  <c r="C379" i="3"/>
  <c r="D379" i="3"/>
  <c r="C380" i="3"/>
  <c r="D380" i="3"/>
  <c r="C381" i="3"/>
  <c r="D381" i="3"/>
  <c r="C382" i="3"/>
  <c r="D382" i="3"/>
  <c r="C383" i="3"/>
  <c r="D383" i="3"/>
  <c r="C384" i="3"/>
  <c r="D384" i="3"/>
  <c r="C385" i="3"/>
  <c r="D385" i="3"/>
  <c r="C386" i="3"/>
  <c r="D386" i="3"/>
  <c r="C387" i="3"/>
  <c r="D387" i="3"/>
  <c r="C388" i="3"/>
  <c r="D388" i="3"/>
  <c r="C389" i="3"/>
  <c r="D389" i="3"/>
  <c r="C390" i="3"/>
  <c r="D390" i="3"/>
  <c r="C391" i="3"/>
  <c r="D391" i="3"/>
  <c r="C392" i="3"/>
  <c r="D392" i="3"/>
  <c r="C393" i="3"/>
  <c r="D393" i="3"/>
  <c r="C394" i="3"/>
  <c r="D394" i="3"/>
  <c r="C395" i="3"/>
  <c r="D395" i="3"/>
  <c r="C396" i="3"/>
  <c r="D396" i="3"/>
  <c r="C397" i="3"/>
  <c r="D397" i="3"/>
  <c r="C398" i="3"/>
  <c r="D398" i="3"/>
  <c r="C399" i="3"/>
  <c r="D399" i="3"/>
  <c r="C400" i="3"/>
  <c r="D400" i="3"/>
  <c r="C401" i="3"/>
  <c r="D401" i="3"/>
  <c r="C402" i="3"/>
  <c r="D402" i="3"/>
  <c r="C403" i="3"/>
  <c r="D403" i="3"/>
  <c r="C404" i="3"/>
  <c r="D404" i="3"/>
  <c r="C405" i="3"/>
  <c r="D405" i="3"/>
  <c r="C406" i="3"/>
  <c r="D406" i="3"/>
  <c r="C407" i="3"/>
  <c r="D407" i="3"/>
  <c r="C408" i="3"/>
  <c r="D408" i="3"/>
  <c r="C409" i="3"/>
  <c r="D409" i="3"/>
  <c r="C410" i="3"/>
  <c r="D410" i="3"/>
  <c r="C411" i="3"/>
  <c r="D411" i="3"/>
  <c r="C412" i="3"/>
  <c r="D412" i="3"/>
  <c r="C413" i="3"/>
  <c r="D413" i="3"/>
  <c r="C414" i="3"/>
  <c r="D414" i="3"/>
  <c r="C415" i="3"/>
  <c r="D415" i="3"/>
  <c r="C416" i="3"/>
  <c r="D416" i="3"/>
  <c r="C417" i="3"/>
  <c r="D417" i="3"/>
  <c r="C418" i="3"/>
  <c r="D418" i="3"/>
  <c r="C419" i="3"/>
  <c r="D419" i="3"/>
  <c r="C420" i="3"/>
  <c r="D420" i="3"/>
  <c r="C421" i="3"/>
  <c r="D421" i="3"/>
  <c r="C422" i="3"/>
  <c r="D422" i="3"/>
  <c r="C423" i="3"/>
  <c r="D423" i="3"/>
  <c r="C424" i="3"/>
  <c r="D424" i="3"/>
  <c r="C425" i="3"/>
  <c r="D425" i="3"/>
  <c r="C426" i="3"/>
  <c r="D426" i="3"/>
  <c r="C427" i="3"/>
  <c r="D427" i="3"/>
  <c r="C428" i="3"/>
  <c r="D428" i="3"/>
  <c r="C429" i="3"/>
  <c r="D429" i="3"/>
  <c r="C430" i="3"/>
  <c r="D430" i="3"/>
  <c r="C431" i="3"/>
  <c r="D431" i="3"/>
  <c r="C432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8" i="3"/>
  <c r="M528" i="3" s="1"/>
  <c r="D530" i="3"/>
  <c r="D531" i="3"/>
  <c r="D532" i="3"/>
  <c r="D533" i="3"/>
  <c r="D538" i="3"/>
  <c r="D539" i="3"/>
  <c r="D540" i="3"/>
  <c r="D541" i="3"/>
  <c r="D542" i="3"/>
  <c r="D543" i="3"/>
  <c r="D544" i="3"/>
  <c r="M545" i="3" s="1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M562" i="3" s="1"/>
  <c r="D571" i="3"/>
  <c r="D572" i="3"/>
  <c r="D573" i="3"/>
  <c r="D574" i="3"/>
  <c r="D575" i="3"/>
  <c r="D576" i="3"/>
  <c r="D577" i="3"/>
  <c r="D578" i="3"/>
  <c r="D579" i="3"/>
  <c r="D580" i="3"/>
  <c r="D581" i="3"/>
  <c r="D582" i="3"/>
  <c r="D583" i="3"/>
  <c r="D584" i="3"/>
  <c r="D585" i="3"/>
  <c r="D586" i="3"/>
  <c r="D587" i="3"/>
  <c r="D588" i="3"/>
  <c r="D589" i="3"/>
  <c r="D590" i="3"/>
  <c r="D591" i="3"/>
  <c r="D592" i="3"/>
  <c r="D593" i="3"/>
  <c r="D594" i="3"/>
  <c r="D595" i="3"/>
  <c r="D596" i="3"/>
  <c r="D597" i="3"/>
  <c r="D598" i="3"/>
  <c r="D599" i="3"/>
  <c r="D600" i="3"/>
  <c r="D601" i="3"/>
  <c r="D602" i="3"/>
  <c r="D603" i="3"/>
  <c r="D604" i="3"/>
  <c r="D605" i="3"/>
  <c r="D606" i="3"/>
  <c r="D607" i="3"/>
  <c r="D608" i="3"/>
  <c r="D609" i="3"/>
  <c r="D610" i="3"/>
  <c r="D611" i="3"/>
  <c r="D612" i="3"/>
  <c r="D613" i="3"/>
  <c r="D614" i="3"/>
  <c r="D615" i="3"/>
  <c r="D616" i="3"/>
  <c r="D617" i="3"/>
  <c r="D618" i="3"/>
  <c r="D619" i="3"/>
  <c r="D620" i="3"/>
  <c r="D621" i="3"/>
  <c r="D622" i="3"/>
  <c r="D623" i="3"/>
  <c r="D624" i="3"/>
  <c r="D625" i="3"/>
  <c r="D626" i="3"/>
  <c r="D627" i="3"/>
  <c r="D628" i="3"/>
  <c r="D629" i="3"/>
  <c r="D630" i="3"/>
  <c r="D631" i="3"/>
  <c r="D632" i="3"/>
  <c r="D633" i="3"/>
  <c r="D634" i="3"/>
  <c r="D635" i="3"/>
  <c r="D636" i="3"/>
  <c r="D637" i="3"/>
  <c r="D638" i="3"/>
  <c r="D639" i="3"/>
  <c r="D640" i="3"/>
  <c r="D641" i="3"/>
  <c r="D642" i="3"/>
  <c r="D643" i="3"/>
  <c r="D644" i="3"/>
  <c r="D645" i="3"/>
  <c r="D646" i="3"/>
  <c r="D647" i="3"/>
  <c r="D648" i="3"/>
  <c r="D649" i="3"/>
  <c r="D650" i="3"/>
  <c r="D651" i="3"/>
  <c r="D652" i="3"/>
  <c r="D653" i="3"/>
  <c r="D654" i="3"/>
  <c r="D655" i="3"/>
  <c r="D656" i="3"/>
  <c r="D657" i="3"/>
  <c r="D658" i="3"/>
  <c r="D659" i="3"/>
  <c r="D660" i="3"/>
  <c r="D216" i="3"/>
  <c r="C216" i="3"/>
  <c r="BQ211" i="3"/>
  <c r="H211" i="3" s="1"/>
  <c r="BQ210" i="3"/>
  <c r="H210" i="3" s="1"/>
  <c r="BQ209" i="3"/>
  <c r="H209" i="3" s="1"/>
  <c r="BQ208" i="3"/>
  <c r="H208" i="3" s="1"/>
  <c r="BQ207" i="3"/>
  <c r="H207" i="3" s="1"/>
  <c r="BQ165" i="3"/>
  <c r="H165" i="3" s="1"/>
  <c r="BQ164" i="3"/>
  <c r="H164" i="3" s="1"/>
  <c r="BQ163" i="3"/>
  <c r="H163" i="3" s="1"/>
  <c r="BQ162" i="3"/>
  <c r="H162" i="3" s="1"/>
  <c r="BQ161" i="3"/>
  <c r="H161" i="3" s="1"/>
  <c r="S52" i="3"/>
  <c r="S51" i="3"/>
  <c r="S50" i="3"/>
  <c r="S49" i="3"/>
  <c r="S48" i="3"/>
  <c r="S47" i="3"/>
  <c r="S46" i="3"/>
  <c r="S45" i="3"/>
  <c r="S44" i="3"/>
  <c r="S43" i="3"/>
  <c r="S42" i="3"/>
  <c r="S41" i="3"/>
  <c r="S40" i="3"/>
  <c r="S39" i="3"/>
  <c r="S38" i="3"/>
  <c r="S37" i="3"/>
  <c r="C39" i="3"/>
  <c r="D39" i="3"/>
  <c r="F39" i="3"/>
  <c r="C40" i="3"/>
  <c r="D40" i="3"/>
  <c r="F40" i="3"/>
  <c r="C41" i="3"/>
  <c r="D41" i="3"/>
  <c r="F41" i="3"/>
  <c r="C42" i="3"/>
  <c r="D42" i="3"/>
  <c r="F42" i="3"/>
  <c r="C43" i="3"/>
  <c r="D43" i="3"/>
  <c r="F43" i="3"/>
  <c r="C44" i="3"/>
  <c r="D44" i="3"/>
  <c r="F44" i="3"/>
  <c r="C45" i="3"/>
  <c r="D45" i="3"/>
  <c r="F45" i="3"/>
  <c r="C46" i="3"/>
  <c r="D46" i="3"/>
  <c r="F46" i="3"/>
  <c r="C47" i="3"/>
  <c r="D47" i="3"/>
  <c r="F47" i="3"/>
  <c r="C48" i="3"/>
  <c r="D48" i="3"/>
  <c r="F48" i="3"/>
  <c r="C49" i="3"/>
  <c r="D49" i="3"/>
  <c r="F49" i="3"/>
  <c r="C50" i="3"/>
  <c r="D50" i="3"/>
  <c r="F50" i="3"/>
  <c r="C51" i="3"/>
  <c r="D51" i="3"/>
  <c r="F51" i="3"/>
  <c r="C52" i="3"/>
  <c r="D52" i="3"/>
  <c r="F52" i="3"/>
  <c r="AF48" i="3"/>
  <c r="AF47" i="3"/>
  <c r="AF46" i="3"/>
  <c r="AF45" i="3"/>
  <c r="AF44" i="3"/>
  <c r="AF43" i="3"/>
  <c r="AF42" i="3"/>
  <c r="AF52" i="3"/>
  <c r="AF49" i="3"/>
  <c r="AF41" i="3"/>
  <c r="AF51" i="3"/>
  <c r="S15" i="3"/>
  <c r="S26" i="3"/>
  <c r="S25" i="3"/>
  <c r="F23" i="3"/>
  <c r="D23" i="3"/>
  <c r="C23" i="3"/>
  <c r="S20" i="3"/>
  <c r="S19" i="3"/>
  <c r="S17" i="3"/>
  <c r="S16" i="3"/>
  <c r="F14" i="3"/>
  <c r="D14" i="3"/>
  <c r="C14" i="3"/>
  <c r="C12" i="3"/>
  <c r="D12" i="3"/>
  <c r="F12" i="3"/>
  <c r="C13" i="3"/>
  <c r="D13" i="3"/>
  <c r="F13" i="3"/>
  <c r="C15" i="3"/>
  <c r="D15" i="3"/>
  <c r="F15" i="3"/>
  <c r="C16" i="3"/>
  <c r="D16" i="3"/>
  <c r="F16" i="3"/>
  <c r="C17" i="3"/>
  <c r="D17" i="3"/>
  <c r="F17" i="3"/>
  <c r="C18" i="3"/>
  <c r="D18" i="3"/>
  <c r="F18" i="3"/>
  <c r="C19" i="3"/>
  <c r="L20" i="3" s="1"/>
  <c r="D19" i="3"/>
  <c r="F19" i="3"/>
  <c r="D20" i="3"/>
  <c r="F20" i="3"/>
  <c r="C21" i="3"/>
  <c r="D21" i="3"/>
  <c r="F21" i="3"/>
  <c r="C22" i="3"/>
  <c r="D22" i="3"/>
  <c r="F22" i="3"/>
  <c r="C24" i="3"/>
  <c r="D24" i="3"/>
  <c r="F24" i="3"/>
  <c r="C25" i="3"/>
  <c r="D25" i="3"/>
  <c r="F25" i="3"/>
  <c r="C26" i="3"/>
  <c r="D26" i="3"/>
  <c r="F26" i="3"/>
  <c r="C27" i="3"/>
  <c r="D27" i="3"/>
  <c r="F27" i="3"/>
  <c r="C28" i="3"/>
  <c r="D28" i="3"/>
  <c r="F28" i="3"/>
  <c r="C29" i="3"/>
  <c r="D29" i="3"/>
  <c r="F29" i="3"/>
  <c r="C30" i="3"/>
  <c r="D30" i="3"/>
  <c r="F30" i="3"/>
  <c r="C31" i="3"/>
  <c r="D31" i="3"/>
  <c r="F31" i="3"/>
  <c r="C32" i="3"/>
  <c r="D32" i="3"/>
  <c r="F32" i="3"/>
  <c r="C33" i="3"/>
  <c r="D33" i="3"/>
  <c r="F33" i="3"/>
  <c r="C34" i="3"/>
  <c r="D34" i="3"/>
  <c r="F34" i="3"/>
  <c r="C35" i="3"/>
  <c r="D35" i="3"/>
  <c r="F35" i="3"/>
  <c r="C36" i="3"/>
  <c r="D36" i="3"/>
  <c r="F36" i="3"/>
  <c r="C37" i="3"/>
  <c r="D37" i="3"/>
  <c r="F37" i="3"/>
  <c r="O38" i="3" s="1"/>
  <c r="C38" i="3"/>
  <c r="D38" i="3"/>
  <c r="C53" i="3"/>
  <c r="D53" i="3"/>
  <c r="F53" i="3"/>
  <c r="C54" i="3"/>
  <c r="D54" i="3"/>
  <c r="F54" i="3"/>
  <c r="C55" i="3"/>
  <c r="D55" i="3"/>
  <c r="F55" i="3"/>
  <c r="C56" i="3"/>
  <c r="D56" i="3"/>
  <c r="F56" i="3"/>
  <c r="C57" i="3"/>
  <c r="D57" i="3"/>
  <c r="F57" i="3"/>
  <c r="C58" i="3"/>
  <c r="D58" i="3"/>
  <c r="F58" i="3"/>
  <c r="C59" i="3"/>
  <c r="D59" i="3"/>
  <c r="F59" i="3"/>
  <c r="C60" i="3"/>
  <c r="D60" i="3"/>
  <c r="F60" i="3"/>
  <c r="C61" i="3"/>
  <c r="D61" i="3"/>
  <c r="F61" i="3"/>
  <c r="C62" i="3"/>
  <c r="D62" i="3"/>
  <c r="F62" i="3"/>
  <c r="C63" i="3"/>
  <c r="D63" i="3"/>
  <c r="F63" i="3"/>
  <c r="C64" i="3"/>
  <c r="D64" i="3"/>
  <c r="F64" i="3"/>
  <c r="C65" i="3"/>
  <c r="D65" i="3"/>
  <c r="F65" i="3"/>
  <c r="C66" i="3"/>
  <c r="D66" i="3"/>
  <c r="F66" i="3"/>
  <c r="C67" i="3"/>
  <c r="D67" i="3"/>
  <c r="F67" i="3"/>
  <c r="C68" i="3"/>
  <c r="D68" i="3"/>
  <c r="F68" i="3"/>
  <c r="C69" i="3"/>
  <c r="D69" i="3"/>
  <c r="F69" i="3"/>
  <c r="C70" i="3"/>
  <c r="D70" i="3"/>
  <c r="F70" i="3"/>
  <c r="C71" i="3"/>
  <c r="D71" i="3"/>
  <c r="F71" i="3"/>
  <c r="C72" i="3"/>
  <c r="D72" i="3"/>
  <c r="F72" i="3"/>
  <c r="C73" i="3"/>
  <c r="D73" i="3"/>
  <c r="F73" i="3"/>
  <c r="C74" i="3"/>
  <c r="D74" i="3"/>
  <c r="F74" i="3"/>
  <c r="C75" i="3"/>
  <c r="D75" i="3"/>
  <c r="F75" i="3"/>
  <c r="C76" i="3"/>
  <c r="D76" i="3"/>
  <c r="F76" i="3"/>
  <c r="C77" i="3"/>
  <c r="D77" i="3"/>
  <c r="F77" i="3"/>
  <c r="C78" i="3"/>
  <c r="D78" i="3"/>
  <c r="F78" i="3"/>
  <c r="C79" i="3"/>
  <c r="D79" i="3"/>
  <c r="F79" i="3"/>
  <c r="C80" i="3"/>
  <c r="D80" i="3"/>
  <c r="F80" i="3"/>
  <c r="C81" i="3"/>
  <c r="D81" i="3"/>
  <c r="F81" i="3"/>
  <c r="C82" i="3"/>
  <c r="D82" i="3"/>
  <c r="F82" i="3"/>
  <c r="C83" i="3"/>
  <c r="D83" i="3"/>
  <c r="F83" i="3"/>
  <c r="C84" i="3"/>
  <c r="D84" i="3"/>
  <c r="F84" i="3"/>
  <c r="C85" i="3"/>
  <c r="D85" i="3"/>
  <c r="F85" i="3"/>
  <c r="C86" i="3"/>
  <c r="D86" i="3"/>
  <c r="F86" i="3"/>
  <c r="C87" i="3"/>
  <c r="D87" i="3"/>
  <c r="F87" i="3"/>
  <c r="C88" i="3"/>
  <c r="D88" i="3"/>
  <c r="F88" i="3"/>
  <c r="C89" i="3"/>
  <c r="D89" i="3"/>
  <c r="F89" i="3"/>
  <c r="C90" i="3"/>
  <c r="D90" i="3"/>
  <c r="F90" i="3"/>
  <c r="C91" i="3"/>
  <c r="D91" i="3"/>
  <c r="F91" i="3"/>
  <c r="C92" i="3"/>
  <c r="D92" i="3"/>
  <c r="F92" i="3"/>
  <c r="D93" i="3"/>
  <c r="F93" i="3"/>
  <c r="C94" i="3"/>
  <c r="D94" i="3"/>
  <c r="F94" i="3"/>
  <c r="C95" i="3"/>
  <c r="D95" i="3"/>
  <c r="F95" i="3"/>
  <c r="C96" i="3"/>
  <c r="D96" i="3"/>
  <c r="F96" i="3"/>
  <c r="C97" i="3"/>
  <c r="D97" i="3"/>
  <c r="F97" i="3"/>
  <c r="C98" i="3"/>
  <c r="D98" i="3"/>
  <c r="F98" i="3"/>
  <c r="C99" i="3"/>
  <c r="D99" i="3"/>
  <c r="F99" i="3"/>
  <c r="C100" i="3"/>
  <c r="D100" i="3"/>
  <c r="F100" i="3"/>
  <c r="C101" i="3"/>
  <c r="D101" i="3"/>
  <c r="F101" i="3"/>
  <c r="C102" i="3"/>
  <c r="D102" i="3"/>
  <c r="F102" i="3"/>
  <c r="C103" i="3"/>
  <c r="D103" i="3"/>
  <c r="F103" i="3"/>
  <c r="C104" i="3"/>
  <c r="D104" i="3"/>
  <c r="F104" i="3"/>
  <c r="C105" i="3"/>
  <c r="D105" i="3"/>
  <c r="F105" i="3"/>
  <c r="C106" i="3"/>
  <c r="D106" i="3"/>
  <c r="F106" i="3"/>
  <c r="C107" i="3"/>
  <c r="D107" i="3"/>
  <c r="F107" i="3"/>
  <c r="C108" i="3"/>
  <c r="D108" i="3"/>
  <c r="F108" i="3"/>
  <c r="C109" i="3"/>
  <c r="D109" i="3"/>
  <c r="F109" i="3"/>
  <c r="C110" i="3"/>
  <c r="D110" i="3"/>
  <c r="F110" i="3"/>
  <c r="C111" i="3"/>
  <c r="D111" i="3"/>
  <c r="F111" i="3"/>
  <c r="C112" i="3"/>
  <c r="D112" i="3"/>
  <c r="F112" i="3"/>
  <c r="C113" i="3"/>
  <c r="D113" i="3"/>
  <c r="F113" i="3"/>
  <c r="C114" i="3"/>
  <c r="D114" i="3"/>
  <c r="F114" i="3"/>
  <c r="C115" i="3"/>
  <c r="D115" i="3"/>
  <c r="F115" i="3"/>
  <c r="C116" i="3"/>
  <c r="D116" i="3"/>
  <c r="F116" i="3"/>
  <c r="C117" i="3"/>
  <c r="D117" i="3"/>
  <c r="F117" i="3"/>
  <c r="C118" i="3"/>
  <c r="D118" i="3"/>
  <c r="F118" i="3"/>
  <c r="C119" i="3"/>
  <c r="D119" i="3"/>
  <c r="F119" i="3"/>
  <c r="C120" i="3"/>
  <c r="D120" i="3"/>
  <c r="F120" i="3"/>
  <c r="C121" i="3"/>
  <c r="D121" i="3"/>
  <c r="F121" i="3"/>
  <c r="C122" i="3"/>
  <c r="D122" i="3"/>
  <c r="F122" i="3"/>
  <c r="C123" i="3"/>
  <c r="D123" i="3"/>
  <c r="F123" i="3"/>
  <c r="C124" i="3"/>
  <c r="D124" i="3"/>
  <c r="F124" i="3"/>
  <c r="C125" i="3"/>
  <c r="D125" i="3"/>
  <c r="F125" i="3"/>
  <c r="C126" i="3"/>
  <c r="D126" i="3"/>
  <c r="F126" i="3"/>
  <c r="C127" i="3"/>
  <c r="D127" i="3"/>
  <c r="F127" i="3"/>
  <c r="C128" i="3"/>
  <c r="D128" i="3"/>
  <c r="F128" i="3"/>
  <c r="C129" i="3"/>
  <c r="D129" i="3"/>
  <c r="F129" i="3"/>
  <c r="C130" i="3"/>
  <c r="F130" i="3"/>
  <c r="C131" i="3"/>
  <c r="D131" i="3"/>
  <c r="F131" i="3"/>
  <c r="C132" i="3"/>
  <c r="D132" i="3"/>
  <c r="F132" i="3"/>
  <c r="C133" i="3"/>
  <c r="D133" i="3"/>
  <c r="F133" i="3"/>
  <c r="C134" i="3"/>
  <c r="F134" i="3"/>
  <c r="C135" i="3"/>
  <c r="F135" i="3"/>
  <c r="C136" i="3"/>
  <c r="D136" i="3"/>
  <c r="F136" i="3"/>
  <c r="C137" i="3"/>
  <c r="D137" i="3"/>
  <c r="F137" i="3"/>
  <c r="C138" i="3"/>
  <c r="D138" i="3"/>
  <c r="F138" i="3"/>
  <c r="C139" i="3"/>
  <c r="D139" i="3"/>
  <c r="F139" i="3"/>
  <c r="C140" i="3"/>
  <c r="D140" i="3"/>
  <c r="F140" i="3"/>
  <c r="C141" i="3"/>
  <c r="D141" i="3"/>
  <c r="F141" i="3"/>
  <c r="C142" i="3"/>
  <c r="D142" i="3"/>
  <c r="F142" i="3"/>
  <c r="C143" i="3"/>
  <c r="D143" i="3"/>
  <c r="F143" i="3"/>
  <c r="C144" i="3"/>
  <c r="D144" i="3"/>
  <c r="F144" i="3"/>
  <c r="C145" i="3"/>
  <c r="D145" i="3"/>
  <c r="F145" i="3"/>
  <c r="C146" i="3"/>
  <c r="D146" i="3"/>
  <c r="F146" i="3"/>
  <c r="C147" i="3"/>
  <c r="D147" i="3"/>
  <c r="F147" i="3"/>
  <c r="C148" i="3"/>
  <c r="D148" i="3"/>
  <c r="F148" i="3"/>
  <c r="O149" i="3" s="1"/>
  <c r="C149" i="3"/>
  <c r="D149" i="3"/>
  <c r="F149" i="3"/>
  <c r="C150" i="3"/>
  <c r="D150" i="3"/>
  <c r="F150" i="3"/>
  <c r="C151" i="3"/>
  <c r="D151" i="3"/>
  <c r="F151" i="3"/>
  <c r="C152" i="3"/>
  <c r="D152" i="3"/>
  <c r="F152" i="3"/>
  <c r="C153" i="3"/>
  <c r="D153" i="3"/>
  <c r="F153" i="3"/>
  <c r="C154" i="3"/>
  <c r="D154" i="3"/>
  <c r="F154" i="3"/>
  <c r="C155" i="3"/>
  <c r="D155" i="3"/>
  <c r="F155" i="3"/>
  <c r="C156" i="3"/>
  <c r="D156" i="3"/>
  <c r="F156" i="3"/>
  <c r="C157" i="3"/>
  <c r="D157" i="3"/>
  <c r="F157" i="3"/>
  <c r="C158" i="3"/>
  <c r="D158" i="3"/>
  <c r="F158" i="3"/>
  <c r="C159" i="3"/>
  <c r="D159" i="3"/>
  <c r="F159" i="3"/>
  <c r="C160" i="3"/>
  <c r="D160" i="3"/>
  <c r="F160" i="3"/>
  <c r="C161" i="3"/>
  <c r="D161" i="3"/>
  <c r="F161" i="3"/>
  <c r="C162" i="3"/>
  <c r="D162" i="3"/>
  <c r="F162" i="3"/>
  <c r="C163" i="3"/>
  <c r="D163" i="3"/>
  <c r="F163" i="3"/>
  <c r="C164" i="3"/>
  <c r="D164" i="3"/>
  <c r="F164" i="3"/>
  <c r="C165" i="3"/>
  <c r="D165" i="3"/>
  <c r="F165" i="3"/>
  <c r="C166" i="3"/>
  <c r="D166" i="3"/>
  <c r="C167" i="3"/>
  <c r="D167" i="3"/>
  <c r="C168" i="3"/>
  <c r="D168" i="3"/>
  <c r="C169" i="3"/>
  <c r="D169" i="3"/>
  <c r="C170" i="3"/>
  <c r="D170" i="3"/>
  <c r="C171" i="3"/>
  <c r="D171" i="3"/>
  <c r="C172" i="3"/>
  <c r="D172" i="3"/>
  <c r="C173" i="3"/>
  <c r="D173" i="3"/>
  <c r="C174" i="3"/>
  <c r="D174" i="3"/>
  <c r="C175" i="3"/>
  <c r="D175" i="3"/>
  <c r="C176" i="3"/>
  <c r="D176" i="3"/>
  <c r="C177" i="3"/>
  <c r="D177" i="3"/>
  <c r="C178" i="3"/>
  <c r="D178" i="3"/>
  <c r="C179" i="3"/>
  <c r="D179" i="3"/>
  <c r="C180" i="3"/>
  <c r="D180" i="3"/>
  <c r="C181" i="3"/>
  <c r="D181" i="3"/>
  <c r="C182" i="3"/>
  <c r="D182" i="3"/>
  <c r="C183" i="3"/>
  <c r="D183" i="3"/>
  <c r="C184" i="3"/>
  <c r="D184" i="3"/>
  <c r="C186" i="3"/>
  <c r="D186" i="3"/>
  <c r="C187" i="3"/>
  <c r="D187" i="3"/>
  <c r="C188" i="3"/>
  <c r="D188" i="3"/>
  <c r="C189" i="3"/>
  <c r="D189" i="3"/>
  <c r="C190" i="3"/>
  <c r="D190" i="3"/>
  <c r="C191" i="3"/>
  <c r="D191" i="3"/>
  <c r="C192" i="3"/>
  <c r="D192" i="3"/>
  <c r="C193" i="3"/>
  <c r="D193" i="3"/>
  <c r="C194" i="3"/>
  <c r="D194" i="3"/>
  <c r="C195" i="3"/>
  <c r="D195" i="3"/>
  <c r="C196" i="3"/>
  <c r="D196" i="3"/>
  <c r="C197" i="3"/>
  <c r="D197" i="3"/>
  <c r="C198" i="3"/>
  <c r="D198" i="3"/>
  <c r="C199" i="3"/>
  <c r="D199" i="3"/>
  <c r="C200" i="3"/>
  <c r="D200" i="3"/>
  <c r="C201" i="3"/>
  <c r="D201" i="3"/>
  <c r="C202" i="3"/>
  <c r="D202" i="3"/>
  <c r="C203" i="3"/>
  <c r="D203" i="3"/>
  <c r="C204" i="3"/>
  <c r="D204" i="3"/>
  <c r="C205" i="3"/>
  <c r="D205" i="3"/>
  <c r="C206" i="3"/>
  <c r="D206" i="3"/>
  <c r="C207" i="3"/>
  <c r="D207" i="3"/>
  <c r="C208" i="3"/>
  <c r="D208" i="3"/>
  <c r="C209" i="3"/>
  <c r="D209" i="3"/>
  <c r="C210" i="3"/>
  <c r="D210" i="3"/>
  <c r="C211" i="3"/>
  <c r="D211" i="3"/>
  <c r="C212" i="3"/>
  <c r="D212" i="3"/>
  <c r="C213" i="3"/>
  <c r="D213" i="3"/>
  <c r="C214" i="3"/>
  <c r="D214" i="3"/>
  <c r="C215" i="3"/>
  <c r="D215" i="3"/>
  <c r="F304" i="3"/>
  <c r="F305" i="3"/>
  <c r="F306" i="3"/>
  <c r="F307" i="3"/>
  <c r="F308" i="3"/>
  <c r="F309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O329" i="3" s="1"/>
  <c r="F330" i="3"/>
  <c r="F331" i="3"/>
  <c r="F332" i="3"/>
  <c r="F333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80" i="3"/>
  <c r="F381" i="3"/>
  <c r="F38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30" i="3"/>
  <c r="F531" i="3"/>
  <c r="F532" i="3"/>
  <c r="F533" i="3"/>
  <c r="F538" i="3"/>
  <c r="F539" i="3"/>
  <c r="R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O562" i="3" s="1"/>
  <c r="P562" i="3"/>
  <c r="R562" i="3"/>
  <c r="T562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T11" i="3"/>
  <c r="R11" i="3"/>
  <c r="Q11" i="3"/>
  <c r="P11" i="3"/>
  <c r="F11" i="3"/>
  <c r="D11" i="3"/>
  <c r="M11" i="3" s="1"/>
  <c r="C11" i="3"/>
  <c r="L11" i="3" s="1"/>
  <c r="AF578" i="3"/>
  <c r="AF560" i="3"/>
  <c r="AF553" i="3"/>
  <c r="AF52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67" i="3"/>
  <c r="S168" i="3"/>
  <c r="S169" i="3"/>
  <c r="S170" i="3"/>
  <c r="S171" i="3"/>
  <c r="S172" i="3"/>
  <c r="S173" i="3"/>
  <c r="S174" i="3"/>
  <c r="S175" i="3"/>
  <c r="S176" i="3"/>
  <c r="S177" i="3"/>
  <c r="S100" i="3"/>
  <c r="AF104" i="3"/>
  <c r="AF101" i="3"/>
  <c r="AF12" i="3"/>
  <c r="AF13" i="3"/>
  <c r="AF15" i="3"/>
  <c r="AF16" i="3"/>
  <c r="AF17" i="3"/>
  <c r="AF18" i="3"/>
  <c r="AF19" i="3"/>
  <c r="AF20" i="3"/>
  <c r="AF21" i="3"/>
  <c r="AF22" i="3"/>
  <c r="AF24" i="3"/>
  <c r="AF25" i="3"/>
  <c r="AF26" i="3"/>
  <c r="AF27" i="3"/>
  <c r="AF28" i="3"/>
  <c r="AF29" i="3"/>
  <c r="AF30" i="3"/>
  <c r="AF31" i="3"/>
  <c r="AF32" i="3"/>
  <c r="AF33" i="3"/>
  <c r="AF34" i="3"/>
  <c r="AF36" i="3"/>
  <c r="AF37" i="3"/>
  <c r="AF38" i="3"/>
  <c r="AF39" i="3"/>
  <c r="AF40" i="3"/>
  <c r="AF50" i="3"/>
  <c r="AF53" i="3"/>
  <c r="AF54" i="3"/>
  <c r="AF55" i="3"/>
  <c r="AF56" i="3"/>
  <c r="AF57" i="3"/>
  <c r="AF58" i="3"/>
  <c r="AF59" i="3"/>
  <c r="AF60" i="3"/>
  <c r="AF61" i="3"/>
  <c r="AF62" i="3"/>
  <c r="AF63" i="3"/>
  <c r="AF64" i="3"/>
  <c r="AF65" i="3"/>
  <c r="AF66" i="3"/>
  <c r="AF67" i="3"/>
  <c r="AF68" i="3"/>
  <c r="AF69" i="3"/>
  <c r="AF70" i="3"/>
  <c r="AF71" i="3"/>
  <c r="AF72" i="3"/>
  <c r="AF73" i="3"/>
  <c r="AF74" i="3"/>
  <c r="AF75" i="3"/>
  <c r="AF76" i="3"/>
  <c r="AF77" i="3"/>
  <c r="AF78" i="3"/>
  <c r="AF79" i="3"/>
  <c r="AF80" i="3"/>
  <c r="AF81" i="3"/>
  <c r="AF82" i="3"/>
  <c r="AF83" i="3"/>
  <c r="AF84" i="3"/>
  <c r="AF85" i="3"/>
  <c r="AF86" i="3"/>
  <c r="AF87" i="3"/>
  <c r="AF88" i="3"/>
  <c r="AF89" i="3"/>
  <c r="AF90" i="3"/>
  <c r="AF91" i="3"/>
  <c r="AF92" i="3"/>
  <c r="AF93" i="3"/>
  <c r="AF94" i="3"/>
  <c r="AF95" i="3"/>
  <c r="AF96" i="3"/>
  <c r="AF97" i="3"/>
  <c r="AF98" i="3"/>
  <c r="AF99" i="3"/>
  <c r="AF100" i="3"/>
  <c r="AF103" i="3"/>
  <c r="AF106" i="3"/>
  <c r="AF107" i="3"/>
  <c r="AF108" i="3"/>
  <c r="AF109" i="3"/>
  <c r="AF110" i="3"/>
  <c r="AF111" i="3"/>
  <c r="AF112" i="3"/>
  <c r="AF113" i="3"/>
  <c r="AF114" i="3"/>
  <c r="AF115" i="3"/>
  <c r="AF116" i="3"/>
  <c r="AF117" i="3"/>
  <c r="AF118" i="3"/>
  <c r="AF119" i="3"/>
  <c r="AF120" i="3"/>
  <c r="AF121" i="3"/>
  <c r="AF122" i="3"/>
  <c r="AF123" i="3"/>
  <c r="AF124" i="3"/>
  <c r="AF125" i="3"/>
  <c r="AF126" i="3"/>
  <c r="AF127" i="3"/>
  <c r="AF128" i="3"/>
  <c r="AF129" i="3"/>
  <c r="AF130" i="3"/>
  <c r="AF131" i="3"/>
  <c r="AF132" i="3"/>
  <c r="AF133" i="3"/>
  <c r="AF134" i="3"/>
  <c r="AF135" i="3"/>
  <c r="AF136" i="3"/>
  <c r="AF137" i="3"/>
  <c r="AF138" i="3"/>
  <c r="AF139" i="3"/>
  <c r="AF140" i="3"/>
  <c r="AF141" i="3"/>
  <c r="AF142" i="3"/>
  <c r="AF143" i="3"/>
  <c r="AF144" i="3"/>
  <c r="AF145" i="3"/>
  <c r="AF146" i="3"/>
  <c r="AF147" i="3"/>
  <c r="AF148" i="3"/>
  <c r="AF149" i="3"/>
  <c r="AF150" i="3"/>
  <c r="AF151" i="3"/>
  <c r="AF152" i="3"/>
  <c r="AF153" i="3"/>
  <c r="AF154" i="3"/>
  <c r="AF155" i="3"/>
  <c r="AF156" i="3"/>
  <c r="AF157" i="3"/>
  <c r="AF158" i="3"/>
  <c r="AF159" i="3"/>
  <c r="AF160" i="3"/>
  <c r="AF161" i="3"/>
  <c r="AF162" i="3"/>
  <c r="AF163" i="3"/>
  <c r="AF164" i="3"/>
  <c r="AF165" i="3"/>
  <c r="AF166" i="3"/>
  <c r="AF167" i="3"/>
  <c r="AF168" i="3"/>
  <c r="AF169" i="3"/>
  <c r="AF170" i="3"/>
  <c r="AF171" i="3"/>
  <c r="AF172" i="3"/>
  <c r="AF173" i="3"/>
  <c r="AF174" i="3"/>
  <c r="AF175" i="3"/>
  <c r="AF176" i="3"/>
  <c r="AF177" i="3"/>
  <c r="AF178" i="3"/>
  <c r="AF179" i="3"/>
  <c r="AF180" i="3"/>
  <c r="AF181" i="3"/>
  <c r="AF182" i="3"/>
  <c r="AF183" i="3"/>
  <c r="AF184" i="3"/>
  <c r="AF186" i="3"/>
  <c r="AF187" i="3"/>
  <c r="AF188" i="3"/>
  <c r="AF189" i="3"/>
  <c r="AF190" i="3"/>
  <c r="AF191" i="3"/>
  <c r="AF192" i="3"/>
  <c r="AF193" i="3"/>
  <c r="AF194" i="3"/>
  <c r="AF195" i="3"/>
  <c r="AF196" i="3"/>
  <c r="AF197" i="3"/>
  <c r="AF198" i="3"/>
  <c r="AF199" i="3"/>
  <c r="AF200" i="3"/>
  <c r="AF201" i="3"/>
  <c r="AF202" i="3"/>
  <c r="AF203" i="3"/>
  <c r="AF204" i="3"/>
  <c r="AF205" i="3"/>
  <c r="AF206" i="3"/>
  <c r="AF207" i="3"/>
  <c r="AF208" i="3"/>
  <c r="AF209" i="3"/>
  <c r="AF210" i="3"/>
  <c r="AF211" i="3"/>
  <c r="AF212" i="3"/>
  <c r="AF213" i="3"/>
  <c r="AF214" i="3"/>
  <c r="AF215" i="3"/>
  <c r="AF216" i="3"/>
  <c r="AF217" i="3"/>
  <c r="AF218" i="3"/>
  <c r="AF219" i="3"/>
  <c r="AF220" i="3"/>
  <c r="AF221" i="3"/>
  <c r="AF222" i="3"/>
  <c r="AF223" i="3"/>
  <c r="AF224" i="3"/>
  <c r="AF225" i="3"/>
  <c r="AF226" i="3"/>
  <c r="AF227" i="3"/>
  <c r="AF228" i="3"/>
  <c r="AF229" i="3"/>
  <c r="AF230" i="3"/>
  <c r="AF231" i="3"/>
  <c r="AF232" i="3"/>
  <c r="AF233" i="3"/>
  <c r="AF234" i="3"/>
  <c r="AF235" i="3"/>
  <c r="AF236" i="3"/>
  <c r="AF237" i="3"/>
  <c r="AF238" i="3"/>
  <c r="AF239" i="3"/>
  <c r="AF240" i="3"/>
  <c r="AF241" i="3"/>
  <c r="AF242" i="3"/>
  <c r="AF243" i="3"/>
  <c r="AF244" i="3"/>
  <c r="AF245" i="3"/>
  <c r="AF246" i="3"/>
  <c r="AF247" i="3"/>
  <c r="AF248" i="3"/>
  <c r="AF249" i="3"/>
  <c r="AF250" i="3"/>
  <c r="AF251" i="3"/>
  <c r="AF252" i="3"/>
  <c r="AF253" i="3"/>
  <c r="AF254" i="3"/>
  <c r="AF255" i="3"/>
  <c r="AF256" i="3"/>
  <c r="AF257" i="3"/>
  <c r="AF258" i="3"/>
  <c r="AF259" i="3"/>
  <c r="AF260" i="3"/>
  <c r="AF261" i="3"/>
  <c r="AF262" i="3"/>
  <c r="AF263" i="3"/>
  <c r="AF264" i="3"/>
  <c r="AF265" i="3"/>
  <c r="AF266" i="3"/>
  <c r="AF267" i="3"/>
  <c r="AF268" i="3"/>
  <c r="AF269" i="3"/>
  <c r="AF270" i="3"/>
  <c r="AF271" i="3"/>
  <c r="AF272" i="3"/>
  <c r="AF273" i="3"/>
  <c r="AF274" i="3"/>
  <c r="AF275" i="3"/>
  <c r="AF276" i="3"/>
  <c r="AF277" i="3"/>
  <c r="AF278" i="3"/>
  <c r="AF279" i="3"/>
  <c r="AF280" i="3"/>
  <c r="AF281" i="3"/>
  <c r="AF282" i="3"/>
  <c r="AF283" i="3"/>
  <c r="AF286" i="3"/>
  <c r="AF287" i="3"/>
  <c r="AF288" i="3"/>
  <c r="AF289" i="3"/>
  <c r="AF290" i="3"/>
  <c r="AF291" i="3"/>
  <c r="AF292" i="3"/>
  <c r="AF293" i="3"/>
  <c r="AF294" i="3"/>
  <c r="AF295" i="3"/>
  <c r="AF296" i="3"/>
  <c r="AF297" i="3"/>
  <c r="AF298" i="3"/>
  <c r="AF299" i="3"/>
  <c r="AF300" i="3"/>
  <c r="AF301" i="3"/>
  <c r="AF302" i="3"/>
  <c r="AF303" i="3"/>
  <c r="AF304" i="3"/>
  <c r="AF305" i="3"/>
  <c r="AF306" i="3"/>
  <c r="AF307" i="3"/>
  <c r="AF308" i="3"/>
  <c r="AF309" i="3"/>
  <c r="AF310" i="3"/>
  <c r="AF311" i="3"/>
  <c r="AF312" i="3"/>
  <c r="AF313" i="3"/>
  <c r="AF314" i="3"/>
  <c r="AF315" i="3"/>
  <c r="AF316" i="3"/>
  <c r="AF317" i="3"/>
  <c r="AF318" i="3"/>
  <c r="AF319" i="3"/>
  <c r="AF320" i="3"/>
  <c r="AF321" i="3"/>
  <c r="AF322" i="3"/>
  <c r="AF323" i="3"/>
  <c r="AF324" i="3"/>
  <c r="AF325" i="3"/>
  <c r="AF326" i="3"/>
  <c r="AF327" i="3"/>
  <c r="AF328" i="3"/>
  <c r="AF329" i="3"/>
  <c r="AF330" i="3"/>
  <c r="AF331" i="3"/>
  <c r="AF332" i="3"/>
  <c r="AF333" i="3"/>
  <c r="AF334" i="3"/>
  <c r="AF335" i="3"/>
  <c r="AF336" i="3"/>
  <c r="AF337" i="3"/>
  <c r="AF338" i="3"/>
  <c r="AF339" i="3"/>
  <c r="AF340" i="3"/>
  <c r="AF341" i="3"/>
  <c r="AF342" i="3"/>
  <c r="AF343" i="3"/>
  <c r="AF344" i="3"/>
  <c r="AF345" i="3"/>
  <c r="AF346" i="3"/>
  <c r="AF347" i="3"/>
  <c r="AF348" i="3"/>
  <c r="AF349" i="3"/>
  <c r="AF350" i="3"/>
  <c r="AF351" i="3"/>
  <c r="AF352" i="3"/>
  <c r="AF353" i="3"/>
  <c r="AF354" i="3"/>
  <c r="AF355" i="3"/>
  <c r="AF356" i="3"/>
  <c r="AF357" i="3"/>
  <c r="AF358" i="3"/>
  <c r="AF359" i="3"/>
  <c r="AF360" i="3"/>
  <c r="AF361" i="3"/>
  <c r="AF362" i="3"/>
  <c r="AF363" i="3"/>
  <c r="AF364" i="3"/>
  <c r="AF365" i="3"/>
  <c r="AF366" i="3"/>
  <c r="AF367" i="3"/>
  <c r="AF368" i="3"/>
  <c r="AF369" i="3"/>
  <c r="AF370" i="3"/>
  <c r="AF371" i="3"/>
  <c r="AF372" i="3"/>
  <c r="AF373" i="3"/>
  <c r="AF374" i="3"/>
  <c r="AF375" i="3"/>
  <c r="AF376" i="3"/>
  <c r="AF378" i="3"/>
  <c r="AF379" i="3"/>
  <c r="AF380" i="3"/>
  <c r="AF381" i="3"/>
  <c r="AF382" i="3"/>
  <c r="AF383" i="3"/>
  <c r="AF384" i="3"/>
  <c r="AF385" i="3"/>
  <c r="AF386" i="3"/>
  <c r="AF387" i="3"/>
  <c r="AF388" i="3"/>
  <c r="AF389" i="3"/>
  <c r="AF390" i="3"/>
  <c r="AF391" i="3"/>
  <c r="AF392" i="3"/>
  <c r="AF393" i="3"/>
  <c r="AF394" i="3"/>
  <c r="AF395" i="3"/>
  <c r="AF396" i="3"/>
  <c r="AF397" i="3"/>
  <c r="AF398" i="3"/>
  <c r="AF399" i="3"/>
  <c r="AF400" i="3"/>
  <c r="AF401" i="3"/>
  <c r="AF402" i="3"/>
  <c r="AF403" i="3"/>
  <c r="AF404" i="3"/>
  <c r="AF405" i="3"/>
  <c r="AF406" i="3"/>
  <c r="AF407" i="3"/>
  <c r="AF408" i="3"/>
  <c r="AF409" i="3"/>
  <c r="AF410" i="3"/>
  <c r="AF411" i="3"/>
  <c r="AF412" i="3"/>
  <c r="AF413" i="3"/>
  <c r="AF414" i="3"/>
  <c r="AF415" i="3"/>
  <c r="AF416" i="3"/>
  <c r="AF417" i="3"/>
  <c r="AF418" i="3"/>
  <c r="AF419" i="3"/>
  <c r="AF420" i="3"/>
  <c r="AF421" i="3"/>
  <c r="AF422" i="3"/>
  <c r="AF423" i="3"/>
  <c r="AF424" i="3"/>
  <c r="AF425" i="3"/>
  <c r="AF426" i="3"/>
  <c r="AF427" i="3"/>
  <c r="AF428" i="3"/>
  <c r="AF429" i="3"/>
  <c r="AF430" i="3"/>
  <c r="AF431" i="3"/>
  <c r="AF432" i="3"/>
  <c r="AF433" i="3"/>
  <c r="AF434" i="3"/>
  <c r="AF435" i="3"/>
  <c r="AF436" i="3"/>
  <c r="AF437" i="3"/>
  <c r="AF438" i="3"/>
  <c r="AF439" i="3"/>
  <c r="AF440" i="3"/>
  <c r="AF441" i="3"/>
  <c r="AF442" i="3"/>
  <c r="AF443" i="3"/>
  <c r="AF444" i="3"/>
  <c r="AF445" i="3"/>
  <c r="AF446" i="3"/>
  <c r="AF447" i="3"/>
  <c r="AF448" i="3"/>
  <c r="AF449" i="3"/>
  <c r="AF450" i="3"/>
  <c r="AF451" i="3"/>
  <c r="AF452" i="3"/>
  <c r="AF453" i="3"/>
  <c r="AF454" i="3"/>
  <c r="AF455" i="3"/>
  <c r="AF456" i="3"/>
  <c r="AF457" i="3"/>
  <c r="AF458" i="3"/>
  <c r="AF459" i="3"/>
  <c r="AF460" i="3"/>
  <c r="AF461" i="3"/>
  <c r="AF462" i="3"/>
  <c r="AF463" i="3"/>
  <c r="AF464" i="3"/>
  <c r="AF465" i="3"/>
  <c r="AF466" i="3"/>
  <c r="AF467" i="3"/>
  <c r="AF468" i="3"/>
  <c r="AF469" i="3"/>
  <c r="AF470" i="3"/>
  <c r="AF471" i="3"/>
  <c r="AF472" i="3"/>
  <c r="AF473" i="3"/>
  <c r="AF474" i="3"/>
  <c r="AF475" i="3"/>
  <c r="AF476" i="3"/>
  <c r="AF477" i="3"/>
  <c r="AF478" i="3"/>
  <c r="AF479" i="3"/>
  <c r="AF480" i="3"/>
  <c r="AF481" i="3"/>
  <c r="AF482" i="3"/>
  <c r="AF483" i="3"/>
  <c r="AF484" i="3"/>
  <c r="AF485" i="3"/>
  <c r="AF486" i="3"/>
  <c r="AF487" i="3"/>
  <c r="AF488" i="3"/>
  <c r="AF489" i="3"/>
  <c r="AF490" i="3"/>
  <c r="AF491" i="3"/>
  <c r="AF492" i="3"/>
  <c r="AF493" i="3"/>
  <c r="AF494" i="3"/>
  <c r="AF495" i="3"/>
  <c r="AF496" i="3"/>
  <c r="AF497" i="3"/>
  <c r="AF498" i="3"/>
  <c r="AF499" i="3"/>
  <c r="AF500" i="3"/>
  <c r="AF501" i="3"/>
  <c r="AF502" i="3"/>
  <c r="AF503" i="3"/>
  <c r="AF504" i="3"/>
  <c r="AF505" i="3"/>
  <c r="AF506" i="3"/>
  <c r="AF507" i="3"/>
  <c r="AF508" i="3"/>
  <c r="AF509" i="3"/>
  <c r="AF510" i="3"/>
  <c r="AF511" i="3"/>
  <c r="AF512" i="3"/>
  <c r="AF513" i="3"/>
  <c r="AF514" i="3"/>
  <c r="AF515" i="3"/>
  <c r="AF516" i="3"/>
  <c r="AF517" i="3"/>
  <c r="AF518" i="3"/>
  <c r="AF519" i="3"/>
  <c r="AF520" i="3"/>
  <c r="AF521" i="3"/>
  <c r="AF522" i="3"/>
  <c r="AF523" i="3"/>
  <c r="AF524" i="3"/>
  <c r="AF525" i="3"/>
  <c r="AF528" i="3"/>
  <c r="AF529" i="3"/>
  <c r="AF530" i="3"/>
  <c r="AF531" i="3"/>
  <c r="AF532" i="3"/>
  <c r="AF533" i="3"/>
  <c r="AF538" i="3"/>
  <c r="AF539" i="3"/>
  <c r="AF540" i="3"/>
  <c r="AF541" i="3"/>
  <c r="AF542" i="3"/>
  <c r="AF543" i="3"/>
  <c r="AF544" i="3"/>
  <c r="AF545" i="3"/>
  <c r="AF546" i="3"/>
  <c r="AF547" i="3"/>
  <c r="AF548" i="3"/>
  <c r="AF549" i="3"/>
  <c r="AF550" i="3"/>
  <c r="AF551" i="3"/>
  <c r="AF552" i="3"/>
  <c r="AF555" i="3"/>
  <c r="AF556" i="3"/>
  <c r="AF557" i="3"/>
  <c r="AF558" i="3"/>
  <c r="AF559" i="3"/>
  <c r="AF562" i="3"/>
  <c r="AF563" i="3"/>
  <c r="AF565" i="3"/>
  <c r="AF566" i="3"/>
  <c r="AF567" i="3"/>
  <c r="AF568" i="3"/>
  <c r="AF569" i="3"/>
  <c r="AF570" i="3"/>
  <c r="AF571" i="3"/>
  <c r="AF572" i="3"/>
  <c r="AF573" i="3"/>
  <c r="AF574" i="3"/>
  <c r="AF575" i="3"/>
  <c r="AF576" i="3"/>
  <c r="AF577" i="3"/>
  <c r="AF580" i="3"/>
  <c r="AF581" i="3"/>
  <c r="AF582" i="3"/>
  <c r="AF583" i="3"/>
  <c r="AF584" i="3"/>
  <c r="AF585" i="3"/>
  <c r="AF586" i="3"/>
  <c r="AF587" i="3"/>
  <c r="AF588" i="3"/>
  <c r="AF589" i="3"/>
  <c r="AF590" i="3"/>
  <c r="AF591" i="3"/>
  <c r="AF592" i="3"/>
  <c r="AF593" i="3"/>
  <c r="AF594" i="3"/>
  <c r="AF595" i="3"/>
  <c r="AF596" i="3"/>
  <c r="AF597" i="3"/>
  <c r="AF598" i="3"/>
  <c r="AF599" i="3"/>
  <c r="AF600" i="3"/>
  <c r="AF601" i="3"/>
  <c r="AF602" i="3"/>
  <c r="AF603" i="3"/>
  <c r="AF604" i="3"/>
  <c r="AF605" i="3"/>
  <c r="AF606" i="3"/>
  <c r="AF607" i="3"/>
  <c r="AF608" i="3"/>
  <c r="AF609" i="3"/>
  <c r="AF610" i="3"/>
  <c r="AF611" i="3"/>
  <c r="AF612" i="3"/>
  <c r="AF613" i="3"/>
  <c r="AF614" i="3"/>
  <c r="AF615" i="3"/>
  <c r="AF616" i="3"/>
  <c r="AF617" i="3"/>
  <c r="AF618" i="3"/>
  <c r="AF619" i="3"/>
  <c r="AF620" i="3"/>
  <c r="AF621" i="3"/>
  <c r="AF622" i="3"/>
  <c r="AF623" i="3"/>
  <c r="AF624" i="3"/>
  <c r="AF625" i="3"/>
  <c r="AF626" i="3"/>
  <c r="AF627" i="3"/>
  <c r="AF628" i="3"/>
  <c r="AF629" i="3"/>
  <c r="AF630" i="3"/>
  <c r="AF631" i="3"/>
  <c r="AF632" i="3"/>
  <c r="AF633" i="3"/>
  <c r="AF634" i="3"/>
  <c r="AF635" i="3"/>
  <c r="AF636" i="3"/>
  <c r="AF637" i="3"/>
  <c r="AF638" i="3"/>
  <c r="AF639" i="3"/>
  <c r="AF640" i="3"/>
  <c r="AF641" i="3"/>
  <c r="AF642" i="3"/>
  <c r="AF643" i="3"/>
  <c r="AF644" i="3"/>
  <c r="AF645" i="3"/>
  <c r="AF646" i="3"/>
  <c r="AF647" i="3"/>
  <c r="AF648" i="3"/>
  <c r="AF649" i="3"/>
  <c r="AF650" i="3"/>
  <c r="AF651" i="3"/>
  <c r="AF652" i="3"/>
  <c r="AF653" i="3"/>
  <c r="AF654" i="3"/>
  <c r="AF655" i="3"/>
  <c r="AF656" i="3"/>
  <c r="AF657" i="3"/>
  <c r="AF658" i="3"/>
  <c r="AF659" i="3"/>
  <c r="AF660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81" i="3"/>
  <c r="S182" i="3"/>
  <c r="S183" i="3"/>
  <c r="S188" i="3"/>
  <c r="S189" i="3"/>
  <c r="S190" i="3"/>
  <c r="S194" i="3"/>
  <c r="S195" i="3"/>
  <c r="S196" i="3"/>
  <c r="S197" i="3"/>
  <c r="S198" i="3"/>
  <c r="S199" i="3"/>
  <c r="S200" i="3"/>
  <c r="S201" i="3"/>
  <c r="S202" i="3"/>
  <c r="S203" i="3"/>
  <c r="S204" i="3"/>
  <c r="S205" i="3"/>
  <c r="S206" i="3"/>
  <c r="S213" i="3"/>
  <c r="S214" i="3"/>
  <c r="S215" i="3"/>
  <c r="S216" i="3"/>
  <c r="S217" i="3"/>
  <c r="S218" i="3"/>
  <c r="S219" i="3"/>
  <c r="S220" i="3"/>
  <c r="S221" i="3"/>
  <c r="S222" i="3"/>
  <c r="S223" i="3"/>
  <c r="S224" i="3"/>
  <c r="S225" i="3"/>
  <c r="S226" i="3"/>
  <c r="S227" i="3"/>
  <c r="S228" i="3"/>
  <c r="S229" i="3"/>
  <c r="S230" i="3"/>
  <c r="S231" i="3"/>
  <c r="S232" i="3"/>
  <c r="S233" i="3"/>
  <c r="S234" i="3"/>
  <c r="S235" i="3"/>
  <c r="S236" i="3"/>
  <c r="S237" i="3"/>
  <c r="S238" i="3"/>
  <c r="S239" i="3"/>
  <c r="S240" i="3"/>
  <c r="S241" i="3"/>
  <c r="S242" i="3"/>
  <c r="S243" i="3"/>
  <c r="S244" i="3"/>
  <c r="S245" i="3"/>
  <c r="S246" i="3"/>
  <c r="S247" i="3"/>
  <c r="S248" i="3"/>
  <c r="S249" i="3"/>
  <c r="S250" i="3"/>
  <c r="S251" i="3"/>
  <c r="S252" i="3"/>
  <c r="S253" i="3"/>
  <c r="S254" i="3"/>
  <c r="S255" i="3"/>
  <c r="S256" i="3"/>
  <c r="S257" i="3"/>
  <c r="S258" i="3"/>
  <c r="S259" i="3"/>
  <c r="S260" i="3"/>
  <c r="S261" i="3"/>
  <c r="S262" i="3"/>
  <c r="S263" i="3"/>
  <c r="S264" i="3"/>
  <c r="S265" i="3"/>
  <c r="S266" i="3"/>
  <c r="S267" i="3"/>
  <c r="S268" i="3"/>
  <c r="S269" i="3"/>
  <c r="S270" i="3"/>
  <c r="S271" i="3"/>
  <c r="S272" i="3"/>
  <c r="S273" i="3"/>
  <c r="S274" i="3"/>
  <c r="S275" i="3"/>
  <c r="S276" i="3"/>
  <c r="S277" i="3"/>
  <c r="S278" i="3"/>
  <c r="S279" i="3"/>
  <c r="S280" i="3"/>
  <c r="S281" i="3"/>
  <c r="S282" i="3"/>
  <c r="S283" i="3"/>
  <c r="AC283" i="3" s="1"/>
  <c r="S287" i="3"/>
  <c r="S288" i="3"/>
  <c r="S289" i="3"/>
  <c r="AC289" i="3" s="1"/>
  <c r="S290" i="3"/>
  <c r="AC290" i="3" s="1"/>
  <c r="S291" i="3"/>
  <c r="AC291" i="3" s="1"/>
  <c r="S292" i="3"/>
  <c r="AC292" i="3" s="1"/>
  <c r="S293" i="3"/>
  <c r="AC293" i="3" s="1"/>
  <c r="S294" i="3"/>
  <c r="S295" i="3"/>
  <c r="S296" i="3"/>
  <c r="S297" i="3"/>
  <c r="S298" i="3"/>
  <c r="S299" i="3"/>
  <c r="S300" i="3"/>
  <c r="S301" i="3"/>
  <c r="S302" i="3"/>
  <c r="S303" i="3"/>
  <c r="S304" i="3"/>
  <c r="S305" i="3"/>
  <c r="S306" i="3"/>
  <c r="S307" i="3"/>
  <c r="S308" i="3"/>
  <c r="S309" i="3"/>
  <c r="S310" i="3"/>
  <c r="S311" i="3"/>
  <c r="S312" i="3"/>
  <c r="S313" i="3"/>
  <c r="S314" i="3"/>
  <c r="S315" i="3"/>
  <c r="S316" i="3"/>
  <c r="S317" i="3"/>
  <c r="S318" i="3"/>
  <c r="S319" i="3"/>
  <c r="S320" i="3"/>
  <c r="S321" i="3"/>
  <c r="S322" i="3"/>
  <c r="S323" i="3"/>
  <c r="S324" i="3"/>
  <c r="S325" i="3"/>
  <c r="S326" i="3"/>
  <c r="S327" i="3"/>
  <c r="S328" i="3"/>
  <c r="S329" i="3"/>
  <c r="S330" i="3"/>
  <c r="S331" i="3"/>
  <c r="S332" i="3"/>
  <c r="S333" i="3"/>
  <c r="S334" i="3"/>
  <c r="S335" i="3"/>
  <c r="S336" i="3"/>
  <c r="S337" i="3"/>
  <c r="S338" i="3"/>
  <c r="S339" i="3"/>
  <c r="S340" i="3"/>
  <c r="S341" i="3"/>
  <c r="S342" i="3"/>
  <c r="S343" i="3"/>
  <c r="S344" i="3"/>
  <c r="S345" i="3"/>
  <c r="S346" i="3"/>
  <c r="S347" i="3"/>
  <c r="S348" i="3"/>
  <c r="S349" i="3"/>
  <c r="S350" i="3"/>
  <c r="S351" i="3"/>
  <c r="S352" i="3"/>
  <c r="S353" i="3"/>
  <c r="S354" i="3"/>
  <c r="S355" i="3"/>
  <c r="S356" i="3"/>
  <c r="S357" i="3"/>
  <c r="S358" i="3"/>
  <c r="S359" i="3"/>
  <c r="S360" i="3"/>
  <c r="S361" i="3"/>
  <c r="S362" i="3"/>
  <c r="S363" i="3"/>
  <c r="S364" i="3"/>
  <c r="S365" i="3"/>
  <c r="S366" i="3"/>
  <c r="S367" i="3"/>
  <c r="S368" i="3"/>
  <c r="S369" i="3"/>
  <c r="S370" i="3"/>
  <c r="S371" i="3"/>
  <c r="S372" i="3"/>
  <c r="S373" i="3"/>
  <c r="S374" i="3"/>
  <c r="S375" i="3"/>
  <c r="S380" i="3"/>
  <c r="S381" i="3"/>
  <c r="S410" i="3"/>
  <c r="S411" i="3"/>
  <c r="S412" i="3"/>
  <c r="S413" i="3"/>
  <c r="S414" i="3"/>
  <c r="S415" i="3"/>
  <c r="S416" i="3"/>
  <c r="S417" i="3"/>
  <c r="S418" i="3"/>
  <c r="S419" i="3"/>
  <c r="S420" i="3"/>
  <c r="S421" i="3"/>
  <c r="S422" i="3"/>
  <c r="S423" i="3"/>
  <c r="S424" i="3"/>
  <c r="S425" i="3"/>
  <c r="S426" i="3"/>
  <c r="S427" i="3"/>
  <c r="AC427" i="3" s="1"/>
  <c r="S428" i="3"/>
  <c r="S429" i="3"/>
  <c r="S430" i="3"/>
  <c r="S431" i="3"/>
  <c r="S432" i="3"/>
  <c r="AC432" i="3" s="1"/>
  <c r="S433" i="3"/>
  <c r="AC433" i="3" s="1"/>
  <c r="S434" i="3"/>
  <c r="AC434" i="3" s="1"/>
  <c r="S435" i="3"/>
  <c r="AC435" i="3" s="1"/>
  <c r="S436" i="3"/>
  <c r="AC436" i="3" s="1"/>
  <c r="S437" i="3"/>
  <c r="AC437" i="3" s="1"/>
  <c r="S438" i="3"/>
  <c r="AC438" i="3" s="1"/>
  <c r="S439" i="3"/>
  <c r="AC439" i="3" s="1"/>
  <c r="S440" i="3"/>
  <c r="AC440" i="3" s="1"/>
  <c r="S441" i="3"/>
  <c r="AC441" i="3" s="1"/>
  <c r="S442" i="3"/>
  <c r="AC442" i="3" s="1"/>
  <c r="S443" i="3"/>
  <c r="AC443" i="3" s="1"/>
  <c r="S444" i="3"/>
  <c r="AC444" i="3" s="1"/>
  <c r="S448" i="3"/>
  <c r="S449" i="3"/>
  <c r="S450" i="3"/>
  <c r="S451" i="3"/>
  <c r="AC451" i="3" s="1"/>
  <c r="S452" i="3"/>
  <c r="AC452" i="3" s="1"/>
  <c r="S453" i="3"/>
  <c r="AC453" i="3" s="1"/>
  <c r="S454" i="3"/>
  <c r="AC454" i="3" s="1"/>
  <c r="S455" i="3"/>
  <c r="AC455" i="3" s="1"/>
  <c r="S456" i="3"/>
  <c r="AC456" i="3" s="1"/>
  <c r="S457" i="3"/>
  <c r="AC457" i="3" s="1"/>
  <c r="S458" i="3"/>
  <c r="AC458" i="3" s="1"/>
  <c r="S459" i="3"/>
  <c r="AC459" i="3" s="1"/>
  <c r="S460" i="3"/>
  <c r="S461" i="3"/>
  <c r="S462" i="3"/>
  <c r="S463" i="3"/>
  <c r="S464" i="3"/>
  <c r="S465" i="3"/>
  <c r="S466" i="3"/>
  <c r="S504" i="3"/>
  <c r="S505" i="3"/>
  <c r="S506" i="3"/>
  <c r="S507" i="3"/>
  <c r="S508" i="3"/>
  <c r="S509" i="3"/>
  <c r="S510" i="3"/>
  <c r="S511" i="3"/>
  <c r="S512" i="3"/>
  <c r="S513" i="3"/>
  <c r="S514" i="3"/>
  <c r="S515" i="3"/>
  <c r="S516" i="3"/>
  <c r="S517" i="3"/>
  <c r="S518" i="3"/>
  <c r="S519" i="3"/>
  <c r="S520" i="3"/>
  <c r="S521" i="3"/>
  <c r="S522" i="3"/>
  <c r="S523" i="3"/>
  <c r="S524" i="3"/>
  <c r="S525" i="3"/>
  <c r="S529" i="3"/>
  <c r="S530" i="3"/>
  <c r="S531" i="3"/>
  <c r="S532" i="3"/>
  <c r="S533" i="3"/>
  <c r="S540" i="3"/>
  <c r="S541" i="3"/>
  <c r="S542" i="3"/>
  <c r="S543" i="3"/>
  <c r="S544" i="3"/>
  <c r="S545" i="3"/>
  <c r="S546" i="3"/>
  <c r="S547" i="3"/>
  <c r="S548" i="3"/>
  <c r="S549" i="3"/>
  <c r="S559" i="3"/>
  <c r="S584" i="3"/>
  <c r="S585" i="3"/>
  <c r="S586" i="3"/>
  <c r="S587" i="3"/>
  <c r="S596" i="3"/>
  <c r="S599" i="3"/>
  <c r="S600" i="3"/>
  <c r="S601" i="3"/>
  <c r="S602" i="3"/>
  <c r="S603" i="3"/>
  <c r="S604" i="3"/>
  <c r="S605" i="3"/>
  <c r="S606" i="3"/>
  <c r="S607" i="3"/>
  <c r="S608" i="3"/>
  <c r="S609" i="3"/>
  <c r="S610" i="3"/>
  <c r="S611" i="3"/>
  <c r="S612" i="3"/>
  <c r="S613" i="3"/>
  <c r="S614" i="3"/>
  <c r="S615" i="3"/>
  <c r="S616" i="3"/>
  <c r="S617" i="3"/>
  <c r="S618" i="3"/>
  <c r="S619" i="3"/>
  <c r="S620" i="3"/>
  <c r="S621" i="3"/>
  <c r="S622" i="3"/>
  <c r="S623" i="3"/>
  <c r="S624" i="3"/>
  <c r="S625" i="3"/>
  <c r="S626" i="3"/>
  <c r="S627" i="3"/>
  <c r="S628" i="3"/>
  <c r="S629" i="3"/>
  <c r="S630" i="3"/>
  <c r="S631" i="3"/>
  <c r="S632" i="3"/>
  <c r="S633" i="3"/>
  <c r="S634" i="3"/>
  <c r="S635" i="3"/>
  <c r="S636" i="3"/>
  <c r="S637" i="3"/>
  <c r="S638" i="3"/>
  <c r="S639" i="3"/>
  <c r="S652" i="3"/>
  <c r="S653" i="3"/>
  <c r="S654" i="3"/>
  <c r="S655" i="3"/>
  <c r="S656" i="3"/>
  <c r="S657" i="3"/>
  <c r="S658" i="3"/>
  <c r="S659" i="3"/>
  <c r="S660" i="3"/>
  <c r="AC660" i="3" s="1"/>
  <c r="S13" i="3"/>
  <c r="S18" i="3"/>
  <c r="S21" i="3"/>
  <c r="S27" i="3"/>
  <c r="S28" i="3"/>
  <c r="S29" i="3"/>
  <c r="S30" i="3"/>
  <c r="S31" i="3"/>
  <c r="S32" i="3"/>
  <c r="S33" i="3"/>
  <c r="AF11" i="3"/>
  <c r="AE214" i="10" l="1"/>
  <c r="X214" i="10"/>
  <c r="AD214" i="10"/>
  <c r="AC214" i="10"/>
  <c r="W214" i="10"/>
  <c r="AA214" i="10"/>
  <c r="AB214" i="10"/>
  <c r="S120" i="11"/>
  <c r="AC218" i="10"/>
  <c r="M539" i="3"/>
  <c r="M533" i="3"/>
  <c r="O442" i="3"/>
  <c r="O451" i="3"/>
  <c r="N662" i="3"/>
  <c r="M572" i="3"/>
  <c r="T149" i="10"/>
  <c r="AD149" i="10" s="1"/>
  <c r="AD70" i="10"/>
  <c r="AD218" i="10"/>
  <c r="M64" i="10"/>
  <c r="X662" i="3"/>
  <c r="O333" i="3"/>
  <c r="M250" i="3"/>
  <c r="M103" i="3"/>
  <c r="S162" i="3"/>
  <c r="M148" i="3"/>
  <c r="L145" i="3"/>
  <c r="L104" i="3"/>
  <c r="O67" i="3"/>
  <c r="O150" i="3"/>
  <c r="O113" i="3"/>
  <c r="O66" i="3"/>
  <c r="M249" i="3"/>
  <c r="M114" i="3"/>
  <c r="M106" i="3"/>
  <c r="M94" i="3"/>
  <c r="L143" i="3"/>
  <c r="L50" i="3"/>
  <c r="Q162" i="3"/>
  <c r="M93" i="3"/>
  <c r="S210" i="3"/>
  <c r="M101" i="3"/>
  <c r="O34" i="3"/>
  <c r="Y37" i="3" s="1"/>
  <c r="L142" i="3"/>
  <c r="O40" i="3"/>
  <c r="O39" i="3"/>
  <c r="M116" i="3"/>
  <c r="M108" i="3"/>
  <c r="M104" i="3"/>
  <c r="O36" i="3"/>
  <c r="O37" i="3"/>
  <c r="S557" i="3"/>
  <c r="AD15" i="3"/>
  <c r="M28" i="3"/>
  <c r="L28" i="3"/>
  <c r="S383" i="3"/>
  <c r="V11" i="3"/>
  <c r="AA200" i="11"/>
  <c r="AA242" i="11"/>
  <c r="V242" i="11"/>
  <c r="V15" i="11"/>
  <c r="AA204" i="11"/>
  <c r="U169" i="11"/>
  <c r="AA86" i="11"/>
  <c r="AA210" i="11"/>
  <c r="AA69" i="11"/>
  <c r="V128" i="11"/>
  <c r="U134" i="11"/>
  <c r="W240" i="11"/>
  <c r="AA94" i="11"/>
  <c r="AA160" i="11"/>
  <c r="R103" i="11"/>
  <c r="Y242" i="11"/>
  <c r="W69" i="11"/>
  <c r="R47" i="11"/>
  <c r="V274" i="11"/>
  <c r="AA220" i="11"/>
  <c r="AA175" i="11"/>
  <c r="AB140" i="11"/>
  <c r="X142" i="11"/>
  <c r="V248" i="11"/>
  <c r="AB204" i="11"/>
  <c r="X227" i="11"/>
  <c r="W177" i="11"/>
  <c r="X140" i="11"/>
  <c r="Y157" i="11"/>
  <c r="X213" i="11"/>
  <c r="Y202" i="11"/>
  <c r="W42" i="11"/>
  <c r="AA248" i="11"/>
  <c r="AA147" i="11"/>
  <c r="U213" i="11"/>
  <c r="X274" i="11"/>
  <c r="Z30" i="11"/>
  <c r="AA61" i="11"/>
  <c r="U164" i="11"/>
  <c r="W86" i="11"/>
  <c r="W144" i="11"/>
  <c r="U198" i="11"/>
  <c r="Z164" i="11"/>
  <c r="W181" i="11"/>
  <c r="AB142" i="11"/>
  <c r="U200" i="11"/>
  <c r="W83" i="11"/>
  <c r="AA138" i="11"/>
  <c r="AA191" i="11"/>
  <c r="AA181" i="11"/>
  <c r="AA198" i="11"/>
  <c r="W198" i="11"/>
  <c r="U179" i="11"/>
  <c r="AB244" i="11"/>
  <c r="R276" i="11"/>
  <c r="AA128" i="11"/>
  <c r="AA177" i="11"/>
  <c r="AA83" i="11"/>
  <c r="V196" i="11"/>
  <c r="V169" i="11"/>
  <c r="Y138" i="11"/>
  <c r="V202" i="11"/>
  <c r="AA223" i="11"/>
  <c r="AA227" i="11"/>
  <c r="V181" i="11"/>
  <c r="Z136" i="11"/>
  <c r="AA217" i="11"/>
  <c r="AA185" i="11"/>
  <c r="U142" i="11"/>
  <c r="AB196" i="11"/>
  <c r="X246" i="11"/>
  <c r="Z138" i="11"/>
  <c r="X244" i="11"/>
  <c r="V150" i="11"/>
  <c r="Y155" i="11"/>
  <c r="V223" i="11"/>
  <c r="V153" i="11"/>
  <c r="Z144" i="11"/>
  <c r="V86" i="11"/>
  <c r="X138" i="11"/>
  <c r="AB136" i="11"/>
  <c r="W169" i="11"/>
  <c r="AA18" i="11"/>
  <c r="V117" i="11"/>
  <c r="W194" i="11"/>
  <c r="AA42" i="11"/>
  <c r="V114" i="11"/>
  <c r="V194" i="11"/>
  <c r="X272" i="11"/>
  <c r="W79" i="11"/>
  <c r="W150" i="11"/>
  <c r="Z229" i="11"/>
  <c r="Y173" i="11"/>
  <c r="W248" i="11"/>
  <c r="AB86" i="11"/>
  <c r="AA98" i="11"/>
  <c r="AA173" i="11"/>
  <c r="V164" i="11"/>
  <c r="AA117" i="11"/>
  <c r="W220" i="11"/>
  <c r="AB150" i="11"/>
  <c r="Z169" i="11"/>
  <c r="V147" i="11"/>
  <c r="V61" i="11"/>
  <c r="AA79" i="11"/>
  <c r="AA88" i="11" s="1"/>
  <c r="AA134" i="11"/>
  <c r="V94" i="11"/>
  <c r="V220" i="11"/>
  <c r="AB138" i="11"/>
  <c r="Y142" i="11"/>
  <c r="Y229" i="11"/>
  <c r="X242" i="11"/>
  <c r="AA27" i="11"/>
  <c r="Y12" i="11"/>
  <c r="U202" i="11"/>
  <c r="U248" i="11"/>
  <c r="W157" i="11"/>
  <c r="AB144" i="11"/>
  <c r="AA264" i="11"/>
  <c r="V24" i="11"/>
  <c r="AB24" i="11"/>
  <c r="U42" i="11"/>
  <c r="AB223" i="11"/>
  <c r="X173" i="11"/>
  <c r="U210" i="11"/>
  <c r="Z185" i="11"/>
  <c r="U150" i="11"/>
  <c r="U264" i="11"/>
  <c r="W196" i="11"/>
  <c r="Y83" i="11"/>
  <c r="AA179" i="11"/>
  <c r="Z244" i="11"/>
  <c r="AB229" i="11"/>
  <c r="U140" i="11"/>
  <c r="U183" i="11"/>
  <c r="Z140" i="11"/>
  <c r="Y150" i="11"/>
  <c r="Y246" i="11"/>
  <c r="AB169" i="11"/>
  <c r="V213" i="11"/>
  <c r="X160" i="11"/>
  <c r="V140" i="11"/>
  <c r="X45" i="11"/>
  <c r="V131" i="11"/>
  <c r="U15" i="11"/>
  <c r="U188" i="11"/>
  <c r="AB261" i="11"/>
  <c r="Z248" i="11"/>
  <c r="AA194" i="11"/>
  <c r="Z18" i="11"/>
  <c r="Y94" i="11"/>
  <c r="W98" i="11"/>
  <c r="U128" i="11"/>
  <c r="W164" i="11"/>
  <c r="U131" i="11"/>
  <c r="AB207" i="11"/>
  <c r="V185" i="11"/>
  <c r="W61" i="11"/>
  <c r="W12" i="11"/>
  <c r="AB42" i="11"/>
  <c r="W136" i="11"/>
  <c r="V69" i="11"/>
  <c r="AA15" i="11"/>
  <c r="AA164" i="11"/>
  <c r="W185" i="11"/>
  <c r="W179" i="11"/>
  <c r="V138" i="11"/>
  <c r="W15" i="11"/>
  <c r="V18" i="11"/>
  <c r="V111" i="11"/>
  <c r="AB183" i="11"/>
  <c r="V191" i="11"/>
  <c r="U181" i="11"/>
  <c r="U160" i="11"/>
  <c r="U196" i="11"/>
  <c r="AB155" i="11"/>
  <c r="V188" i="11"/>
  <c r="U69" i="11"/>
  <c r="Y86" i="11"/>
  <c r="AA144" i="11"/>
  <c r="W24" i="11"/>
  <c r="X117" i="11"/>
  <c r="AB177" i="11"/>
  <c r="X198" i="11"/>
  <c r="W223" i="11"/>
  <c r="AB202" i="11"/>
  <c r="U274" i="11"/>
  <c r="W18" i="11"/>
  <c r="U27" i="11"/>
  <c r="AB227" i="11"/>
  <c r="W131" i="11"/>
  <c r="W217" i="11"/>
  <c r="Z175" i="11"/>
  <c r="Z131" i="11"/>
  <c r="U138" i="11"/>
  <c r="AB246" i="11"/>
  <c r="AB164" i="11"/>
  <c r="AB30" i="11"/>
  <c r="V229" i="11"/>
  <c r="W261" i="11"/>
  <c r="W244" i="11"/>
  <c r="V98" i="11"/>
  <c r="AB220" i="11"/>
  <c r="AB134" i="11"/>
  <c r="W188" i="11"/>
  <c r="U261" i="11"/>
  <c r="W272" i="11"/>
  <c r="U268" i="11"/>
  <c r="W210" i="11"/>
  <c r="AB111" i="11"/>
  <c r="X164" i="11"/>
  <c r="V179" i="11"/>
  <c r="Z153" i="11"/>
  <c r="Y136" i="11"/>
  <c r="W128" i="11"/>
  <c r="V45" i="11"/>
  <c r="Z24" i="11"/>
  <c r="X42" i="11"/>
  <c r="W45" i="11"/>
  <c r="Z45" i="11"/>
  <c r="Z42" i="11"/>
  <c r="V157" i="11"/>
  <c r="V217" i="11"/>
  <c r="W229" i="11"/>
  <c r="Y244" i="11"/>
  <c r="W264" i="11"/>
  <c r="Z191" i="11"/>
  <c r="W274" i="11"/>
  <c r="V246" i="11"/>
  <c r="U147" i="11"/>
  <c r="U86" i="11"/>
  <c r="AA169" i="11"/>
  <c r="V12" i="11"/>
  <c r="W30" i="11"/>
  <c r="AB45" i="11"/>
  <c r="W183" i="11"/>
  <c r="V175" i="11"/>
  <c r="X185" i="11"/>
  <c r="Z227" i="11"/>
  <c r="V227" i="11"/>
  <c r="V244" i="11"/>
  <c r="U153" i="11"/>
  <c r="U144" i="11"/>
  <c r="U272" i="11"/>
  <c r="AB179" i="11"/>
  <c r="AA229" i="11"/>
  <c r="AA24" i="11"/>
  <c r="W21" i="11"/>
  <c r="AB27" i="11"/>
  <c r="Y204" i="11"/>
  <c r="Y185" i="11"/>
  <c r="X191" i="11"/>
  <c r="U220" i="11"/>
  <c r="U242" i="11"/>
  <c r="X248" i="11"/>
  <c r="V207" i="11"/>
  <c r="Z179" i="11"/>
  <c r="Y61" i="11"/>
  <c r="X24" i="11"/>
  <c r="V42" i="11"/>
  <c r="W117" i="11"/>
  <c r="Y198" i="11"/>
  <c r="X223" i="11"/>
  <c r="W140" i="11"/>
  <c r="Z160" i="11"/>
  <c r="Z204" i="11"/>
  <c r="U244" i="11"/>
  <c r="AB194" i="11"/>
  <c r="V264" i="11"/>
  <c r="X131" i="11"/>
  <c r="X61" i="11"/>
  <c r="U83" i="11"/>
  <c r="W27" i="11"/>
  <c r="U30" i="11"/>
  <c r="W114" i="11"/>
  <c r="AB198" i="11"/>
  <c r="X220" i="11"/>
  <c r="W173" i="11"/>
  <c r="V134" i="11"/>
  <c r="U223" i="11"/>
  <c r="Z150" i="11"/>
  <c r="AB213" i="11"/>
  <c r="V200" i="11"/>
  <c r="W200" i="11"/>
  <c r="AB175" i="11"/>
  <c r="X134" i="11"/>
  <c r="Z274" i="11"/>
  <c r="X114" i="11"/>
  <c r="V155" i="11"/>
  <c r="Y181" i="11"/>
  <c r="W242" i="11"/>
  <c r="V183" i="11"/>
  <c r="W191" i="11"/>
  <c r="V261" i="11"/>
  <c r="Y169" i="11"/>
  <c r="U24" i="11"/>
  <c r="Y179" i="11"/>
  <c r="U155" i="11"/>
  <c r="W175" i="11"/>
  <c r="AB191" i="11"/>
  <c r="U207" i="11"/>
  <c r="V27" i="11"/>
  <c r="Y117" i="11"/>
  <c r="W94" i="11"/>
  <c r="W111" i="11"/>
  <c r="AB185" i="11"/>
  <c r="W147" i="11"/>
  <c r="AB264" i="11"/>
  <c r="X169" i="11"/>
  <c r="V21" i="11"/>
  <c r="X111" i="11"/>
  <c r="W227" i="11"/>
  <c r="V160" i="11"/>
  <c r="U194" i="11"/>
  <c r="U229" i="11"/>
  <c r="V177" i="11"/>
  <c r="V240" i="11"/>
  <c r="AB131" i="11"/>
  <c r="X261" i="11"/>
  <c r="V79" i="11"/>
  <c r="AA45" i="11"/>
  <c r="AA47" i="11" s="1"/>
  <c r="U157" i="11"/>
  <c r="W153" i="11"/>
  <c r="V173" i="11"/>
  <c r="AB274" i="11"/>
  <c r="W142" i="11"/>
  <c r="Y114" i="11"/>
  <c r="U191" i="11"/>
  <c r="U246" i="11"/>
  <c r="V272" i="11"/>
  <c r="AB173" i="11"/>
  <c r="W155" i="11"/>
  <c r="AB147" i="11"/>
  <c r="AB217" i="11"/>
  <c r="U227" i="11"/>
  <c r="AB157" i="11"/>
  <c r="W268" i="11"/>
  <c r="Z173" i="11"/>
  <c r="U79" i="11"/>
  <c r="AB94" i="11"/>
  <c r="AB128" i="11"/>
  <c r="Y164" i="11"/>
  <c r="AB153" i="11"/>
  <c r="Y147" i="11"/>
  <c r="AB272" i="11"/>
  <c r="U61" i="11"/>
  <c r="X86" i="11"/>
  <c r="U18" i="11"/>
  <c r="Z27" i="11"/>
  <c r="V210" i="11"/>
  <c r="AB268" i="11"/>
  <c r="AB248" i="11"/>
  <c r="U21" i="11"/>
  <c r="X183" i="11"/>
  <c r="V142" i="11"/>
  <c r="AB181" i="11"/>
  <c r="X157" i="11"/>
  <c r="V204" i="11"/>
  <c r="W213" i="11"/>
  <c r="AB240" i="11"/>
  <c r="X200" i="11"/>
  <c r="AB188" i="11"/>
  <c r="V268" i="11"/>
  <c r="U12" i="11"/>
  <c r="AB160" i="11"/>
  <c r="W204" i="11"/>
  <c r="V136" i="11"/>
  <c r="U177" i="11"/>
  <c r="W207" i="11"/>
  <c r="U136" i="11"/>
  <c r="AB200" i="11"/>
  <c r="AB210" i="11"/>
  <c r="X240" i="11"/>
  <c r="W202" i="11"/>
  <c r="U185" i="11"/>
  <c r="V144" i="11"/>
  <c r="Z69" i="11"/>
  <c r="W246" i="11"/>
  <c r="X12" i="11"/>
  <c r="X18" i="11"/>
  <c r="Z21" i="11"/>
  <c r="V30" i="11"/>
  <c r="U240" i="11"/>
  <c r="U217" i="11"/>
  <c r="W134" i="11"/>
  <c r="U173" i="11"/>
  <c r="V198" i="11"/>
  <c r="AB242" i="11"/>
  <c r="V83" i="11"/>
  <c r="AB114" i="11"/>
  <c r="AB117" i="11"/>
  <c r="AB98" i="11"/>
  <c r="AB83" i="11"/>
  <c r="AB79" i="11"/>
  <c r="AB69" i="11"/>
  <c r="AB61" i="11"/>
  <c r="AB18" i="11"/>
  <c r="AB15" i="11"/>
  <c r="AB12" i="11"/>
  <c r="AB21" i="11"/>
  <c r="R151" i="10"/>
  <c r="R88" i="10"/>
  <c r="R87" i="10"/>
  <c r="AD186" i="10"/>
  <c r="AD198" i="10"/>
  <c r="W97" i="10"/>
  <c r="AB139" i="10"/>
  <c r="AD133" i="10"/>
  <c r="AD95" i="10"/>
  <c r="X70" i="10"/>
  <c r="AD205" i="10"/>
  <c r="AD52" i="10"/>
  <c r="R149" i="10"/>
  <c r="AB149" i="10" s="1"/>
  <c r="AD245" i="10"/>
  <c r="AD248" i="10"/>
  <c r="AD226" i="10"/>
  <c r="Z139" i="10"/>
  <c r="AE151" i="10"/>
  <c r="AD111" i="10"/>
  <c r="AE218" i="10"/>
  <c r="R86" i="10"/>
  <c r="AD85" i="10"/>
  <c r="AB126" i="10"/>
  <c r="AD159" i="10"/>
  <c r="AE52" i="10"/>
  <c r="AD195" i="10"/>
  <c r="AD103" i="10"/>
  <c r="AD108" i="10"/>
  <c r="AE205" i="10"/>
  <c r="AD22" i="10"/>
  <c r="AD97" i="10"/>
  <c r="AB52" i="10"/>
  <c r="R90" i="10"/>
  <c r="AD161" i="10"/>
  <c r="T79" i="10"/>
  <c r="AD239" i="10"/>
  <c r="T87" i="10"/>
  <c r="AD25" i="10"/>
  <c r="W120" i="10"/>
  <c r="AD236" i="10"/>
  <c r="T90" i="10"/>
  <c r="AD242" i="10"/>
  <c r="AD12" i="10"/>
  <c r="Z97" i="10"/>
  <c r="R150" i="10"/>
  <c r="AD156" i="10"/>
  <c r="AD77" i="10"/>
  <c r="AE139" i="10"/>
  <c r="T151" i="10"/>
  <c r="X54" i="10"/>
  <c r="AB123" i="10"/>
  <c r="X139" i="10"/>
  <c r="AC129" i="10"/>
  <c r="AD34" i="10"/>
  <c r="Z25" i="10"/>
  <c r="X91" i="10"/>
  <c r="AE161" i="10"/>
  <c r="R85" i="10"/>
  <c r="AB85" i="10" s="1"/>
  <c r="X133" i="10"/>
  <c r="W88" i="10"/>
  <c r="AD192" i="10"/>
  <c r="T64" i="10"/>
  <c r="AD105" i="10"/>
  <c r="AD229" i="10"/>
  <c r="T89" i="10"/>
  <c r="AD93" i="10"/>
  <c r="AC52" i="10"/>
  <c r="W226" i="10"/>
  <c r="X126" i="10"/>
  <c r="T86" i="10"/>
  <c r="AC120" i="10"/>
  <c r="AD99" i="10"/>
  <c r="AD153" i="10"/>
  <c r="AD126" i="10"/>
  <c r="AC126" i="10"/>
  <c r="AD209" i="10"/>
  <c r="W99" i="10"/>
  <c r="AD129" i="10"/>
  <c r="Z195" i="10"/>
  <c r="X99" i="10"/>
  <c r="AC137" i="10"/>
  <c r="W195" i="10"/>
  <c r="AC205" i="10"/>
  <c r="AA25" i="10"/>
  <c r="W95" i="10"/>
  <c r="X129" i="10"/>
  <c r="T88" i="10"/>
  <c r="Z156" i="10"/>
  <c r="X22" i="10"/>
  <c r="Z99" i="10"/>
  <c r="W105" i="10"/>
  <c r="X245" i="10"/>
  <c r="AC123" i="10"/>
  <c r="AE70" i="10"/>
  <c r="AA126" i="10"/>
  <c r="AE93" i="10"/>
  <c r="AC139" i="10"/>
  <c r="W85" i="10"/>
  <c r="X159" i="10"/>
  <c r="W38" i="10"/>
  <c r="AD42" i="10"/>
  <c r="Z186" i="10"/>
  <c r="AA202" i="10"/>
  <c r="AD75" i="10"/>
  <c r="AD167" i="10"/>
  <c r="Z52" i="10"/>
  <c r="AD101" i="10"/>
  <c r="Z103" i="10"/>
  <c r="W139" i="10"/>
  <c r="AD232" i="10"/>
  <c r="AD54" i="10"/>
  <c r="AD19" i="10"/>
  <c r="AD73" i="10"/>
  <c r="AE101" i="10"/>
  <c r="AE91" i="10"/>
  <c r="Z77" i="10"/>
  <c r="AE99" i="10"/>
  <c r="X137" i="10"/>
  <c r="AC133" i="10"/>
  <c r="AE126" i="10"/>
  <c r="T141" i="10"/>
  <c r="AD123" i="10"/>
  <c r="Z123" i="10"/>
  <c r="Z105" i="10"/>
  <c r="AA205" i="10"/>
  <c r="AB239" i="10"/>
  <c r="W133" i="10"/>
  <c r="W52" i="10"/>
  <c r="AB54" i="10"/>
  <c r="Z70" i="10"/>
  <c r="X88" i="10"/>
  <c r="W111" i="10"/>
  <c r="AE85" i="10"/>
  <c r="AE156" i="10"/>
  <c r="X198" i="10"/>
  <c r="X242" i="10"/>
  <c r="Z93" i="10"/>
  <c r="AA123" i="10"/>
  <c r="AB105" i="10"/>
  <c r="Z101" i="10"/>
  <c r="X149" i="10"/>
  <c r="T150" i="10"/>
  <c r="X25" i="10"/>
  <c r="Z34" i="10"/>
  <c r="X105" i="10"/>
  <c r="AA151" i="10"/>
  <c r="AA248" i="10"/>
  <c r="AD179" i="10"/>
  <c r="W19" i="10"/>
  <c r="X52" i="10"/>
  <c r="AE95" i="10"/>
  <c r="X218" i="10"/>
  <c r="Z239" i="10"/>
  <c r="Z236" i="10"/>
  <c r="X75" i="10"/>
  <c r="R89" i="10"/>
  <c r="X153" i="10"/>
  <c r="Z218" i="10"/>
  <c r="Z133" i="10"/>
  <c r="AA189" i="10"/>
  <c r="AB120" i="10"/>
  <c r="Z42" i="10"/>
  <c r="X179" i="10"/>
  <c r="W229" i="10"/>
  <c r="W126" i="10"/>
  <c r="AA12" i="10"/>
  <c r="AD16" i="10"/>
  <c r="T45" i="10"/>
  <c r="AD139" i="10"/>
  <c r="AE97" i="10"/>
  <c r="AA139" i="10"/>
  <c r="AA159" i="10"/>
  <c r="AA232" i="10"/>
  <c r="AD137" i="10"/>
  <c r="AB73" i="10"/>
  <c r="X101" i="10"/>
  <c r="AE192" i="10"/>
  <c r="AE242" i="10"/>
  <c r="AA129" i="10"/>
  <c r="AD120" i="10"/>
  <c r="AE77" i="10"/>
  <c r="Z149" i="10"/>
  <c r="W198" i="10"/>
  <c r="X209" i="10"/>
  <c r="AC239" i="10"/>
  <c r="X248" i="10"/>
  <c r="W123" i="10"/>
  <c r="AE123" i="10"/>
  <c r="X111" i="10"/>
  <c r="AE73" i="10"/>
  <c r="Z153" i="10"/>
  <c r="W192" i="10"/>
  <c r="AA192" i="10"/>
  <c r="Z229" i="10"/>
  <c r="AC242" i="10"/>
  <c r="Z19" i="10"/>
  <c r="AE153" i="10"/>
  <c r="AC179" i="10"/>
  <c r="Z198" i="10"/>
  <c r="Z202" i="10"/>
  <c r="X205" i="10"/>
  <c r="AE137" i="10"/>
  <c r="X19" i="10"/>
  <c r="X186" i="10"/>
  <c r="W242" i="10"/>
  <c r="Z126" i="10"/>
  <c r="W202" i="10"/>
  <c r="Z16" i="10"/>
  <c r="X103" i="10"/>
  <c r="W103" i="10"/>
  <c r="W22" i="10"/>
  <c r="AA52" i="10"/>
  <c r="W73" i="10"/>
  <c r="X77" i="10"/>
  <c r="W91" i="10"/>
  <c r="AE195" i="10"/>
  <c r="AE159" i="10"/>
  <c r="Z232" i="10"/>
  <c r="AA236" i="10"/>
  <c r="X120" i="10"/>
  <c r="X161" i="10"/>
  <c r="W42" i="10"/>
  <c r="W34" i="10"/>
  <c r="W70" i="10"/>
  <c r="W75" i="10"/>
  <c r="Z159" i="10"/>
  <c r="AE186" i="10"/>
  <c r="AB218" i="10"/>
  <c r="X239" i="10"/>
  <c r="AE120" i="10"/>
  <c r="AA77" i="10"/>
  <c r="W108" i="10"/>
  <c r="Z192" i="10"/>
  <c r="Z129" i="10"/>
  <c r="Z179" i="10"/>
  <c r="Z22" i="10"/>
  <c r="Z38" i="10"/>
  <c r="W101" i="10"/>
  <c r="Z88" i="10"/>
  <c r="X195" i="10"/>
  <c r="AB195" i="10"/>
  <c r="W232" i="10"/>
  <c r="X192" i="10"/>
  <c r="AE202" i="10"/>
  <c r="W129" i="10"/>
  <c r="AE198" i="10"/>
  <c r="Z161" i="10"/>
  <c r="P141" i="10"/>
  <c r="Z120" i="10"/>
  <c r="AE111" i="10"/>
  <c r="W245" i="10"/>
  <c r="AE226" i="10"/>
  <c r="X236" i="10"/>
  <c r="X34" i="10"/>
  <c r="X108" i="10"/>
  <c r="Z111" i="10"/>
  <c r="Z151" i="10"/>
  <c r="W189" i="10"/>
  <c r="AC209" i="10"/>
  <c r="W239" i="10"/>
  <c r="X151" i="10"/>
  <c r="T27" i="10"/>
  <c r="W54" i="10"/>
  <c r="Z75" i="10"/>
  <c r="X95" i="10"/>
  <c r="AB156" i="10"/>
  <c r="W209" i="10"/>
  <c r="Z205" i="10"/>
  <c r="AE232" i="10"/>
  <c r="X123" i="10"/>
  <c r="AE108" i="10"/>
  <c r="AE179" i="10"/>
  <c r="Z189" i="10"/>
  <c r="AE209" i="10"/>
  <c r="AE229" i="10"/>
  <c r="AE129" i="10"/>
  <c r="W93" i="10"/>
  <c r="W12" i="10"/>
  <c r="X42" i="10"/>
  <c r="Z91" i="10"/>
  <c r="AE88" i="10"/>
  <c r="AE149" i="10"/>
  <c r="AA195" i="10"/>
  <c r="AE189" i="10"/>
  <c r="X202" i="10"/>
  <c r="X232" i="10"/>
  <c r="AC226" i="10"/>
  <c r="Z242" i="10"/>
  <c r="Z12" i="10"/>
  <c r="X73" i="10"/>
  <c r="Z108" i="10"/>
  <c r="W179" i="10"/>
  <c r="W186" i="10"/>
  <c r="Z209" i="10"/>
  <c r="X229" i="10"/>
  <c r="AD202" i="10"/>
  <c r="AB22" i="10"/>
  <c r="Z85" i="10"/>
  <c r="AE75" i="10"/>
  <c r="X189" i="10"/>
  <c r="W248" i="10"/>
  <c r="Z226" i="10"/>
  <c r="AA133" i="10"/>
  <c r="Z137" i="10"/>
  <c r="AD38" i="10"/>
  <c r="X12" i="10"/>
  <c r="AA54" i="10"/>
  <c r="Z167" i="10"/>
  <c r="AE239" i="10"/>
  <c r="Z245" i="10"/>
  <c r="W25" i="10"/>
  <c r="AE54" i="10"/>
  <c r="AE103" i="10"/>
  <c r="AE248" i="10"/>
  <c r="X226" i="10"/>
  <c r="AD189" i="10"/>
  <c r="W16" i="10"/>
  <c r="X38" i="10"/>
  <c r="Z73" i="10"/>
  <c r="X97" i="10"/>
  <c r="X167" i="10"/>
  <c r="AC198" i="10"/>
  <c r="AE236" i="10"/>
  <c r="Z54" i="10"/>
  <c r="X85" i="10"/>
  <c r="Z248" i="10"/>
  <c r="W236" i="10"/>
  <c r="AE245" i="10"/>
  <c r="AC236" i="10"/>
  <c r="AE167" i="10"/>
  <c r="X93" i="10"/>
  <c r="X16" i="10"/>
  <c r="AA34" i="10"/>
  <c r="W77" i="10"/>
  <c r="Z95" i="10"/>
  <c r="AE105" i="10"/>
  <c r="X156" i="10"/>
  <c r="AB242" i="10"/>
  <c r="W137" i="10"/>
  <c r="AE133" i="10"/>
  <c r="AE34" i="10"/>
  <c r="AE42" i="10"/>
  <c r="AE38" i="10"/>
  <c r="AE25" i="10"/>
  <c r="AE16" i="10"/>
  <c r="AE22" i="10"/>
  <c r="AE12" i="10"/>
  <c r="AE19" i="10"/>
  <c r="S387" i="3"/>
  <c r="AC527" i="3"/>
  <c r="S398" i="3"/>
  <c r="AC380" i="3"/>
  <c r="S488" i="3"/>
  <c r="S211" i="3"/>
  <c r="AC25" i="3"/>
  <c r="S591" i="3"/>
  <c r="S480" i="3"/>
  <c r="S492" i="3"/>
  <c r="S406" i="3"/>
  <c r="S407" i="3"/>
  <c r="S164" i="3"/>
  <c r="S650" i="3"/>
  <c r="AC651" i="3" s="1"/>
  <c r="S592" i="3"/>
  <c r="S575" i="3"/>
  <c r="S502" i="3"/>
  <c r="S593" i="3"/>
  <c r="AC529" i="3"/>
  <c r="S390" i="3"/>
  <c r="S446" i="3"/>
  <c r="S581" i="3"/>
  <c r="S642" i="3"/>
  <c r="S445" i="3"/>
  <c r="S498" i="3"/>
  <c r="S643" i="3"/>
  <c r="S499" i="3"/>
  <c r="S493" i="3"/>
  <c r="S582" i="3"/>
  <c r="S491" i="3"/>
  <c r="S574" i="3"/>
  <c r="S384" i="3"/>
  <c r="S399" i="3"/>
  <c r="S500" i="3"/>
  <c r="S395" i="3"/>
  <c r="AC187" i="3"/>
  <c r="S408" i="3"/>
  <c r="S571" i="3"/>
  <c r="S646" i="3"/>
  <c r="S649" i="3"/>
  <c r="S583" i="3"/>
  <c r="S551" i="3"/>
  <c r="S388" i="3"/>
  <c r="S400" i="3"/>
  <c r="S555" i="3"/>
  <c r="Q568" i="3"/>
  <c r="S396" i="3"/>
  <c r="S402" i="3"/>
  <c r="S572" i="3"/>
  <c r="AC11" i="3"/>
  <c r="S212" i="3"/>
  <c r="S163" i="3"/>
  <c r="S497" i="3"/>
  <c r="S391" i="3"/>
  <c r="S403" i="3"/>
  <c r="S490" i="3"/>
  <c r="S393" i="3"/>
  <c r="S645" i="3"/>
  <c r="AC540" i="3"/>
  <c r="S208" i="3"/>
  <c r="AC208" i="3" s="1"/>
  <c r="S590" i="3"/>
  <c r="S641" i="3"/>
  <c r="Q563" i="3"/>
  <c r="S569" i="3"/>
  <c r="S576" i="3"/>
  <c r="S565" i="3"/>
  <c r="S573" i="3"/>
  <c r="S394" i="3"/>
  <c r="S483" i="3"/>
  <c r="S386" i="3"/>
  <c r="S475" i="3"/>
  <c r="S405" i="3"/>
  <c r="S553" i="3"/>
  <c r="S479" i="3"/>
  <c r="S487" i="3"/>
  <c r="S486" i="3"/>
  <c r="Q564" i="3"/>
  <c r="S489" i="3"/>
  <c r="AC105" i="3"/>
  <c r="S165" i="3"/>
  <c r="S648" i="3"/>
  <c r="S473" i="3"/>
  <c r="S392" i="3"/>
  <c r="S552" i="3"/>
  <c r="S471" i="3"/>
  <c r="S485" i="3"/>
  <c r="Q569" i="3"/>
  <c r="S404" i="3"/>
  <c r="S566" i="3"/>
  <c r="S484" i="3"/>
  <c r="S401" i="3"/>
  <c r="S570" i="3"/>
  <c r="S476" i="3"/>
  <c r="S397" i="3"/>
  <c r="S577" i="3"/>
  <c r="S477" i="3"/>
  <c r="Q570" i="3"/>
  <c r="S494" i="3"/>
  <c r="S580" i="3"/>
  <c r="S468" i="3"/>
  <c r="S594" i="3"/>
  <c r="AC55" i="3"/>
  <c r="S474" i="3"/>
  <c r="S472" i="3"/>
  <c r="Q565" i="3"/>
  <c r="S385" i="3"/>
  <c r="S589" i="3"/>
  <c r="S469" i="3"/>
  <c r="S495" i="3"/>
  <c r="S644" i="3"/>
  <c r="S481" i="3"/>
  <c r="S389" i="3"/>
  <c r="S209" i="3"/>
  <c r="S556" i="3"/>
  <c r="S647" i="3"/>
  <c r="S501" i="3"/>
  <c r="AD11" i="3"/>
  <c r="S478" i="3"/>
  <c r="S496" i="3"/>
  <c r="S470" i="3"/>
  <c r="S567" i="3"/>
  <c r="Q567" i="3"/>
  <c r="S482" i="3"/>
  <c r="Q566" i="3"/>
  <c r="S568" i="3"/>
  <c r="O539" i="3"/>
  <c r="Y272" i="11"/>
  <c r="Y268" i="11"/>
  <c r="Z272" i="11"/>
  <c r="X268" i="11"/>
  <c r="Z264" i="11"/>
  <c r="Z268" i="11"/>
  <c r="Y261" i="11"/>
  <c r="Y264" i="11"/>
  <c r="Z261" i="11"/>
  <c r="Y274" i="11"/>
  <c r="X264" i="11"/>
  <c r="Y240" i="11"/>
  <c r="Z246" i="11"/>
  <c r="Z240" i="11"/>
  <c r="Z242" i="11"/>
  <c r="R250" i="11"/>
  <c r="Z155" i="11"/>
  <c r="Z198" i="11"/>
  <c r="Y196" i="11"/>
  <c r="Y207" i="11"/>
  <c r="Z157" i="11"/>
  <c r="Z223" i="11"/>
  <c r="Y140" i="11"/>
  <c r="Z194" i="11"/>
  <c r="Z207" i="11"/>
  <c r="X153" i="11"/>
  <c r="Z220" i="11"/>
  <c r="Y210" i="11"/>
  <c r="Z142" i="11"/>
  <c r="Y160" i="11"/>
  <c r="Y227" i="11"/>
  <c r="Z134" i="11"/>
  <c r="Z196" i="11"/>
  <c r="Y223" i="11"/>
  <c r="X196" i="11"/>
  <c r="X194" i="11"/>
  <c r="R232" i="11"/>
  <c r="Y220" i="11"/>
  <c r="Y144" i="11"/>
  <c r="X155" i="11"/>
  <c r="Z213" i="11"/>
  <c r="Z147" i="11"/>
  <c r="Z200" i="11"/>
  <c r="X181" i="11"/>
  <c r="Y134" i="11"/>
  <c r="Z217" i="11"/>
  <c r="Z202" i="11"/>
  <c r="Y131" i="11"/>
  <c r="Y188" i="11"/>
  <c r="Y217" i="11"/>
  <c r="Y213" i="11"/>
  <c r="X188" i="11"/>
  <c r="X147" i="11"/>
  <c r="Z210" i="11"/>
  <c r="X210" i="11"/>
  <c r="X150" i="11"/>
  <c r="X207" i="11"/>
  <c r="Y200" i="11"/>
  <c r="Z188" i="11"/>
  <c r="Y183" i="11"/>
  <c r="Y194" i="11"/>
  <c r="X204" i="11"/>
  <c r="Y153" i="11"/>
  <c r="X202" i="11"/>
  <c r="Y191" i="11"/>
  <c r="X175" i="11"/>
  <c r="X136" i="11"/>
  <c r="X179" i="11"/>
  <c r="X217" i="11"/>
  <c r="X229" i="11"/>
  <c r="Z111" i="11"/>
  <c r="Z117" i="11"/>
  <c r="Y111" i="11"/>
  <c r="Z114" i="11"/>
  <c r="X94" i="11"/>
  <c r="X79" i="11"/>
  <c r="Z86" i="11"/>
  <c r="Z79" i="11"/>
  <c r="Y79" i="11"/>
  <c r="Z83" i="11"/>
  <c r="X83" i="11"/>
  <c r="R88" i="11"/>
  <c r="R71" i="11"/>
  <c r="X69" i="11"/>
  <c r="Y69" i="11"/>
  <c r="Z61" i="11"/>
  <c r="Y42" i="11"/>
  <c r="Y45" i="11"/>
  <c r="Y27" i="11"/>
  <c r="Y15" i="11"/>
  <c r="X15" i="11"/>
  <c r="Y24" i="11"/>
  <c r="X27" i="11"/>
  <c r="X30" i="11"/>
  <c r="Z15" i="11"/>
  <c r="Y18" i="11"/>
  <c r="R33" i="11"/>
  <c r="Y21" i="11"/>
  <c r="Z12" i="11"/>
  <c r="X21" i="11"/>
  <c r="Y30" i="11"/>
  <c r="AB209" i="10"/>
  <c r="AB205" i="10"/>
  <c r="AC232" i="10"/>
  <c r="AC229" i="10"/>
  <c r="AB198" i="10"/>
  <c r="AA209" i="10"/>
  <c r="AB232" i="10"/>
  <c r="AC245" i="10"/>
  <c r="AB229" i="10"/>
  <c r="AB248" i="10"/>
  <c r="AA229" i="10"/>
  <c r="AB226" i="10"/>
  <c r="AB192" i="10"/>
  <c r="AB245" i="10"/>
  <c r="AC192" i="10"/>
  <c r="AA226" i="10"/>
  <c r="AA198" i="10"/>
  <c r="AB202" i="10"/>
  <c r="AA186" i="10"/>
  <c r="AA245" i="10"/>
  <c r="AA242" i="10"/>
  <c r="AC202" i="10"/>
  <c r="AA218" i="10"/>
  <c r="AA239" i="10"/>
  <c r="AC248" i="10"/>
  <c r="T250" i="10"/>
  <c r="AC195" i="10"/>
  <c r="AB236" i="10"/>
  <c r="AA167" i="10"/>
  <c r="AB179" i="10"/>
  <c r="AA179" i="10"/>
  <c r="AB153" i="10"/>
  <c r="AC156" i="10"/>
  <c r="AA156" i="10"/>
  <c r="AA153" i="10"/>
  <c r="AA161" i="10"/>
  <c r="AA149" i="10"/>
  <c r="AA137" i="10"/>
  <c r="AB129" i="10"/>
  <c r="Q141" i="10"/>
  <c r="AA120" i="10"/>
  <c r="AB133" i="10"/>
  <c r="AB137" i="10"/>
  <c r="AA85" i="10"/>
  <c r="AA101" i="10"/>
  <c r="AA70" i="10"/>
  <c r="AA73" i="10"/>
  <c r="AA75" i="10"/>
  <c r="AC54" i="10"/>
  <c r="AA38" i="10"/>
  <c r="AC34" i="10"/>
  <c r="AB34" i="10"/>
  <c r="AA42" i="10"/>
  <c r="AC25" i="10"/>
  <c r="AB16" i="10"/>
  <c r="AB12" i="10"/>
  <c r="AA22" i="10"/>
  <c r="AC16" i="10"/>
  <c r="AC19" i="10"/>
  <c r="AC12" i="10"/>
  <c r="AA19" i="10"/>
  <c r="AA16" i="10"/>
  <c r="AB19" i="10"/>
  <c r="AC22" i="10"/>
  <c r="AB25" i="10"/>
  <c r="AC512" i="3"/>
  <c r="AC364" i="3"/>
  <c r="AC228" i="3"/>
  <c r="AC146" i="3"/>
  <c r="AC108" i="3"/>
  <c r="AC46" i="3"/>
  <c r="AC198" i="3"/>
  <c r="AC58" i="3"/>
  <c r="AC420" i="3"/>
  <c r="AC376" i="3"/>
  <c r="AC295" i="3"/>
  <c r="AC416" i="3"/>
  <c r="AC362" i="3"/>
  <c r="AC129" i="3"/>
  <c r="AC220" i="3"/>
  <c r="AC148" i="3"/>
  <c r="AC85" i="3"/>
  <c r="AC245" i="3"/>
  <c r="AC61" i="3"/>
  <c r="AC123" i="3"/>
  <c r="AC82" i="3"/>
  <c r="Y248" i="11"/>
  <c r="Z181" i="11"/>
  <c r="Z183" i="11"/>
  <c r="Y177" i="11"/>
  <c r="Z177" i="11"/>
  <c r="Z128" i="11"/>
  <c r="Y128" i="11"/>
  <c r="X128" i="11"/>
  <c r="Z94" i="11"/>
  <c r="Z98" i="11"/>
  <c r="Y98" i="11"/>
  <c r="AB189" i="10"/>
  <c r="AB186" i="10"/>
  <c r="AC186" i="10"/>
  <c r="AC189" i="10"/>
  <c r="AC167" i="10"/>
  <c r="AC153" i="10"/>
  <c r="AC159" i="10"/>
  <c r="AC149" i="10"/>
  <c r="W149" i="10"/>
  <c r="AB161" i="10"/>
  <c r="AB167" i="10"/>
  <c r="AC161" i="10"/>
  <c r="AB159" i="10"/>
  <c r="AC151" i="10"/>
  <c r="S96" i="10"/>
  <c r="S113" i="10" s="1"/>
  <c r="AC95" i="10"/>
  <c r="AC111" i="10"/>
  <c r="AC105" i="10"/>
  <c r="AC101" i="10"/>
  <c r="AC91" i="10"/>
  <c r="AB95" i="10"/>
  <c r="AA105" i="10"/>
  <c r="AA111" i="10"/>
  <c r="AA103" i="10"/>
  <c r="AC88" i="10"/>
  <c r="AC103" i="10"/>
  <c r="AB111" i="10"/>
  <c r="AA91" i="10"/>
  <c r="AC85" i="10"/>
  <c r="AC99" i="10"/>
  <c r="AB99" i="10"/>
  <c r="AA93" i="10"/>
  <c r="AA108" i="10"/>
  <c r="AB108" i="10"/>
  <c r="AC108" i="10"/>
  <c r="AB101" i="10"/>
  <c r="AB103" i="10"/>
  <c r="AA95" i="10"/>
  <c r="AA97" i="10"/>
  <c r="AC93" i="10"/>
  <c r="AA99" i="10"/>
  <c r="AA88" i="10"/>
  <c r="AB97" i="10"/>
  <c r="AB93" i="10"/>
  <c r="AC73" i="10"/>
  <c r="AC77" i="10"/>
  <c r="AB77" i="10"/>
  <c r="AB75" i="10"/>
  <c r="AC75" i="10"/>
  <c r="AB70" i="10"/>
  <c r="AC70" i="10"/>
  <c r="AC38" i="10"/>
  <c r="AC42" i="10"/>
  <c r="AB42" i="10"/>
  <c r="AB38" i="10"/>
  <c r="S598" i="3"/>
  <c r="AC598" i="3" s="1"/>
  <c r="S564" i="3"/>
  <c r="S563" i="3"/>
  <c r="AB567" i="3"/>
  <c r="AC546" i="3"/>
  <c r="AC602" i="3"/>
  <c r="AC431" i="3"/>
  <c r="AC232" i="3"/>
  <c r="AC383" i="3"/>
  <c r="AC355" i="3"/>
  <c r="AC331" i="3"/>
  <c r="AC307" i="3"/>
  <c r="AC280" i="3"/>
  <c r="AC256" i="3"/>
  <c r="AC52" i="3"/>
  <c r="AB570" i="3"/>
  <c r="Q539" i="3"/>
  <c r="AC596" i="3"/>
  <c r="AC226" i="3"/>
  <c r="AC67" i="3"/>
  <c r="AC21" i="3"/>
  <c r="AC518" i="3"/>
  <c r="AC422" i="3"/>
  <c r="AC640" i="3"/>
  <c r="AC549" i="3"/>
  <c r="AC172" i="3"/>
  <c r="AC43" i="3"/>
  <c r="AC516" i="3"/>
  <c r="AC587" i="3"/>
  <c r="AC510" i="3"/>
  <c r="AC288" i="3"/>
  <c r="AC144" i="3"/>
  <c r="AC120" i="3"/>
  <c r="AC429" i="3"/>
  <c r="AC625" i="3"/>
  <c r="AC524" i="3"/>
  <c r="AC253" i="3"/>
  <c r="AC94" i="3"/>
  <c r="AC70" i="3"/>
  <c r="AC304" i="3"/>
  <c r="AC352" i="3"/>
  <c r="AC328" i="3"/>
  <c r="AC277" i="3"/>
  <c r="AC205" i="3"/>
  <c r="AC160" i="3"/>
  <c r="AC33" i="3"/>
  <c r="AC522" i="3"/>
  <c r="AC450" i="3"/>
  <c r="AC426" i="3"/>
  <c r="AC135" i="3"/>
  <c r="AC111" i="3"/>
  <c r="W567" i="3"/>
  <c r="AC230" i="3"/>
  <c r="AC138" i="3"/>
  <c r="P539" i="3"/>
  <c r="V567" i="3"/>
  <c r="AC251" i="3"/>
  <c r="AC424" i="3"/>
  <c r="AC301" i="3"/>
  <c r="AC114" i="3"/>
  <c r="AC520" i="3"/>
  <c r="AC448" i="3"/>
  <c r="AC349" i="3"/>
  <c r="AC30" i="3"/>
  <c r="AC224" i="3"/>
  <c r="AC202" i="3"/>
  <c r="AC132" i="3"/>
  <c r="AD570" i="3"/>
  <c r="V570" i="3"/>
  <c r="AC621" i="3"/>
  <c r="AC325" i="3"/>
  <c r="AC157" i="3"/>
  <c r="AC248" i="3"/>
  <c r="AC88" i="3"/>
  <c r="AC91" i="3"/>
  <c r="AC373" i="3"/>
  <c r="AC274" i="3"/>
  <c r="AC64" i="3"/>
  <c r="AC617" i="3"/>
  <c r="AC370" i="3"/>
  <c r="AC346" i="3"/>
  <c r="AC322" i="3"/>
  <c r="AC298" i="3"/>
  <c r="AC271" i="3"/>
  <c r="AC222" i="3"/>
  <c r="AC178" i="3"/>
  <c r="AC154" i="3"/>
  <c r="AD567" i="3"/>
  <c r="AC514" i="3"/>
  <c r="AC418" i="3"/>
  <c r="AC268" i="3"/>
  <c r="AC175" i="3"/>
  <c r="AC600" i="3"/>
  <c r="AC614" i="3"/>
  <c r="AC467" i="3"/>
  <c r="AC367" i="3"/>
  <c r="AC343" i="3"/>
  <c r="AC319" i="3"/>
  <c r="AC195" i="3"/>
  <c r="AC151" i="3"/>
  <c r="AC637" i="3"/>
  <c r="AC242" i="3"/>
  <c r="AC218" i="3"/>
  <c r="AC126" i="3"/>
  <c r="Y570" i="3"/>
  <c r="AC659" i="3"/>
  <c r="AC611" i="3"/>
  <c r="AC464" i="3"/>
  <c r="AC340" i="3"/>
  <c r="AC316" i="3"/>
  <c r="AC265" i="3"/>
  <c r="AC240" i="3"/>
  <c r="AC216" i="3"/>
  <c r="AC190" i="3"/>
  <c r="AC543" i="3"/>
  <c r="AC461" i="3"/>
  <c r="AC414" i="3"/>
  <c r="AC238" i="3"/>
  <c r="AC214" i="3"/>
  <c r="AC79" i="3"/>
  <c r="AC313" i="3"/>
  <c r="AC262" i="3"/>
  <c r="AC183" i="3"/>
  <c r="AC169" i="3"/>
  <c r="W570" i="3"/>
  <c r="Z570" i="3"/>
  <c r="Z567" i="3"/>
  <c r="AC634" i="3"/>
  <c r="AC608" i="3"/>
  <c r="AC508" i="3"/>
  <c r="AC100" i="3"/>
  <c r="AC76" i="3"/>
  <c r="AC142" i="3"/>
  <c r="AC27" i="3"/>
  <c r="AC656" i="3"/>
  <c r="AC337" i="3"/>
  <c r="AC360" i="3"/>
  <c r="AC411" i="3"/>
  <c r="AC334" i="3"/>
  <c r="AC282" i="3"/>
  <c r="AC234" i="3"/>
  <c r="AC49" i="3"/>
  <c r="AC631" i="3"/>
  <c r="AC653" i="3"/>
  <c r="AC533" i="3"/>
  <c r="AC357" i="3"/>
  <c r="AC310" i="3"/>
  <c r="AC259" i="3"/>
  <c r="AC628" i="3"/>
  <c r="AC531" i="3"/>
  <c r="AC505" i="3"/>
  <c r="AC140" i="3"/>
  <c r="AC117" i="3"/>
  <c r="Y567" i="3"/>
  <c r="AC236" i="3"/>
  <c r="AC605" i="3"/>
  <c r="AC97" i="3"/>
  <c r="AC73" i="3"/>
  <c r="S88" i="11"/>
  <c r="N88" i="11"/>
  <c r="P88" i="11"/>
  <c r="S141" i="10"/>
  <c r="M141" i="10"/>
  <c r="N141" i="10"/>
  <c r="U141" i="10"/>
  <c r="R141" i="10"/>
  <c r="U250" i="10"/>
  <c r="S250" i="10"/>
  <c r="M250" i="10"/>
  <c r="R250" i="10"/>
  <c r="P250" i="10"/>
  <c r="N250" i="10"/>
  <c r="Q250" i="10"/>
  <c r="O12" i="3"/>
  <c r="O11" i="3"/>
  <c r="Y11" i="3" s="1"/>
  <c r="AB11" i="3"/>
  <c r="AA11" i="3"/>
  <c r="Z11" i="3"/>
  <c r="W11" i="3"/>
  <c r="AC18" i="3"/>
  <c r="M548" i="3"/>
  <c r="L101" i="3"/>
  <c r="Q560" i="3"/>
  <c r="R555" i="3"/>
  <c r="R193" i="3"/>
  <c r="P526" i="3"/>
  <c r="Q376" i="3"/>
  <c r="Q578" i="3"/>
  <c r="P376" i="3"/>
  <c r="Q53" i="3"/>
  <c r="M555" i="3"/>
  <c r="P528" i="3"/>
  <c r="Q379" i="3"/>
  <c r="M36" i="3"/>
  <c r="P24" i="3"/>
  <c r="Q580" i="3"/>
  <c r="T103" i="3"/>
  <c r="T55" i="3"/>
  <c r="R187" i="3"/>
  <c r="R103" i="3"/>
  <c r="R55" i="3"/>
  <c r="L184" i="3"/>
  <c r="M193" i="3"/>
  <c r="L53" i="3"/>
  <c r="L193" i="3"/>
  <c r="O178" i="3"/>
  <c r="R53" i="3"/>
  <c r="O193" i="3"/>
  <c r="P184" i="3"/>
  <c r="P101" i="3"/>
  <c r="P53" i="3"/>
  <c r="P553" i="3"/>
  <c r="T180" i="3"/>
  <c r="AD180" i="3" s="1"/>
  <c r="R104" i="3"/>
  <c r="R180" i="3"/>
  <c r="AB180" i="3" s="1"/>
  <c r="Q104" i="3"/>
  <c r="M178" i="3"/>
  <c r="R528" i="3"/>
  <c r="R191" i="3"/>
  <c r="AB192" i="3" s="1"/>
  <c r="P180" i="3"/>
  <c r="Z180" i="3" s="1"/>
  <c r="L178" i="3"/>
  <c r="R24" i="3"/>
  <c r="M553" i="3"/>
  <c r="R580" i="3"/>
  <c r="Q528" i="3"/>
  <c r="R379" i="3"/>
  <c r="Q191" i="3"/>
  <c r="AA192" i="3" s="1"/>
  <c r="Q24" i="3"/>
  <c r="R594" i="3"/>
  <c r="P379" i="3"/>
  <c r="M580" i="3"/>
  <c r="O580" i="3"/>
  <c r="O379" i="3"/>
  <c r="M180" i="3"/>
  <c r="W180" i="3" s="1"/>
  <c r="P106" i="3"/>
  <c r="M376" i="3"/>
  <c r="P555" i="3"/>
  <c r="Q526" i="3"/>
  <c r="R376" i="3"/>
  <c r="Q193" i="3"/>
  <c r="R578" i="3"/>
  <c r="P193" i="3"/>
  <c r="L191" i="3"/>
  <c r="V192" i="3" s="1"/>
  <c r="R178" i="3"/>
  <c r="O187" i="3"/>
  <c r="O103" i="3"/>
  <c r="O55" i="3"/>
  <c r="L24" i="3"/>
  <c r="M187" i="3"/>
  <c r="M55" i="3"/>
  <c r="P560" i="3"/>
  <c r="Q555" i="3"/>
  <c r="R526" i="3"/>
  <c r="O191" i="3"/>
  <c r="Y192" i="3" s="1"/>
  <c r="L180" i="3"/>
  <c r="V180" i="3" s="1"/>
  <c r="O594" i="3"/>
  <c r="M191" i="3"/>
  <c r="W192" i="3" s="1"/>
  <c r="L376" i="3"/>
  <c r="Q178" i="3"/>
  <c r="P178" i="3"/>
  <c r="R36" i="3"/>
  <c r="M24" i="3"/>
  <c r="O560" i="3"/>
  <c r="L187" i="3"/>
  <c r="L103" i="3"/>
  <c r="L55" i="3"/>
  <c r="Q36" i="3"/>
  <c r="M34" i="3"/>
  <c r="W37" i="3" s="1"/>
  <c r="O22" i="3"/>
  <c r="O24" i="3"/>
  <c r="M594" i="3"/>
  <c r="O555" i="3"/>
  <c r="O106" i="3"/>
  <c r="P36" i="3"/>
  <c r="L34" i="3"/>
  <c r="M22" i="3"/>
  <c r="M560" i="3"/>
  <c r="O526" i="3"/>
  <c r="R184" i="3"/>
  <c r="R101" i="3"/>
  <c r="L22" i="3"/>
  <c r="O578" i="3"/>
  <c r="R553" i="3"/>
  <c r="O376" i="3"/>
  <c r="Q184" i="3"/>
  <c r="L106" i="3"/>
  <c r="Q101" i="3"/>
  <c r="O53" i="3"/>
  <c r="Q553" i="3"/>
  <c r="M53" i="3"/>
  <c r="M526" i="3"/>
  <c r="AD192" i="3"/>
  <c r="Q180" i="3"/>
  <c r="AA180" i="3" s="1"/>
  <c r="P104" i="3"/>
  <c r="T24" i="3"/>
  <c r="P191" i="3"/>
  <c r="Z192" i="3" s="1"/>
  <c r="O553" i="3"/>
  <c r="L36" i="3"/>
  <c r="Q594" i="3"/>
  <c r="O184" i="3"/>
  <c r="O101" i="3"/>
  <c r="P594" i="3"/>
  <c r="Q187" i="3"/>
  <c r="M184" i="3"/>
  <c r="Q103" i="3"/>
  <c r="Q55" i="3"/>
  <c r="R34" i="3"/>
  <c r="P187" i="3"/>
  <c r="T106" i="3"/>
  <c r="P103" i="3"/>
  <c r="P55" i="3"/>
  <c r="Q34" i="3"/>
  <c r="R22" i="3"/>
  <c r="M379" i="3"/>
  <c r="R106" i="3"/>
  <c r="O104" i="3"/>
  <c r="P34" i="3"/>
  <c r="Q22" i="3"/>
  <c r="L379" i="3"/>
  <c r="R560" i="3"/>
  <c r="O528" i="3"/>
  <c r="O180" i="3"/>
  <c r="Y180" i="3" s="1"/>
  <c r="Q106" i="3"/>
  <c r="P22" i="3"/>
  <c r="M578" i="3"/>
  <c r="O88" i="11"/>
  <c r="Q88" i="11"/>
  <c r="P71" i="11"/>
  <c r="N71" i="11"/>
  <c r="O71" i="11"/>
  <c r="M71" i="11"/>
  <c r="L71" i="11"/>
  <c r="S71" i="11"/>
  <c r="Q71" i="11"/>
  <c r="Q276" i="11"/>
  <c r="P276" i="11"/>
  <c r="O276" i="11"/>
  <c r="N276" i="11"/>
  <c r="Q250" i="11"/>
  <c r="S276" i="11"/>
  <c r="L276" i="11"/>
  <c r="M276" i="11"/>
  <c r="N250" i="11"/>
  <c r="S250" i="11"/>
  <c r="N232" i="11"/>
  <c r="P250" i="11"/>
  <c r="O250" i="11"/>
  <c r="L250" i="11"/>
  <c r="M250" i="11"/>
  <c r="S232" i="11"/>
  <c r="Q232" i="11"/>
  <c r="P232" i="11"/>
  <c r="O232" i="11"/>
  <c r="M232" i="11"/>
  <c r="L232" i="11"/>
  <c r="P103" i="11"/>
  <c r="O103" i="11"/>
  <c r="N103" i="11"/>
  <c r="P47" i="11"/>
  <c r="Q103" i="11"/>
  <c r="Q47" i="11"/>
  <c r="M103" i="11"/>
  <c r="L103" i="11"/>
  <c r="S103" i="11"/>
  <c r="O47" i="11"/>
  <c r="L47" i="11"/>
  <c r="N47" i="11"/>
  <c r="M47" i="11"/>
  <c r="S47" i="11"/>
  <c r="S33" i="11"/>
  <c r="N33" i="11"/>
  <c r="Q33" i="11"/>
  <c r="P33" i="11"/>
  <c r="L33" i="11"/>
  <c r="O33" i="11"/>
  <c r="M33" i="11"/>
  <c r="Q181" i="10"/>
  <c r="N181" i="10"/>
  <c r="P181" i="10"/>
  <c r="M181" i="10"/>
  <c r="S181" i="10"/>
  <c r="U181" i="10"/>
  <c r="Q113" i="10"/>
  <c r="S79" i="10"/>
  <c r="M113" i="10"/>
  <c r="U113" i="10"/>
  <c r="N113" i="10"/>
  <c r="P113" i="10"/>
  <c r="R79" i="10"/>
  <c r="P79" i="10"/>
  <c r="N79" i="10"/>
  <c r="Q79" i="10"/>
  <c r="U79" i="10"/>
  <c r="M79" i="10"/>
  <c r="S64" i="10"/>
  <c r="S45" i="10"/>
  <c r="R45" i="10"/>
  <c r="R64" i="10"/>
  <c r="U64" i="10"/>
  <c r="N64" i="10"/>
  <c r="Q64" i="10"/>
  <c r="P64" i="10"/>
  <c r="P45" i="10"/>
  <c r="N45" i="10"/>
  <c r="Q45" i="10"/>
  <c r="M45" i="10"/>
  <c r="U45" i="10"/>
  <c r="P27" i="10"/>
  <c r="S27" i="10"/>
  <c r="R27" i="10"/>
  <c r="Q27" i="10"/>
  <c r="N27" i="10"/>
  <c r="U27" i="10"/>
  <c r="M27" i="10"/>
  <c r="L411" i="3"/>
  <c r="P80" i="3"/>
  <c r="R28" i="3"/>
  <c r="M520" i="3"/>
  <c r="P265" i="3"/>
  <c r="L65" i="3"/>
  <c r="M410" i="3"/>
  <c r="M319" i="3"/>
  <c r="R368" i="3"/>
  <c r="Q522" i="3"/>
  <c r="P296" i="3"/>
  <c r="Q142" i="3"/>
  <c r="M648" i="3"/>
  <c r="M523" i="3"/>
  <c r="M475" i="3"/>
  <c r="M355" i="3"/>
  <c r="Q73" i="3"/>
  <c r="P49" i="3"/>
  <c r="L46" i="3"/>
  <c r="M462" i="3"/>
  <c r="P229" i="3"/>
  <c r="M38" i="3"/>
  <c r="Q48" i="3"/>
  <c r="M45" i="3"/>
  <c r="L169" i="3"/>
  <c r="O50" i="3"/>
  <c r="P43" i="3"/>
  <c r="L40" i="3"/>
  <c r="R39" i="3"/>
  <c r="P202" i="3"/>
  <c r="R188" i="3"/>
  <c r="R86" i="3"/>
  <c r="Q37" i="3"/>
  <c r="L459" i="3"/>
  <c r="V459" i="3" s="1"/>
  <c r="P351" i="3"/>
  <c r="L541" i="3"/>
  <c r="L506" i="3"/>
  <c r="P341" i="3"/>
  <c r="P282" i="3"/>
  <c r="Q214" i="3"/>
  <c r="O51" i="3"/>
  <c r="O94" i="3"/>
  <c r="L482" i="3"/>
  <c r="P13" i="3"/>
  <c r="R621" i="3"/>
  <c r="P64" i="3"/>
  <c r="P597" i="3"/>
  <c r="L410" i="3"/>
  <c r="P502" i="3"/>
  <c r="M31" i="3"/>
  <c r="P48" i="3"/>
  <c r="R614" i="3"/>
  <c r="R520" i="3"/>
  <c r="P29" i="3"/>
  <c r="M51" i="3"/>
  <c r="R46" i="3"/>
  <c r="M259" i="3"/>
  <c r="P46" i="3"/>
  <c r="Q198" i="3"/>
  <c r="Q111" i="3"/>
  <c r="R49" i="3"/>
  <c r="P39" i="3"/>
  <c r="R42" i="3"/>
  <c r="Q42" i="3"/>
  <c r="L652" i="3"/>
  <c r="R255" i="3"/>
  <c r="Q310" i="3"/>
  <c r="L173" i="3"/>
  <c r="R37" i="3"/>
  <c r="P28" i="3"/>
  <c r="Q51" i="3"/>
  <c r="R44" i="3"/>
  <c r="R196" i="3"/>
  <c r="P100" i="3"/>
  <c r="L96" i="3"/>
  <c r="P37" i="3"/>
  <c r="Q13" i="3"/>
  <c r="O52" i="3"/>
  <c r="P44" i="3"/>
  <c r="L41" i="3"/>
  <c r="L243" i="3"/>
  <c r="M52" i="3"/>
  <c r="R572" i="3"/>
  <c r="R29" i="3"/>
  <c r="M40" i="3"/>
  <c r="R45" i="3"/>
  <c r="P131" i="3"/>
  <c r="Q76" i="3"/>
  <c r="P59" i="3"/>
  <c r="Q39" i="3"/>
  <c r="R31" i="3"/>
  <c r="P52" i="3"/>
  <c r="L49" i="3"/>
  <c r="Q45" i="3"/>
  <c r="M42" i="3"/>
  <c r="Q118" i="3"/>
  <c r="R111" i="3"/>
  <c r="Q94" i="3"/>
  <c r="Q313" i="3"/>
  <c r="P204" i="3"/>
  <c r="R151" i="3"/>
  <c r="R48" i="3"/>
  <c r="Q49" i="3"/>
  <c r="M46" i="3"/>
  <c r="Q38" i="3"/>
  <c r="M12" i="3"/>
  <c r="R51" i="3"/>
  <c r="P41" i="3"/>
  <c r="L37" i="3"/>
  <c r="Q33" i="3"/>
  <c r="Q40" i="3"/>
  <c r="Q44" i="3"/>
  <c r="L291" i="3"/>
  <c r="V291" i="3" s="1"/>
  <c r="M37" i="3"/>
  <c r="Q46" i="3"/>
  <c r="Q357" i="3"/>
  <c r="Q333" i="3"/>
  <c r="P40" i="3"/>
  <c r="R33" i="3"/>
  <c r="R40" i="3"/>
  <c r="L266" i="3"/>
  <c r="R21" i="3"/>
  <c r="L69" i="3"/>
  <c r="Q64" i="3"/>
  <c r="R57" i="3"/>
  <c r="R18" i="3"/>
  <c r="R50" i="3"/>
  <c r="O48" i="3"/>
  <c r="P444" i="3"/>
  <c r="Z444" i="3" s="1"/>
  <c r="P389" i="3"/>
  <c r="R295" i="3"/>
  <c r="Q50" i="3"/>
  <c r="M48" i="3"/>
  <c r="R43" i="3"/>
  <c r="P50" i="3"/>
  <c r="P340" i="3"/>
  <c r="P198" i="3"/>
  <c r="L195" i="3"/>
  <c r="R183" i="3"/>
  <c r="L170" i="3"/>
  <c r="R52" i="3"/>
  <c r="Q52" i="3"/>
  <c r="M49" i="3"/>
  <c r="O43" i="3"/>
  <c r="R47" i="3"/>
  <c r="M43" i="3"/>
  <c r="R350" i="3"/>
  <c r="R302" i="3"/>
  <c r="R279" i="3"/>
  <c r="P38" i="3"/>
  <c r="P45" i="3"/>
  <c r="P602" i="3"/>
  <c r="L655" i="3"/>
  <c r="L391" i="3"/>
  <c r="L631" i="3"/>
  <c r="L590" i="3"/>
  <c r="O173" i="3"/>
  <c r="Q41" i="3"/>
  <c r="Q655" i="3"/>
  <c r="P638" i="3"/>
  <c r="R624" i="3"/>
  <c r="R600" i="3"/>
  <c r="P590" i="3"/>
  <c r="M82" i="3"/>
  <c r="O45" i="3"/>
  <c r="Q82" i="3"/>
  <c r="L62" i="3"/>
  <c r="P51" i="3"/>
  <c r="Q177" i="3"/>
  <c r="R633" i="3"/>
  <c r="P99" i="3"/>
  <c r="L38" i="3"/>
  <c r="L21" i="3"/>
  <c r="P412" i="3"/>
  <c r="L336" i="3"/>
  <c r="P315" i="3"/>
  <c r="R70" i="3"/>
  <c r="R41" i="3"/>
  <c r="P47" i="3"/>
  <c r="Q314" i="3"/>
  <c r="R159" i="3"/>
  <c r="P149" i="3"/>
  <c r="P77" i="3"/>
  <c r="R63" i="3"/>
  <c r="Q47" i="3"/>
  <c r="Q652" i="3"/>
  <c r="R548" i="3"/>
  <c r="P486" i="3"/>
  <c r="P365" i="3"/>
  <c r="Q358" i="3"/>
  <c r="P317" i="3"/>
  <c r="L267" i="3"/>
  <c r="R256" i="3"/>
  <c r="P246" i="3"/>
  <c r="Q239" i="3"/>
  <c r="P222" i="3"/>
  <c r="R38" i="3"/>
  <c r="P42" i="3"/>
  <c r="L39" i="3"/>
  <c r="M39" i="3"/>
  <c r="Q43" i="3"/>
  <c r="O46" i="3"/>
  <c r="R644" i="3"/>
  <c r="L607" i="3"/>
  <c r="P485" i="3"/>
  <c r="Q454" i="3"/>
  <c r="AA454" i="3" s="1"/>
  <c r="P437" i="3"/>
  <c r="Z437" i="3" s="1"/>
  <c r="L434" i="3"/>
  <c r="V434" i="3" s="1"/>
  <c r="Q430" i="3"/>
  <c r="R423" i="3"/>
  <c r="Q382" i="3"/>
  <c r="M330" i="3"/>
  <c r="P292" i="3"/>
  <c r="Z292" i="3" s="1"/>
  <c r="L289" i="3"/>
  <c r="V289" i="3" s="1"/>
  <c r="L649" i="3"/>
  <c r="O635" i="3"/>
  <c r="L577" i="3"/>
  <c r="Q573" i="3"/>
  <c r="R541" i="3"/>
  <c r="Q495" i="3"/>
  <c r="M493" i="3"/>
  <c r="R489" i="3"/>
  <c r="M469" i="3"/>
  <c r="AD458" i="3"/>
  <c r="L452" i="3"/>
  <c r="V452" i="3" s="1"/>
  <c r="R441" i="3"/>
  <c r="AB441" i="3" s="1"/>
  <c r="P431" i="3"/>
  <c r="R417" i="3"/>
  <c r="O414" i="3"/>
  <c r="L403" i="3"/>
  <c r="Q400" i="3"/>
  <c r="O390" i="3"/>
  <c r="Q375" i="3"/>
  <c r="M372" i="3"/>
  <c r="P358" i="3"/>
  <c r="R344" i="3"/>
  <c r="P333" i="3"/>
  <c r="L306" i="3"/>
  <c r="L283" i="3"/>
  <c r="V283" i="3" s="1"/>
  <c r="M277" i="3"/>
  <c r="M253" i="3"/>
  <c r="R248" i="3"/>
  <c r="P238" i="3"/>
  <c r="L236" i="3"/>
  <c r="O159" i="3"/>
  <c r="M142" i="3"/>
  <c r="R138" i="3"/>
  <c r="O135" i="3"/>
  <c r="L125" i="3"/>
  <c r="Q121" i="3"/>
  <c r="M118" i="3"/>
  <c r="R114" i="3"/>
  <c r="O111" i="3"/>
  <c r="Q97" i="3"/>
  <c r="O87" i="3"/>
  <c r="M70" i="3"/>
  <c r="R65" i="3"/>
  <c r="O63" i="3"/>
  <c r="P56" i="3"/>
  <c r="O208" i="3"/>
  <c r="Q194" i="3"/>
  <c r="O183" i="3"/>
  <c r="Q169" i="3"/>
  <c r="M63" i="3"/>
  <c r="L32" i="3"/>
  <c r="Q27" i="3"/>
  <c r="O49" i="3"/>
  <c r="O621" i="3"/>
  <c r="M604" i="3"/>
  <c r="M503" i="3"/>
  <c r="P489" i="3"/>
  <c r="L486" i="3"/>
  <c r="Q482" i="3"/>
  <c r="O472" i="3"/>
  <c r="L462" i="3"/>
  <c r="M455" i="3"/>
  <c r="W455" i="3" s="1"/>
  <c r="L438" i="3"/>
  <c r="V438" i="3" s="1"/>
  <c r="O424" i="3"/>
  <c r="L390" i="3"/>
  <c r="M383" i="3"/>
  <c r="O375" i="3"/>
  <c r="L365" i="3"/>
  <c r="M358" i="3"/>
  <c r="O351" i="3"/>
  <c r="Q337" i="3"/>
  <c r="R330" i="3"/>
  <c r="R306" i="3"/>
  <c r="O303" i="3"/>
  <c r="R283" i="3"/>
  <c r="AB283" i="3" s="1"/>
  <c r="O280" i="3"/>
  <c r="P273" i="3"/>
  <c r="Q266" i="3"/>
  <c r="O256" i="3"/>
  <c r="Q242" i="3"/>
  <c r="R235" i="3"/>
  <c r="P225" i="3"/>
  <c r="P27" i="3"/>
  <c r="L587" i="3"/>
  <c r="R617" i="3"/>
  <c r="Q600" i="3"/>
  <c r="M597" i="3"/>
  <c r="P583" i="3"/>
  <c r="R371" i="3"/>
  <c r="P313" i="3"/>
  <c r="M256" i="3"/>
  <c r="Q123" i="3"/>
  <c r="O28" i="3"/>
  <c r="Q19" i="3"/>
  <c r="M41" i="3"/>
  <c r="M652" i="3"/>
  <c r="L635" i="3"/>
  <c r="Q607" i="3"/>
  <c r="R576" i="3"/>
  <c r="Q31" i="3"/>
  <c r="L211" i="3"/>
  <c r="M200" i="3"/>
  <c r="L188" i="3"/>
  <c r="L163" i="3"/>
  <c r="L150" i="3"/>
  <c r="L149" i="3"/>
  <c r="L114" i="3"/>
  <c r="L98" i="3"/>
  <c r="M95" i="3"/>
  <c r="M84" i="3"/>
  <c r="L81" i="3"/>
  <c r="L77" i="3"/>
  <c r="M60" i="3"/>
  <c r="L52" i="3"/>
  <c r="L51" i="3"/>
  <c r="M50" i="3"/>
  <c r="O47" i="3"/>
  <c r="M47" i="3"/>
  <c r="L48" i="3"/>
  <c r="L47" i="3"/>
  <c r="O44" i="3"/>
  <c r="M44" i="3"/>
  <c r="L45" i="3"/>
  <c r="L44" i="3"/>
  <c r="L43" i="3"/>
  <c r="O42" i="3"/>
  <c r="O41" i="3"/>
  <c r="L42" i="3"/>
  <c r="Q406" i="3"/>
  <c r="R231" i="3"/>
  <c r="O107" i="3"/>
  <c r="P76" i="3"/>
  <c r="L73" i="3"/>
  <c r="Q590" i="3"/>
  <c r="P520" i="3"/>
  <c r="Q489" i="3"/>
  <c r="M486" i="3"/>
  <c r="R482" i="3"/>
  <c r="Q465" i="3"/>
  <c r="R457" i="3"/>
  <c r="AB457" i="3" s="1"/>
  <c r="R433" i="3"/>
  <c r="AB433" i="3" s="1"/>
  <c r="Q417" i="3"/>
  <c r="Q393" i="3"/>
  <c r="L348" i="3"/>
  <c r="Q272" i="3"/>
  <c r="R96" i="3"/>
  <c r="R72" i="3"/>
  <c r="R550" i="3"/>
  <c r="P540" i="3"/>
  <c r="R498" i="3"/>
  <c r="Q409" i="3"/>
  <c r="P392" i="3"/>
  <c r="Q360" i="3"/>
  <c r="P343" i="3"/>
  <c r="Q288" i="3"/>
  <c r="Q218" i="3"/>
  <c r="R89" i="3"/>
  <c r="M182" i="3"/>
  <c r="Q640" i="3"/>
  <c r="R508" i="3"/>
  <c r="R99" i="3"/>
  <c r="Q630" i="3"/>
  <c r="R32" i="3"/>
  <c r="Q412" i="3"/>
  <c r="R26" i="3"/>
  <c r="Q577" i="3"/>
  <c r="M352" i="3"/>
  <c r="R277" i="3"/>
  <c r="Q32" i="3"/>
  <c r="Q587" i="3"/>
  <c r="Q222" i="3"/>
  <c r="L363" i="3"/>
  <c r="L315" i="3"/>
  <c r="O181" i="3"/>
  <c r="Q597" i="3"/>
  <c r="P503" i="3"/>
  <c r="Q472" i="3"/>
  <c r="P407" i="3"/>
  <c r="R176" i="3"/>
  <c r="Q135" i="3"/>
  <c r="P320" i="3"/>
  <c r="R648" i="3"/>
  <c r="O169" i="3"/>
  <c r="P659" i="3"/>
  <c r="Q145" i="3"/>
  <c r="M656" i="3"/>
  <c r="P277" i="3"/>
  <c r="Q246" i="3"/>
  <c r="M195" i="3"/>
  <c r="P156" i="3"/>
  <c r="M122" i="3"/>
  <c r="P224" i="3"/>
  <c r="O658" i="3"/>
  <c r="P651" i="3"/>
  <c r="L648" i="3"/>
  <c r="Q644" i="3"/>
  <c r="M641" i="3"/>
  <c r="R637" i="3"/>
  <c r="O634" i="3"/>
  <c r="P627" i="3"/>
  <c r="L624" i="3"/>
  <c r="Q620" i="3"/>
  <c r="M617" i="3"/>
  <c r="Q631" i="3"/>
  <c r="P541" i="3"/>
  <c r="M658" i="3"/>
  <c r="O651" i="3"/>
  <c r="L641" i="3"/>
  <c r="Q636" i="3"/>
  <c r="R629" i="3"/>
  <c r="L617" i="3"/>
  <c r="L658" i="3"/>
  <c r="Q654" i="3"/>
  <c r="M651" i="3"/>
  <c r="R647" i="3"/>
  <c r="O644" i="3"/>
  <c r="P637" i="3"/>
  <c r="L634" i="3"/>
  <c r="M626" i="3"/>
  <c r="O620" i="3"/>
  <c r="L650" i="3"/>
  <c r="Q646" i="3"/>
  <c r="R640" i="3"/>
  <c r="L626" i="3"/>
  <c r="Q622" i="3"/>
  <c r="M619" i="3"/>
  <c r="R615" i="3"/>
  <c r="Q598" i="3"/>
  <c r="M596" i="3"/>
  <c r="P556" i="3"/>
  <c r="Q550" i="3"/>
  <c r="L525" i="3"/>
  <c r="V527" i="3" s="1"/>
  <c r="Q521" i="3"/>
  <c r="R514" i="3"/>
  <c r="P504" i="3"/>
  <c r="Q473" i="3"/>
  <c r="L429" i="3"/>
  <c r="L333" i="3"/>
  <c r="Q328" i="3"/>
  <c r="Q305" i="3"/>
  <c r="AD290" i="3"/>
  <c r="L262" i="3"/>
  <c r="P240" i="3"/>
  <c r="L189" i="3"/>
  <c r="L165" i="3"/>
  <c r="M134" i="3"/>
  <c r="P96" i="3"/>
  <c r="M86" i="3"/>
  <c r="R343" i="3"/>
  <c r="M571" i="3"/>
  <c r="Q289" i="3"/>
  <c r="AA289" i="3" s="1"/>
  <c r="M625" i="3"/>
  <c r="L584" i="3"/>
  <c r="M577" i="3"/>
  <c r="L559" i="3"/>
  <c r="L531" i="3"/>
  <c r="R496" i="3"/>
  <c r="L483" i="3"/>
  <c r="M260" i="3"/>
  <c r="M236" i="3"/>
  <c r="L219" i="3"/>
  <c r="L146" i="3"/>
  <c r="R87" i="3"/>
  <c r="M15" i="3"/>
  <c r="O166" i="3"/>
  <c r="M482" i="3"/>
  <c r="R430" i="3"/>
  <c r="R357" i="3"/>
  <c r="P347" i="3"/>
  <c r="M337" i="3"/>
  <c r="O330" i="3"/>
  <c r="L296" i="3"/>
  <c r="Q269" i="3"/>
  <c r="M266" i="3"/>
  <c r="R262" i="3"/>
  <c r="P252" i="3"/>
  <c r="M218" i="3"/>
  <c r="R214" i="3"/>
  <c r="M169" i="3"/>
  <c r="P155" i="3"/>
  <c r="O138" i="3"/>
  <c r="M97" i="3"/>
  <c r="R69" i="3"/>
  <c r="R613" i="3"/>
  <c r="O610" i="3"/>
  <c r="P603" i="3"/>
  <c r="L600" i="3"/>
  <c r="Q596" i="3"/>
  <c r="M593" i="3"/>
  <c r="R589" i="3"/>
  <c r="O586" i="3"/>
  <c r="L576" i="3"/>
  <c r="Q572" i="3"/>
  <c r="L551" i="3"/>
  <c r="M544" i="3"/>
  <c r="P525" i="3"/>
  <c r="L499" i="3"/>
  <c r="M492" i="3"/>
  <c r="R488" i="3"/>
  <c r="P478" i="3"/>
  <c r="L475" i="3"/>
  <c r="Q471" i="3"/>
  <c r="M468" i="3"/>
  <c r="R464" i="3"/>
  <c r="P454" i="3"/>
  <c r="Z454" i="3" s="1"/>
  <c r="L451" i="3"/>
  <c r="V451" i="3" s="1"/>
  <c r="M444" i="3"/>
  <c r="W444" i="3" s="1"/>
  <c r="P430" i="3"/>
  <c r="Q423" i="3"/>
  <c r="M420" i="3"/>
  <c r="R416" i="3"/>
  <c r="P406" i="3"/>
  <c r="L402" i="3"/>
  <c r="Q399" i="3"/>
  <c r="M396" i="3"/>
  <c r="R392" i="3"/>
  <c r="P382" i="3"/>
  <c r="M371" i="3"/>
  <c r="L354" i="3"/>
  <c r="M347" i="3"/>
  <c r="L330" i="3"/>
  <c r="M323" i="3"/>
  <c r="Q302" i="3"/>
  <c r="M299" i="3"/>
  <c r="M276" i="3"/>
  <c r="R272" i="3"/>
  <c r="P262" i="3"/>
  <c r="L259" i="3"/>
  <c r="M252" i="3"/>
  <c r="L235" i="3"/>
  <c r="Q231" i="3"/>
  <c r="M228" i="3"/>
  <c r="Q207" i="3"/>
  <c r="M204" i="3"/>
  <c r="R200" i="3"/>
  <c r="Q182" i="3"/>
  <c r="P165" i="3"/>
  <c r="M155" i="3"/>
  <c r="P141" i="3"/>
  <c r="M131" i="3"/>
  <c r="R127" i="3"/>
  <c r="Q110" i="3"/>
  <c r="M107" i="3"/>
  <c r="P93" i="3"/>
  <c r="L90" i="3"/>
  <c r="Q86" i="3"/>
  <c r="M83" i="3"/>
  <c r="R79" i="3"/>
  <c r="O76" i="3"/>
  <c r="P69" i="3"/>
  <c r="L66" i="3"/>
  <c r="Q62" i="3"/>
  <c r="M58" i="3"/>
  <c r="P33" i="3"/>
  <c r="Q613" i="3"/>
  <c r="M610" i="3"/>
  <c r="R606" i="3"/>
  <c r="P596" i="3"/>
  <c r="Q589" i="3"/>
  <c r="M586" i="3"/>
  <c r="R582" i="3"/>
  <c r="P571" i="3"/>
  <c r="R557" i="3"/>
  <c r="P547" i="3"/>
  <c r="L544" i="3"/>
  <c r="Q540" i="3"/>
  <c r="O525" i="3"/>
  <c r="P519" i="3"/>
  <c r="Q512" i="3"/>
  <c r="O502" i="3"/>
  <c r="M485" i="3"/>
  <c r="O478" i="3"/>
  <c r="L468" i="3"/>
  <c r="M461" i="3"/>
  <c r="Q439" i="3"/>
  <c r="AA439" i="3" s="1"/>
  <c r="M437" i="3"/>
  <c r="W437" i="3" s="1"/>
  <c r="L420" i="3"/>
  <c r="M412" i="3"/>
  <c r="R409" i="3"/>
  <c r="P398" i="3"/>
  <c r="L396" i="3"/>
  <c r="M389" i="3"/>
  <c r="L347" i="3"/>
  <c r="Q343" i="3"/>
  <c r="M340" i="3"/>
  <c r="P326" i="3"/>
  <c r="R311" i="3"/>
  <c r="M292" i="3"/>
  <c r="W292" i="3" s="1"/>
  <c r="L276" i="3"/>
  <c r="Q271" i="3"/>
  <c r="M269" i="3"/>
  <c r="P254" i="3"/>
  <c r="Q248" i="3"/>
  <c r="R241" i="3"/>
  <c r="P231" i="3"/>
  <c r="L228" i="3"/>
  <c r="R217" i="3"/>
  <c r="O214" i="3"/>
  <c r="P206" i="3"/>
  <c r="L204" i="3"/>
  <c r="M197" i="3"/>
  <c r="Q174" i="3"/>
  <c r="M172" i="3"/>
  <c r="R167" i="3"/>
  <c r="P158" i="3"/>
  <c r="L155" i="3"/>
  <c r="Q151" i="3"/>
  <c r="P134" i="3"/>
  <c r="L131" i="3"/>
  <c r="M124" i="3"/>
  <c r="O117" i="3"/>
  <c r="L107" i="3"/>
  <c r="M100" i="3"/>
  <c r="R95" i="3"/>
  <c r="O93" i="3"/>
  <c r="M76" i="3"/>
  <c r="R71" i="3"/>
  <c r="O68" i="3"/>
  <c r="P62" i="3"/>
  <c r="L59" i="3"/>
  <c r="P21" i="3"/>
  <c r="Q18" i="3"/>
  <c r="P613" i="3"/>
  <c r="L610" i="3"/>
  <c r="Q606" i="3"/>
  <c r="M602" i="3"/>
  <c r="R598" i="3"/>
  <c r="O596" i="3"/>
  <c r="P589" i="3"/>
  <c r="L586" i="3"/>
  <c r="Q582" i="3"/>
  <c r="R575" i="3"/>
  <c r="O572" i="3"/>
  <c r="Q557" i="3"/>
  <c r="O547" i="3"/>
  <c r="L533" i="3"/>
  <c r="R522" i="3"/>
  <c r="O519" i="3"/>
  <c r="P512" i="3"/>
  <c r="L509" i="3"/>
  <c r="Q504" i="3"/>
  <c r="M502" i="3"/>
  <c r="O495" i="3"/>
  <c r="P488" i="3"/>
  <c r="L484" i="3"/>
  <c r="Q481" i="3"/>
  <c r="M478" i="3"/>
  <c r="R474" i="3"/>
  <c r="O471" i="3"/>
  <c r="P464" i="3"/>
  <c r="Q456" i="3"/>
  <c r="AA456" i="3" s="1"/>
  <c r="M454" i="3"/>
  <c r="W454" i="3" s="1"/>
  <c r="R449" i="3"/>
  <c r="O447" i="3"/>
  <c r="Q433" i="3"/>
  <c r="AA433" i="3" s="1"/>
  <c r="R425" i="3"/>
  <c r="P416" i="3"/>
  <c r="P366" i="3"/>
  <c r="M357" i="3"/>
  <c r="L316" i="3"/>
  <c r="Q312" i="3"/>
  <c r="M309" i="3"/>
  <c r="O302" i="3"/>
  <c r="R281" i="3"/>
  <c r="L268" i="3"/>
  <c r="Q264" i="3"/>
  <c r="M262" i="3"/>
  <c r="R258" i="3"/>
  <c r="L244" i="3"/>
  <c r="R233" i="3"/>
  <c r="P223" i="3"/>
  <c r="L221" i="3"/>
  <c r="Q217" i="3"/>
  <c r="M214" i="3"/>
  <c r="L197" i="3"/>
  <c r="O182" i="3"/>
  <c r="M164" i="3"/>
  <c r="R160" i="3"/>
  <c r="P150" i="3"/>
  <c r="L147" i="3"/>
  <c r="M141" i="3"/>
  <c r="R136" i="3"/>
  <c r="L124" i="3"/>
  <c r="L99" i="3"/>
  <c r="Q95" i="3"/>
  <c r="Q71" i="3"/>
  <c r="M69" i="3"/>
  <c r="O61" i="3"/>
  <c r="R30" i="3"/>
  <c r="P18" i="3"/>
  <c r="R13" i="3"/>
  <c r="P549" i="3"/>
  <c r="R98" i="3"/>
  <c r="M78" i="3"/>
  <c r="R625" i="3"/>
  <c r="P321" i="3"/>
  <c r="R212" i="3"/>
  <c r="O15" i="3"/>
  <c r="L628" i="3"/>
  <c r="Q576" i="3"/>
  <c r="P218" i="3"/>
  <c r="Q211" i="3"/>
  <c r="P194" i="3"/>
  <c r="P169" i="3"/>
  <c r="P97" i="3"/>
  <c r="P74" i="3"/>
  <c r="P19" i="3"/>
  <c r="Q15" i="3"/>
  <c r="R15" i="3"/>
  <c r="R473" i="3"/>
  <c r="R499" i="3"/>
  <c r="P599" i="3"/>
  <c r="R532" i="3"/>
  <c r="P450" i="3"/>
  <c r="P402" i="3"/>
  <c r="R315" i="3"/>
  <c r="P305" i="3"/>
  <c r="Q298" i="3"/>
  <c r="Q227" i="3"/>
  <c r="L182" i="3"/>
  <c r="O168" i="3"/>
  <c r="O144" i="3"/>
  <c r="R123" i="3"/>
  <c r="L86" i="3"/>
  <c r="Q440" i="3"/>
  <c r="AA440" i="3" s="1"/>
  <c r="Q28" i="3"/>
  <c r="L485" i="3"/>
  <c r="P633" i="3"/>
  <c r="M574" i="3"/>
  <c r="P559" i="3"/>
  <c r="Q525" i="3"/>
  <c r="R517" i="3"/>
  <c r="Q500" i="3"/>
  <c r="R445" i="3"/>
  <c r="O213" i="3"/>
  <c r="M123" i="3"/>
  <c r="Q462" i="3"/>
  <c r="Q414" i="3"/>
  <c r="Q390" i="3"/>
  <c r="M388" i="3"/>
  <c r="Q341" i="3"/>
  <c r="Q317" i="3"/>
  <c r="P300" i="3"/>
  <c r="L274" i="3"/>
  <c r="M267" i="3"/>
  <c r="P253" i="3"/>
  <c r="R215" i="3"/>
  <c r="P205" i="3"/>
  <c r="Q173" i="3"/>
  <c r="R142" i="3"/>
  <c r="P132" i="3"/>
  <c r="R94" i="3"/>
  <c r="M74" i="3"/>
  <c r="L15" i="3"/>
  <c r="L632" i="3"/>
  <c r="L608" i="3"/>
  <c r="M601" i="3"/>
  <c r="R573" i="3"/>
  <c r="R645" i="3"/>
  <c r="P611" i="3"/>
  <c r="P652" i="3"/>
  <c r="Q645" i="3"/>
  <c r="M642" i="3"/>
  <c r="R638" i="3"/>
  <c r="P628" i="3"/>
  <c r="L625" i="3"/>
  <c r="Q621" i="3"/>
  <c r="P604" i="3"/>
  <c r="R590" i="3"/>
  <c r="L552" i="3"/>
  <c r="Q548" i="3"/>
  <c r="L524" i="3"/>
  <c r="Q520" i="3"/>
  <c r="M517" i="3"/>
  <c r="R513" i="3"/>
  <c r="L500" i="3"/>
  <c r="Q496" i="3"/>
  <c r="L476" i="3"/>
  <c r="R465" i="3"/>
  <c r="P455" i="3"/>
  <c r="Z455" i="3" s="1"/>
  <c r="Q448" i="3"/>
  <c r="M445" i="3"/>
  <c r="L428" i="3"/>
  <c r="Q424" i="3"/>
  <c r="M397" i="3"/>
  <c r="R393" i="3"/>
  <c r="P383" i="3"/>
  <c r="L380" i="3"/>
  <c r="Q351" i="3"/>
  <c r="L331" i="3"/>
  <c r="L307" i="3"/>
  <c r="M300" i="3"/>
  <c r="L260" i="3"/>
  <c r="Q183" i="3"/>
  <c r="R152" i="3"/>
  <c r="P142" i="3"/>
  <c r="L139" i="3"/>
  <c r="P118" i="3"/>
  <c r="L115" i="3"/>
  <c r="L91" i="3"/>
  <c r="O77" i="3"/>
  <c r="M649" i="3"/>
  <c r="Q604" i="3"/>
  <c r="P344" i="3"/>
  <c r="Q247" i="3"/>
  <c r="Q628" i="3"/>
  <c r="R597" i="3"/>
  <c r="M552" i="3"/>
  <c r="L78" i="3"/>
  <c r="Q21" i="3"/>
  <c r="R658" i="3"/>
  <c r="P648" i="3"/>
  <c r="L645" i="3"/>
  <c r="Q641" i="3"/>
  <c r="M638" i="3"/>
  <c r="R634" i="3"/>
  <c r="O632" i="3"/>
  <c r="P624" i="3"/>
  <c r="Q617" i="3"/>
  <c r="M614" i="3"/>
  <c r="R610" i="3"/>
  <c r="P600" i="3"/>
  <c r="L597" i="3"/>
  <c r="Q593" i="3"/>
  <c r="M590" i="3"/>
  <c r="R586" i="3"/>
  <c r="P576" i="3"/>
  <c r="L573" i="3"/>
  <c r="Q544" i="3"/>
  <c r="M541" i="3"/>
  <c r="R533" i="3"/>
  <c r="O530" i="3"/>
  <c r="P523" i="3"/>
  <c r="L520" i="3"/>
  <c r="Q516" i="3"/>
  <c r="M513" i="3"/>
  <c r="P500" i="3"/>
  <c r="L449" i="3"/>
  <c r="Q444" i="3"/>
  <c r="AA444" i="3" s="1"/>
  <c r="Q420" i="3"/>
  <c r="R413" i="3"/>
  <c r="P403" i="3"/>
  <c r="Q371" i="3"/>
  <c r="R364" i="3"/>
  <c r="O362" i="3"/>
  <c r="L352" i="3"/>
  <c r="M345" i="3"/>
  <c r="P330" i="3"/>
  <c r="M321" i="3"/>
  <c r="O314" i="3"/>
  <c r="Q205" i="3"/>
  <c r="R198" i="3"/>
  <c r="P188" i="3"/>
  <c r="L29" i="3"/>
  <c r="L245" i="3"/>
  <c r="M20" i="3"/>
  <c r="O16" i="3"/>
  <c r="P495" i="3"/>
  <c r="P423" i="3"/>
  <c r="Q416" i="3"/>
  <c r="P399" i="3"/>
  <c r="P350" i="3"/>
  <c r="R336" i="3"/>
  <c r="P302" i="3"/>
  <c r="L100" i="3"/>
  <c r="M68" i="3"/>
  <c r="M413" i="3"/>
  <c r="P641" i="3"/>
  <c r="M631" i="3"/>
  <c r="P658" i="3"/>
  <c r="Q651" i="3"/>
  <c r="O641" i="3"/>
  <c r="P634" i="3"/>
  <c r="M624" i="3"/>
  <c r="R620" i="3"/>
  <c r="O617" i="3"/>
  <c r="P610" i="3"/>
  <c r="Q603" i="3"/>
  <c r="M600" i="3"/>
  <c r="R596" i="3"/>
  <c r="O593" i="3"/>
  <c r="P586" i="3"/>
  <c r="L583" i="3"/>
  <c r="M576" i="3"/>
  <c r="L558" i="3"/>
  <c r="M551" i="3"/>
  <c r="R547" i="3"/>
  <c r="O544" i="3"/>
  <c r="P533" i="3"/>
  <c r="L530" i="3"/>
  <c r="R519" i="3"/>
  <c r="O516" i="3"/>
  <c r="P509" i="3"/>
  <c r="Q502" i="3"/>
  <c r="M499" i="3"/>
  <c r="R495" i="3"/>
  <c r="O492" i="3"/>
  <c r="Q478" i="3"/>
  <c r="R471" i="3"/>
  <c r="O468" i="3"/>
  <c r="P461" i="3"/>
  <c r="L458" i="3"/>
  <c r="V458" i="3" s="1"/>
  <c r="M451" i="3"/>
  <c r="W451" i="3" s="1"/>
  <c r="R447" i="3"/>
  <c r="O444" i="3"/>
  <c r="Y444" i="3" s="1"/>
  <c r="M427" i="3"/>
  <c r="W427" i="3" s="1"/>
  <c r="O420" i="3"/>
  <c r="P413" i="3"/>
  <c r="M403" i="3"/>
  <c r="R399" i="3"/>
  <c r="O396" i="3"/>
  <c r="L386" i="3"/>
  <c r="R374" i="3"/>
  <c r="O371" i="3"/>
  <c r="P364" i="3"/>
  <c r="M354" i="3"/>
  <c r="O347" i="3"/>
  <c r="R326" i="3"/>
  <c r="O323" i="3"/>
  <c r="M283" i="3"/>
  <c r="W283" i="3" s="1"/>
  <c r="Q262" i="3"/>
  <c r="P221" i="3"/>
  <c r="L218" i="3"/>
  <c r="R207" i="3"/>
  <c r="M90" i="3"/>
  <c r="M66" i="3"/>
  <c r="L82" i="3"/>
  <c r="L513" i="3"/>
  <c r="AD451" i="3"/>
  <c r="R312" i="3"/>
  <c r="L190" i="3"/>
  <c r="M99" i="3"/>
  <c r="M59" i="3"/>
  <c r="R481" i="3"/>
  <c r="Q295" i="3"/>
  <c r="Q224" i="3"/>
  <c r="P207" i="3"/>
  <c r="P110" i="3"/>
  <c r="P86" i="3"/>
  <c r="O137" i="3"/>
  <c r="R288" i="3"/>
  <c r="L89" i="3"/>
  <c r="R68" i="3"/>
  <c r="P655" i="3"/>
  <c r="M645" i="3"/>
  <c r="M621" i="3"/>
  <c r="O614" i="3"/>
  <c r="L604" i="3"/>
  <c r="R593" i="3"/>
  <c r="O590" i="3"/>
  <c r="R27" i="3"/>
  <c r="O172" i="3"/>
  <c r="O171" i="3"/>
  <c r="O100" i="3"/>
  <c r="O99" i="3"/>
  <c r="O18" i="3"/>
  <c r="O17" i="3"/>
  <c r="L492" i="3"/>
  <c r="M633" i="3"/>
  <c r="R504" i="3"/>
  <c r="M460" i="3"/>
  <c r="P422" i="3"/>
  <c r="M291" i="3"/>
  <c r="W291" i="3" s="1"/>
  <c r="R264" i="3"/>
  <c r="L227" i="3"/>
  <c r="Q223" i="3"/>
  <c r="L203" i="3"/>
  <c r="L202" i="3"/>
  <c r="O164" i="3"/>
  <c r="Q150" i="3"/>
  <c r="M147" i="3"/>
  <c r="O140" i="3"/>
  <c r="R119" i="3"/>
  <c r="R118" i="3"/>
  <c r="O116" i="3"/>
  <c r="O115" i="3"/>
  <c r="O92" i="3"/>
  <c r="P85" i="3"/>
  <c r="P84" i="3"/>
  <c r="Q78" i="3"/>
  <c r="Q77" i="3"/>
  <c r="P61" i="3"/>
  <c r="P60" i="3"/>
  <c r="M585" i="3"/>
  <c r="M532" i="3"/>
  <c r="L515" i="3"/>
  <c r="M508" i="3"/>
  <c r="Q487" i="3"/>
  <c r="L467" i="3"/>
  <c r="R408" i="3"/>
  <c r="P272" i="3"/>
  <c r="O255" i="3"/>
  <c r="R137" i="3"/>
  <c r="R113" i="3"/>
  <c r="M573" i="3"/>
  <c r="Q551" i="3"/>
  <c r="R544" i="3"/>
  <c r="P530" i="3"/>
  <c r="Q523" i="3"/>
  <c r="R516" i="3"/>
  <c r="O513" i="3"/>
  <c r="L503" i="3"/>
  <c r="M496" i="3"/>
  <c r="O489" i="3"/>
  <c r="R467" i="3"/>
  <c r="P457" i="3"/>
  <c r="Z457" i="3" s="1"/>
  <c r="Q450" i="3"/>
  <c r="R443" i="3"/>
  <c r="AB443" i="3" s="1"/>
  <c r="P433" i="3"/>
  <c r="Z433" i="3" s="1"/>
  <c r="Q426" i="3"/>
  <c r="O417" i="3"/>
  <c r="P409" i="3"/>
  <c r="Q402" i="3"/>
  <c r="R395" i="3"/>
  <c r="P385" i="3"/>
  <c r="Q329" i="3"/>
  <c r="M326" i="3"/>
  <c r="P312" i="3"/>
  <c r="M302" i="3"/>
  <c r="R298" i="3"/>
  <c r="Q282" i="3"/>
  <c r="M280" i="3"/>
  <c r="O272" i="3"/>
  <c r="Q258" i="3"/>
  <c r="R251" i="3"/>
  <c r="P217" i="3"/>
  <c r="Q210" i="3"/>
  <c r="O175" i="3"/>
  <c r="P168" i="3"/>
  <c r="Q161" i="3"/>
  <c r="R154" i="3"/>
  <c r="Q137" i="3"/>
  <c r="R130" i="3"/>
  <c r="O127" i="3"/>
  <c r="P120" i="3"/>
  <c r="Q113" i="3"/>
  <c r="R82" i="3"/>
  <c r="P72" i="3"/>
  <c r="M62" i="3"/>
  <c r="R58" i="3"/>
  <c r="Q30" i="3"/>
  <c r="M295" i="3"/>
  <c r="R244" i="3"/>
  <c r="R220" i="3"/>
  <c r="L207" i="3"/>
  <c r="L158" i="3"/>
  <c r="Q130" i="3"/>
  <c r="P113" i="3"/>
  <c r="M79" i="3"/>
  <c r="P65" i="3"/>
  <c r="Q58" i="3"/>
  <c r="R655" i="3"/>
  <c r="O652" i="3"/>
  <c r="P645" i="3"/>
  <c r="Q638" i="3"/>
  <c r="R631" i="3"/>
  <c r="P621" i="3"/>
  <c r="L618" i="3"/>
  <c r="Q614" i="3"/>
  <c r="M611" i="3"/>
  <c r="R607" i="3"/>
  <c r="M587" i="3"/>
  <c r="R583" i="3"/>
  <c r="P573" i="3"/>
  <c r="R558" i="3"/>
  <c r="P548" i="3"/>
  <c r="Q541" i="3"/>
  <c r="R530" i="3"/>
  <c r="L517" i="3"/>
  <c r="Q513" i="3"/>
  <c r="R506" i="3"/>
  <c r="P496" i="3"/>
  <c r="L493" i="3"/>
  <c r="P472" i="3"/>
  <c r="L469" i="3"/>
  <c r="R458" i="3"/>
  <c r="AB458" i="3" s="1"/>
  <c r="P448" i="3"/>
  <c r="L445" i="3"/>
  <c r="Q441" i="3"/>
  <c r="AA441" i="3" s="1"/>
  <c r="R434" i="3"/>
  <c r="AB434" i="3" s="1"/>
  <c r="R410" i="3"/>
  <c r="L397" i="3"/>
  <c r="P375" i="3"/>
  <c r="L372" i="3"/>
  <c r="Q368" i="3"/>
  <c r="M365" i="3"/>
  <c r="R361" i="3"/>
  <c r="M342" i="3"/>
  <c r="O334" i="3"/>
  <c r="L301" i="3"/>
  <c r="L278" i="3"/>
  <c r="M223" i="3"/>
  <c r="O215" i="3"/>
  <c r="L206" i="3"/>
  <c r="P183" i="3"/>
  <c r="Q176" i="3"/>
  <c r="O167" i="3"/>
  <c r="P159" i="3"/>
  <c r="M150" i="3"/>
  <c r="O142" i="3"/>
  <c r="P135" i="3"/>
  <c r="Q129" i="3"/>
  <c r="M126" i="3"/>
  <c r="R122" i="3"/>
  <c r="P112" i="3"/>
  <c r="R97" i="3"/>
  <c r="O95" i="3"/>
  <c r="L85" i="3"/>
  <c r="Q80" i="3"/>
  <c r="R74" i="3"/>
  <c r="O71" i="3"/>
  <c r="P63" i="3"/>
  <c r="Q56" i="3"/>
  <c r="R19" i="3"/>
  <c r="R259" i="3"/>
  <c r="P249" i="3"/>
  <c r="P201" i="3"/>
  <c r="P176" i="3"/>
  <c r="P152" i="3"/>
  <c r="P128" i="3"/>
  <c r="R90" i="3"/>
  <c r="R66" i="3"/>
  <c r="M595" i="3"/>
  <c r="M494" i="3"/>
  <c r="M470" i="3"/>
  <c r="P432" i="3"/>
  <c r="Z432" i="3" s="1"/>
  <c r="P359" i="3"/>
  <c r="R297" i="3"/>
  <c r="Q233" i="3"/>
  <c r="L164" i="3"/>
  <c r="Q160" i="3"/>
  <c r="M85" i="3"/>
  <c r="R81" i="3"/>
  <c r="M17" i="3"/>
  <c r="P306" i="3"/>
  <c r="M296" i="3"/>
  <c r="P283" i="3"/>
  <c r="Z283" i="3" s="1"/>
  <c r="L280" i="3"/>
  <c r="Q276" i="3"/>
  <c r="M273" i="3"/>
  <c r="O266" i="3"/>
  <c r="P259" i="3"/>
  <c r="L256" i="3"/>
  <c r="Q252" i="3"/>
  <c r="R245" i="3"/>
  <c r="O242" i="3"/>
  <c r="P235" i="3"/>
  <c r="R221" i="3"/>
  <c r="P211" i="3"/>
  <c r="M201" i="3"/>
  <c r="L183" i="3"/>
  <c r="L159" i="3"/>
  <c r="Q155" i="3"/>
  <c r="R148" i="3"/>
  <c r="O145" i="3"/>
  <c r="P138" i="3"/>
  <c r="Q131" i="3"/>
  <c r="M128" i="3"/>
  <c r="R124" i="3"/>
  <c r="P114" i="3"/>
  <c r="L111" i="3"/>
  <c r="O97" i="3"/>
  <c r="M80" i="3"/>
  <c r="P66" i="3"/>
  <c r="Q59" i="3"/>
  <c r="P31" i="3"/>
  <c r="M25" i="3"/>
  <c r="O19" i="3"/>
  <c r="P15" i="3"/>
  <c r="Q658" i="3"/>
  <c r="M655" i="3"/>
  <c r="R651" i="3"/>
  <c r="L615" i="3"/>
  <c r="P544" i="3"/>
  <c r="Q533" i="3"/>
  <c r="P516" i="3"/>
  <c r="Q509" i="3"/>
  <c r="L490" i="3"/>
  <c r="Q485" i="3"/>
  <c r="P468" i="3"/>
  <c r="L465" i="3"/>
  <c r="Q461" i="3"/>
  <c r="M459" i="3"/>
  <c r="W459" i="3" s="1"/>
  <c r="Q437" i="3"/>
  <c r="AA437" i="3" s="1"/>
  <c r="Q413" i="3"/>
  <c r="R406" i="3"/>
  <c r="L393" i="3"/>
  <c r="Q389" i="3"/>
  <c r="M387" i="3"/>
  <c r="Q364" i="3"/>
  <c r="L344" i="3"/>
  <c r="Q340" i="3"/>
  <c r="P323" i="3"/>
  <c r="R309" i="3"/>
  <c r="P299" i="3"/>
  <c r="M243" i="3"/>
  <c r="M219" i="3"/>
  <c r="O212" i="3"/>
  <c r="O188" i="3"/>
  <c r="Q172" i="3"/>
  <c r="M170" i="3"/>
  <c r="M146" i="3"/>
  <c r="O139" i="3"/>
  <c r="L128" i="3"/>
  <c r="Q125" i="3"/>
  <c r="R117" i="3"/>
  <c r="P108" i="3"/>
  <c r="Q100" i="3"/>
  <c r="M98" i="3"/>
  <c r="O91" i="3"/>
  <c r="L80" i="3"/>
  <c r="M73" i="3"/>
  <c r="L56" i="3"/>
  <c r="O32" i="3"/>
  <c r="M629" i="3"/>
  <c r="Q559" i="3"/>
  <c r="R552" i="3"/>
  <c r="P490" i="3"/>
  <c r="L487" i="3"/>
  <c r="Q411" i="3"/>
  <c r="M384" i="3"/>
  <c r="R380" i="3"/>
  <c r="P369" i="3"/>
  <c r="L366" i="3"/>
  <c r="Q362" i="3"/>
  <c r="R355" i="3"/>
  <c r="P345" i="3"/>
  <c r="R331" i="3"/>
  <c r="O304" i="3"/>
  <c r="P274" i="3"/>
  <c r="Q267" i="3"/>
  <c r="R260" i="3"/>
  <c r="O257" i="3"/>
  <c r="Q244" i="3"/>
  <c r="R236" i="3"/>
  <c r="O233" i="3"/>
  <c r="P226" i="3"/>
  <c r="Q219" i="3"/>
  <c r="O209" i="3"/>
  <c r="L200" i="3"/>
  <c r="Q195" i="3"/>
  <c r="P177" i="3"/>
  <c r="L174" i="3"/>
  <c r="M167" i="3"/>
  <c r="O160" i="3"/>
  <c r="Q147" i="3"/>
  <c r="M143" i="3"/>
  <c r="O136" i="3"/>
  <c r="L126" i="3"/>
  <c r="O112" i="3"/>
  <c r="Q99" i="3"/>
  <c r="P82" i="3"/>
  <c r="O29" i="3"/>
  <c r="Q25" i="3"/>
  <c r="R20" i="3"/>
  <c r="P243" i="3"/>
  <c r="M137" i="3"/>
  <c r="L120" i="3"/>
  <c r="P98" i="3"/>
  <c r="Q91" i="3"/>
  <c r="R84" i="3"/>
  <c r="Q67" i="3"/>
  <c r="R60" i="3"/>
  <c r="P25" i="3"/>
  <c r="Q20" i="3"/>
  <c r="R16" i="3"/>
  <c r="R636" i="3"/>
  <c r="L599" i="3"/>
  <c r="Q595" i="3"/>
  <c r="O585" i="3"/>
  <c r="L575" i="3"/>
  <c r="M543" i="3"/>
  <c r="O532" i="3"/>
  <c r="L522" i="3"/>
  <c r="R511" i="3"/>
  <c r="O508" i="3"/>
  <c r="P501" i="3"/>
  <c r="L498" i="3"/>
  <c r="R487" i="3"/>
  <c r="O484" i="3"/>
  <c r="P477" i="3"/>
  <c r="M467" i="3"/>
  <c r="O460" i="3"/>
  <c r="L450" i="3"/>
  <c r="Q446" i="3"/>
  <c r="O436" i="3"/>
  <c r="Y436" i="3" s="1"/>
  <c r="P429" i="3"/>
  <c r="L426" i="3"/>
  <c r="M419" i="3"/>
  <c r="R415" i="3"/>
  <c r="O412" i="3"/>
  <c r="M395" i="3"/>
  <c r="R391" i="3"/>
  <c r="P381" i="3"/>
  <c r="M370" i="3"/>
  <c r="R366" i="3"/>
  <c r="O363" i="3"/>
  <c r="L353" i="3"/>
  <c r="M346" i="3"/>
  <c r="R342" i="3"/>
  <c r="O339" i="3"/>
  <c r="M322" i="3"/>
  <c r="R318" i="3"/>
  <c r="O315" i="3"/>
  <c r="P308" i="3"/>
  <c r="L305" i="3"/>
  <c r="R294" i="3"/>
  <c r="O291" i="3"/>
  <c r="Y291" i="3" s="1"/>
  <c r="L282" i="3"/>
  <c r="Q278" i="3"/>
  <c r="M275" i="3"/>
  <c r="O268" i="3"/>
  <c r="P261" i="3"/>
  <c r="L258" i="3"/>
  <c r="Q254" i="3"/>
  <c r="M251" i="3"/>
  <c r="O244" i="3"/>
  <c r="M227" i="3"/>
  <c r="R223" i="3"/>
  <c r="O220" i="3"/>
  <c r="Q206" i="3"/>
  <c r="M203" i="3"/>
  <c r="R174" i="3"/>
  <c r="O123" i="3"/>
  <c r="P116" i="3"/>
  <c r="R78" i="3"/>
  <c r="O75" i="3"/>
  <c r="P20" i="3"/>
  <c r="Q16" i="3"/>
  <c r="L12" i="3"/>
  <c r="L64" i="3"/>
  <c r="P32" i="3"/>
  <c r="R623" i="3"/>
  <c r="R622" i="3"/>
  <c r="P653" i="3"/>
  <c r="P654" i="3"/>
  <c r="L603" i="3"/>
  <c r="L602" i="3"/>
  <c r="L622" i="3"/>
  <c r="L621" i="3"/>
  <c r="L208" i="3"/>
  <c r="P91" i="3"/>
  <c r="P67" i="3"/>
  <c r="Q60" i="3"/>
  <c r="M81" i="3"/>
  <c r="O74" i="3"/>
  <c r="O73" i="3"/>
  <c r="M226" i="3"/>
  <c r="M225" i="3"/>
  <c r="O577" i="3"/>
  <c r="M559" i="3"/>
  <c r="M483" i="3"/>
  <c r="R383" i="3"/>
  <c r="P372" i="3"/>
  <c r="R334" i="3"/>
  <c r="M314" i="3"/>
  <c r="O307" i="3"/>
  <c r="L297" i="3"/>
  <c r="Q293" i="3"/>
  <c r="AA293" i="3" s="1"/>
  <c r="L177" i="3"/>
  <c r="R166" i="3"/>
  <c r="O163" i="3"/>
  <c r="L153" i="3"/>
  <c r="R455" i="3"/>
  <c r="AB455" i="3" s="1"/>
  <c r="P445" i="3"/>
  <c r="Q425" i="3"/>
  <c r="M386" i="3"/>
  <c r="P92" i="3"/>
  <c r="L68" i="3"/>
  <c r="L57" i="3"/>
  <c r="O649" i="3"/>
  <c r="M584" i="3"/>
  <c r="R479" i="3"/>
  <c r="L442" i="3"/>
  <c r="V442" i="3" s="1"/>
  <c r="R431" i="3"/>
  <c r="P421" i="3"/>
  <c r="M362" i="3"/>
  <c r="R478" i="3"/>
  <c r="Q243" i="3"/>
  <c r="L92" i="3"/>
  <c r="R73" i="3"/>
  <c r="R153" i="3"/>
  <c r="P572" i="3"/>
  <c r="R85" i="3"/>
  <c r="R341" i="3"/>
  <c r="L250" i="3"/>
  <c r="R61" i="3"/>
  <c r="L67" i="3"/>
  <c r="Q61" i="3"/>
  <c r="Q647" i="3"/>
  <c r="P630" i="3"/>
  <c r="Q623" i="3"/>
  <c r="P606" i="3"/>
  <c r="Q599" i="3"/>
  <c r="P582" i="3"/>
  <c r="Q575" i="3"/>
  <c r="P557" i="3"/>
  <c r="M547" i="3"/>
  <c r="P505" i="3"/>
  <c r="R491" i="3"/>
  <c r="P481" i="3"/>
  <c r="L478" i="3"/>
  <c r="Q474" i="3"/>
  <c r="AD436" i="3"/>
  <c r="R25" i="3"/>
  <c r="M643" i="3"/>
  <c r="L591" i="3"/>
  <c r="R529" i="3"/>
  <c r="R216" i="3"/>
  <c r="O506" i="3"/>
  <c r="R269" i="3"/>
  <c r="L232" i="3"/>
  <c r="Q228" i="3"/>
  <c r="O218" i="3"/>
  <c r="Q204" i="3"/>
  <c r="R197" i="3"/>
  <c r="P90" i="3"/>
  <c r="Q83" i="3"/>
  <c r="R76" i="3"/>
  <c r="L63" i="3"/>
  <c r="Q529" i="3"/>
  <c r="Q505" i="3"/>
  <c r="P371" i="3"/>
  <c r="O162" i="3"/>
  <c r="L638" i="3"/>
  <c r="O624" i="3"/>
  <c r="L614" i="3"/>
  <c r="M607" i="3"/>
  <c r="O600" i="3"/>
  <c r="M583" i="3"/>
  <c r="O576" i="3"/>
  <c r="M558" i="3"/>
  <c r="O13" i="3"/>
  <c r="R382" i="3"/>
  <c r="Q124" i="3"/>
  <c r="Q626" i="3"/>
  <c r="Q453" i="3"/>
  <c r="AA453" i="3" s="1"/>
  <c r="AD440" i="3"/>
  <c r="P388" i="3"/>
  <c r="Q356" i="3"/>
  <c r="P316" i="3"/>
  <c r="L313" i="3"/>
  <c r="Q309" i="3"/>
  <c r="M306" i="3"/>
  <c r="R301" i="3"/>
  <c r="O299" i="3"/>
  <c r="AD289" i="3"/>
  <c r="O276" i="3"/>
  <c r="P269" i="3"/>
  <c r="O252" i="3"/>
  <c r="P245" i="3"/>
  <c r="Q238" i="3"/>
  <c r="M235" i="3"/>
  <c r="R230" i="3"/>
  <c r="O228" i="3"/>
  <c r="M211" i="3"/>
  <c r="O204" i="3"/>
  <c r="P197" i="3"/>
  <c r="L194" i="3"/>
  <c r="Q190" i="3"/>
  <c r="R181" i="3"/>
  <c r="P172" i="3"/>
  <c r="Q165" i="3"/>
  <c r="M162" i="3"/>
  <c r="R158" i="3"/>
  <c r="O155" i="3"/>
  <c r="P148" i="3"/>
  <c r="Q141" i="3"/>
  <c r="M138" i="3"/>
  <c r="R134" i="3"/>
  <c r="O131" i="3"/>
  <c r="P124" i="3"/>
  <c r="Q117" i="3"/>
  <c r="R110" i="3"/>
  <c r="L97" i="3"/>
  <c r="P75" i="3"/>
  <c r="Q69" i="3"/>
  <c r="M65" i="3"/>
  <c r="R62" i="3"/>
  <c r="O59" i="3"/>
  <c r="M30" i="3"/>
  <c r="Q26" i="3"/>
  <c r="P529" i="3"/>
  <c r="R454" i="3"/>
  <c r="AB454" i="3" s="1"/>
  <c r="R222" i="3"/>
  <c r="L30" i="3"/>
  <c r="P26" i="3"/>
  <c r="R17" i="3"/>
  <c r="O26" i="3"/>
  <c r="O25" i="3"/>
  <c r="O20" i="3"/>
  <c r="Q277" i="3"/>
  <c r="L261" i="3"/>
  <c r="Q253" i="3"/>
  <c r="L129" i="3"/>
  <c r="L507" i="3"/>
  <c r="Q503" i="3"/>
  <c r="M500" i="3"/>
  <c r="R472" i="3"/>
  <c r="Q455" i="3"/>
  <c r="AA455" i="3" s="1"/>
  <c r="M452" i="3"/>
  <c r="W452" i="3" s="1"/>
  <c r="R448" i="3"/>
  <c r="P438" i="3"/>
  <c r="Z438" i="3" s="1"/>
  <c r="L435" i="3"/>
  <c r="V435" i="3" s="1"/>
  <c r="M428" i="3"/>
  <c r="R424" i="3"/>
  <c r="Q407" i="3"/>
  <c r="M404" i="3"/>
  <c r="P390" i="3"/>
  <c r="L387" i="3"/>
  <c r="M380" i="3"/>
  <c r="R375" i="3"/>
  <c r="L362" i="3"/>
  <c r="R351" i="3"/>
  <c r="R327" i="3"/>
  <c r="P293" i="3"/>
  <c r="Z293" i="3" s="1"/>
  <c r="L290" i="3"/>
  <c r="V290" i="3" s="1"/>
  <c r="R280" i="3"/>
  <c r="Q263" i="3"/>
  <c r="R232" i="3"/>
  <c r="Q215" i="3"/>
  <c r="M212" i="3"/>
  <c r="M188" i="3"/>
  <c r="P173" i="3"/>
  <c r="Q166" i="3"/>
  <c r="M163" i="3"/>
  <c r="O156" i="3"/>
  <c r="R135" i="3"/>
  <c r="P125" i="3"/>
  <c r="O108" i="3"/>
  <c r="M91" i="3"/>
  <c r="Q70" i="3"/>
  <c r="M67" i="3"/>
  <c r="O60" i="3"/>
  <c r="M32" i="3"/>
  <c r="P260" i="3"/>
  <c r="Q292" i="3"/>
  <c r="AA292" i="3" s="1"/>
  <c r="L58" i="3"/>
  <c r="P111" i="3"/>
  <c r="O211" i="3"/>
  <c r="L659" i="3"/>
  <c r="M628" i="3"/>
  <c r="P614" i="3"/>
  <c r="L611" i="3"/>
  <c r="P591" i="3"/>
  <c r="Q583" i="3"/>
  <c r="Q558" i="3"/>
  <c r="R551" i="3"/>
  <c r="O548" i="3"/>
  <c r="Q530" i="3"/>
  <c r="R523" i="3"/>
  <c r="P513" i="3"/>
  <c r="L510" i="3"/>
  <c r="Q506" i="3"/>
  <c r="M504" i="3"/>
  <c r="M479" i="3"/>
  <c r="R475" i="3"/>
  <c r="P465" i="3"/>
  <c r="Q458" i="3"/>
  <c r="AA458" i="3" s="1"/>
  <c r="R451" i="3"/>
  <c r="AB451" i="3" s="1"/>
  <c r="O448" i="3"/>
  <c r="AD444" i="3"/>
  <c r="P441" i="3"/>
  <c r="Z441" i="3" s="1"/>
  <c r="AD439" i="3"/>
  <c r="Q434" i="3"/>
  <c r="AA434" i="3" s="1"/>
  <c r="M431" i="3"/>
  <c r="R427" i="3"/>
  <c r="AB427" i="3" s="1"/>
  <c r="P417" i="3"/>
  <c r="L414" i="3"/>
  <c r="Q410" i="3"/>
  <c r="R403" i="3"/>
  <c r="P393" i="3"/>
  <c r="Q386" i="3"/>
  <c r="P368" i="3"/>
  <c r="Q361" i="3"/>
  <c r="R354" i="3"/>
  <c r="L317" i="3"/>
  <c r="M310" i="3"/>
  <c r="L293" i="3"/>
  <c r="V293" i="3" s="1"/>
  <c r="O281" i="3"/>
  <c r="L270" i="3"/>
  <c r="M263" i="3"/>
  <c r="L246" i="3"/>
  <c r="M239" i="3"/>
  <c r="O232" i="3"/>
  <c r="L222" i="3"/>
  <c r="M215" i="3"/>
  <c r="L198" i="3"/>
  <c r="M166" i="3"/>
  <c r="O591" i="3"/>
  <c r="P361" i="3"/>
  <c r="Q354" i="3"/>
  <c r="R347" i="3"/>
  <c r="O344" i="3"/>
  <c r="P337" i="3"/>
  <c r="L334" i="3"/>
  <c r="O320" i="3"/>
  <c r="L310" i="3"/>
  <c r="Q306" i="3"/>
  <c r="O296" i="3"/>
  <c r="AD292" i="3"/>
  <c r="R276" i="3"/>
  <c r="P266" i="3"/>
  <c r="L263" i="3"/>
  <c r="L239" i="3"/>
  <c r="M232" i="3"/>
  <c r="R228" i="3"/>
  <c r="O225" i="3"/>
  <c r="L215" i="3"/>
  <c r="M208" i="3"/>
  <c r="R204" i="3"/>
  <c r="O201" i="3"/>
  <c r="M183" i="3"/>
  <c r="L166" i="3"/>
  <c r="M159" i="3"/>
  <c r="M135" i="3"/>
  <c r="Q114" i="3"/>
  <c r="M111" i="3"/>
  <c r="Q90" i="3"/>
  <c r="M87" i="3"/>
  <c r="R83" i="3"/>
  <c r="O80" i="3"/>
  <c r="L70" i="3"/>
  <c r="R59" i="3"/>
  <c r="O56" i="3"/>
  <c r="M56" i="3"/>
  <c r="L346" i="3"/>
  <c r="O308" i="3"/>
  <c r="R287" i="3"/>
  <c r="M244" i="3"/>
  <c r="O237" i="3"/>
  <c r="M220" i="3"/>
  <c r="Q199" i="3"/>
  <c r="M196" i="3"/>
  <c r="O189" i="3"/>
  <c r="M171" i="3"/>
  <c r="P157" i="3"/>
  <c r="L154" i="3"/>
  <c r="R143" i="3"/>
  <c r="Q126" i="3"/>
  <c r="P109" i="3"/>
  <c r="M75" i="3"/>
  <c r="O33" i="3"/>
  <c r="O27" i="3"/>
  <c r="L461" i="3"/>
  <c r="Q457" i="3"/>
  <c r="AA457" i="3" s="1"/>
  <c r="M453" i="3"/>
  <c r="W453" i="3" s="1"/>
  <c r="R450" i="3"/>
  <c r="P440" i="3"/>
  <c r="Z440" i="3" s="1"/>
  <c r="L437" i="3"/>
  <c r="V437" i="3" s="1"/>
  <c r="M430" i="3"/>
  <c r="R426" i="3"/>
  <c r="O423" i="3"/>
  <c r="L413" i="3"/>
  <c r="Q408" i="3"/>
  <c r="M405" i="3"/>
  <c r="R402" i="3"/>
  <c r="O399" i="3"/>
  <c r="P391" i="3"/>
  <c r="L389" i="3"/>
  <c r="Q385" i="3"/>
  <c r="M382" i="3"/>
  <c r="O374" i="3"/>
  <c r="P367" i="3"/>
  <c r="L364" i="3"/>
  <c r="Q359" i="3"/>
  <c r="O350" i="3"/>
  <c r="L340" i="3"/>
  <c r="Q336" i="3"/>
  <c r="M333" i="3"/>
  <c r="O326" i="3"/>
  <c r="P319" i="3"/>
  <c r="Q311" i="3"/>
  <c r="R305" i="3"/>
  <c r="L292" i="3"/>
  <c r="V292" i="3" s="1"/>
  <c r="Q287" i="3"/>
  <c r="R282" i="3"/>
  <c r="O279" i="3"/>
  <c r="L269" i="3"/>
  <c r="Q265" i="3"/>
  <c r="R257" i="3"/>
  <c r="P248" i="3"/>
  <c r="Q241" i="3"/>
  <c r="M238" i="3"/>
  <c r="R234" i="3"/>
  <c r="O231" i="3"/>
  <c r="L220" i="3"/>
  <c r="Q216" i="3"/>
  <c r="M213" i="3"/>
  <c r="O207" i="3"/>
  <c r="P199" i="3"/>
  <c r="L196" i="3"/>
  <c r="P175" i="3"/>
  <c r="L172" i="3"/>
  <c r="Q168" i="3"/>
  <c r="M165" i="3"/>
  <c r="O158" i="3"/>
  <c r="P151" i="3"/>
  <c r="L148" i="3"/>
  <c r="Q144" i="3"/>
  <c r="O134" i="3"/>
  <c r="P127" i="3"/>
  <c r="L123" i="3"/>
  <c r="Q120" i="3"/>
  <c r="M117" i="3"/>
  <c r="O109" i="3"/>
  <c r="Q96" i="3"/>
  <c r="O86" i="3"/>
  <c r="P79" i="3"/>
  <c r="L76" i="3"/>
  <c r="Q72" i="3"/>
  <c r="R64" i="3"/>
  <c r="O62" i="3"/>
  <c r="M26" i="3"/>
  <c r="R466" i="3"/>
  <c r="P456" i="3"/>
  <c r="Z456" i="3" s="1"/>
  <c r="L453" i="3"/>
  <c r="V453" i="3" s="1"/>
  <c r="Q449" i="3"/>
  <c r="M447" i="3"/>
  <c r="AD435" i="3"/>
  <c r="L430" i="3"/>
  <c r="R418" i="3"/>
  <c r="O416" i="3"/>
  <c r="P408" i="3"/>
  <c r="L405" i="3"/>
  <c r="M398" i="3"/>
  <c r="R369" i="3"/>
  <c r="Q352" i="3"/>
  <c r="M349" i="3"/>
  <c r="R345" i="3"/>
  <c r="L332" i="3"/>
  <c r="R321" i="3"/>
  <c r="P311" i="3"/>
  <c r="L308" i="3"/>
  <c r="Q304" i="3"/>
  <c r="P287" i="3"/>
  <c r="Q281" i="3"/>
  <c r="R274" i="3"/>
  <c r="P264" i="3"/>
  <c r="Q257" i="3"/>
  <c r="R250" i="3"/>
  <c r="O248" i="3"/>
  <c r="L238" i="3"/>
  <c r="M230" i="3"/>
  <c r="R226" i="3"/>
  <c r="P216" i="3"/>
  <c r="Q209" i="3"/>
  <c r="R202" i="3"/>
  <c r="M181" i="3"/>
  <c r="R177" i="3"/>
  <c r="O174" i="3"/>
  <c r="M158" i="3"/>
  <c r="L140" i="3"/>
  <c r="Q136" i="3"/>
  <c r="M133" i="3"/>
  <c r="P95" i="3"/>
  <c r="Q88" i="3"/>
  <c r="M61" i="3"/>
  <c r="L33" i="3"/>
  <c r="Q29" i="3"/>
  <c r="P30" i="3"/>
  <c r="O81" i="3"/>
  <c r="O57" i="3"/>
  <c r="M33" i="3"/>
  <c r="L31" i="3"/>
  <c r="M29" i="3"/>
  <c r="L27" i="3"/>
  <c r="M27" i="3"/>
  <c r="L26" i="3"/>
  <c r="L25" i="3"/>
  <c r="R252" i="3"/>
  <c r="R652" i="3"/>
  <c r="L421" i="3"/>
  <c r="M406" i="3"/>
  <c r="L237" i="3"/>
  <c r="Q89" i="3"/>
  <c r="M303" i="3"/>
  <c r="Q259" i="3"/>
  <c r="L574" i="3"/>
  <c r="R515" i="3"/>
  <c r="L406" i="3"/>
  <c r="L388" i="3"/>
  <c r="P126" i="3"/>
  <c r="Q119" i="3"/>
  <c r="R352" i="3"/>
  <c r="R353" i="3"/>
  <c r="R328" i="3"/>
  <c r="R329" i="3"/>
  <c r="P294" i="3"/>
  <c r="P295" i="3"/>
  <c r="M190" i="3"/>
  <c r="M189" i="3"/>
  <c r="M92" i="3"/>
  <c r="M519" i="3"/>
  <c r="O488" i="3"/>
  <c r="L382" i="3"/>
  <c r="L381" i="3"/>
  <c r="O367" i="3"/>
  <c r="O343" i="3"/>
  <c r="O342" i="3"/>
  <c r="O319" i="3"/>
  <c r="O295" i="3"/>
  <c r="M279" i="3"/>
  <c r="M254" i="3"/>
  <c r="M255" i="3"/>
  <c r="O224" i="3"/>
  <c r="O223" i="3"/>
  <c r="L214" i="3"/>
  <c r="M207" i="3"/>
  <c r="O151" i="3"/>
  <c r="L116" i="3"/>
  <c r="L117" i="3"/>
  <c r="M109" i="3"/>
  <c r="M110" i="3"/>
  <c r="L93" i="3"/>
  <c r="R227" i="3"/>
  <c r="R601" i="3"/>
  <c r="Q531" i="3"/>
  <c r="R524" i="3"/>
  <c r="Q507" i="3"/>
  <c r="R500" i="3"/>
  <c r="Q483" i="3"/>
  <c r="R476" i="3"/>
  <c r="P466" i="3"/>
  <c r="L463" i="3"/>
  <c r="M627" i="3"/>
  <c r="Q330" i="3"/>
  <c r="L94" i="3"/>
  <c r="P639" i="3"/>
  <c r="P640" i="3"/>
  <c r="Q584" i="3"/>
  <c r="R521" i="3"/>
  <c r="L309" i="3"/>
  <c r="L141" i="3"/>
  <c r="O110" i="3"/>
  <c r="O273" i="3"/>
  <c r="L619" i="3"/>
  <c r="Q581" i="3"/>
  <c r="L436" i="3"/>
  <c r="V436" i="3" s="1"/>
  <c r="M278" i="3"/>
  <c r="L213" i="3"/>
  <c r="P200" i="3"/>
  <c r="R155" i="3"/>
  <c r="L660" i="3"/>
  <c r="V660" i="3" s="1"/>
  <c r="L636" i="3"/>
  <c r="L637" i="3"/>
  <c r="R543" i="3"/>
  <c r="M206" i="3"/>
  <c r="M603" i="3"/>
  <c r="Q656" i="3"/>
  <c r="Q632" i="3"/>
  <c r="P615" i="3"/>
  <c r="R577" i="3"/>
  <c r="AD291" i="3"/>
  <c r="L532" i="3"/>
  <c r="R299" i="3"/>
  <c r="R131" i="3"/>
  <c r="O480" i="3"/>
  <c r="O479" i="3"/>
  <c r="M173" i="3"/>
  <c r="M174" i="3"/>
  <c r="R169" i="3"/>
  <c r="R170" i="3"/>
  <c r="Q152" i="3"/>
  <c r="Q153" i="3"/>
  <c r="R145" i="3"/>
  <c r="R146" i="3"/>
  <c r="L108" i="3"/>
  <c r="L109" i="3"/>
  <c r="P87" i="3"/>
  <c r="P88" i="3"/>
  <c r="Q648" i="3"/>
  <c r="M327" i="3"/>
  <c r="P577" i="3"/>
  <c r="Q283" i="3"/>
  <c r="AA283" i="3" s="1"/>
  <c r="O318" i="3"/>
  <c r="P631" i="3"/>
  <c r="Q624" i="3"/>
  <c r="O200" i="3"/>
  <c r="R599" i="3"/>
  <c r="M399" i="3"/>
  <c r="R275" i="3"/>
  <c r="P73" i="3"/>
  <c r="R121" i="3"/>
  <c r="R592" i="3"/>
  <c r="M231" i="3"/>
  <c r="R203" i="3"/>
  <c r="O143" i="3"/>
  <c r="R322" i="3"/>
  <c r="R323" i="3"/>
  <c r="P288" i="3"/>
  <c r="P289" i="3"/>
  <c r="Z289" i="3" s="1"/>
  <c r="P241" i="3"/>
  <c r="P242" i="3"/>
  <c r="Q235" i="3"/>
  <c r="Q234" i="3"/>
  <c r="P145" i="3"/>
  <c r="P144" i="3"/>
  <c r="L118" i="3"/>
  <c r="Q66" i="3"/>
  <c r="Q65" i="3"/>
  <c r="M16" i="3"/>
  <c r="Q167" i="3"/>
  <c r="L548" i="3"/>
  <c r="M341" i="3"/>
  <c r="P78" i="3"/>
  <c r="P174" i="3"/>
  <c r="R656" i="3"/>
  <c r="O654" i="3"/>
  <c r="P647" i="3"/>
  <c r="L643" i="3"/>
  <c r="Q639" i="3"/>
  <c r="M636" i="3"/>
  <c r="R632" i="3"/>
  <c r="O630" i="3"/>
  <c r="P623" i="3"/>
  <c r="Q615" i="3"/>
  <c r="M613" i="3"/>
  <c r="R608" i="3"/>
  <c r="O606" i="3"/>
  <c r="P598" i="3"/>
  <c r="L596" i="3"/>
  <c r="Q591" i="3"/>
  <c r="M588" i="3"/>
  <c r="R585" i="3"/>
  <c r="O582" i="3"/>
  <c r="P574" i="3"/>
  <c r="L572" i="3"/>
  <c r="R559" i="3"/>
  <c r="O557" i="3"/>
  <c r="P550" i="3"/>
  <c r="L547" i="3"/>
  <c r="Q543" i="3"/>
  <c r="M540" i="3"/>
  <c r="R531" i="3"/>
  <c r="O529" i="3"/>
  <c r="P521" i="3"/>
  <c r="Q515" i="3"/>
  <c r="M512" i="3"/>
  <c r="R507" i="3"/>
  <c r="O505" i="3"/>
  <c r="P498" i="3"/>
  <c r="L495" i="3"/>
  <c r="Q490" i="3"/>
  <c r="M488" i="3"/>
  <c r="R483" i="3"/>
  <c r="O481" i="3"/>
  <c r="P473" i="3"/>
  <c r="L471" i="3"/>
  <c r="Q467" i="3"/>
  <c r="M463" i="3"/>
  <c r="O457" i="3"/>
  <c r="Y457" i="3" s="1"/>
  <c r="AD452" i="3"/>
  <c r="P449" i="3"/>
  <c r="Q443" i="3"/>
  <c r="AA443" i="3" s="1"/>
  <c r="M440" i="3"/>
  <c r="W440" i="3" s="1"/>
  <c r="R435" i="3"/>
  <c r="AB435" i="3" s="1"/>
  <c r="O433" i="3"/>
  <c r="Y433" i="3" s="1"/>
  <c r="P426" i="3"/>
  <c r="P160" i="3"/>
  <c r="Q459" i="3"/>
  <c r="AA459" i="3" s="1"/>
  <c r="M456" i="3"/>
  <c r="W456" i="3" s="1"/>
  <c r="R452" i="3"/>
  <c r="AB452" i="3" s="1"/>
  <c r="R660" i="3"/>
  <c r="AB660" i="3" s="1"/>
  <c r="O657" i="3"/>
  <c r="L647" i="3"/>
  <c r="Q643" i="3"/>
  <c r="O633" i="3"/>
  <c r="Q619" i="3"/>
  <c r="O609" i="3"/>
  <c r="P552" i="3"/>
  <c r="Q545" i="3"/>
  <c r="Q660" i="3"/>
  <c r="AA660" i="3" s="1"/>
  <c r="M657" i="3"/>
  <c r="R653" i="3"/>
  <c r="O650" i="3"/>
  <c r="P643" i="3"/>
  <c r="P660" i="3"/>
  <c r="Z660" i="3" s="1"/>
  <c r="Q653" i="3"/>
  <c r="O643" i="3"/>
  <c r="P636" i="3"/>
  <c r="O619" i="3"/>
  <c r="O595" i="3"/>
  <c r="L585" i="3"/>
  <c r="R574" i="3"/>
  <c r="O571" i="3"/>
  <c r="Q556" i="3"/>
  <c r="R549" i="3"/>
  <c r="O546" i="3"/>
  <c r="O518" i="3"/>
  <c r="P511" i="3"/>
  <c r="R497" i="3"/>
  <c r="O494" i="3"/>
  <c r="P487" i="3"/>
  <c r="Q480" i="3"/>
  <c r="M477" i="3"/>
  <c r="O470" i="3"/>
  <c r="P463" i="3"/>
  <c r="O446" i="3"/>
  <c r="Q432" i="3"/>
  <c r="AA432" i="3" s="1"/>
  <c r="Q431" i="3"/>
  <c r="O422" i="3"/>
  <c r="P415" i="3"/>
  <c r="L412" i="3"/>
  <c r="R401" i="3"/>
  <c r="R400" i="3"/>
  <c r="O398" i="3"/>
  <c r="Q384" i="3"/>
  <c r="O373" i="3"/>
  <c r="M356" i="3"/>
  <c r="O349" i="3"/>
  <c r="P342" i="3"/>
  <c r="Q335" i="3"/>
  <c r="M332" i="3"/>
  <c r="M331" i="3"/>
  <c r="O325" i="3"/>
  <c r="P318" i="3"/>
  <c r="L314" i="3"/>
  <c r="M308" i="3"/>
  <c r="O301" i="3"/>
  <c r="O278" i="3"/>
  <c r="P271" i="3"/>
  <c r="M261" i="3"/>
  <c r="O254" i="3"/>
  <c r="P247" i="3"/>
  <c r="Q240" i="3"/>
  <c r="M237" i="3"/>
  <c r="O230" i="3"/>
  <c r="O206" i="3"/>
  <c r="L171" i="3"/>
  <c r="Q143" i="3"/>
  <c r="M140" i="3"/>
  <c r="M139" i="3"/>
  <c r="O133" i="3"/>
  <c r="O132" i="3"/>
  <c r="M115" i="3"/>
  <c r="R112" i="3"/>
  <c r="R88" i="3"/>
  <c r="O85" i="3"/>
  <c r="L75" i="3"/>
  <c r="L74" i="3"/>
  <c r="L18" i="3"/>
  <c r="L17" i="3"/>
  <c r="M151" i="3"/>
  <c r="M152" i="3"/>
  <c r="L134" i="3"/>
  <c r="L87" i="3"/>
  <c r="O477" i="3"/>
  <c r="Q657" i="3"/>
  <c r="O648" i="3"/>
  <c r="Q633" i="3"/>
  <c r="M630" i="3"/>
  <c r="L242" i="3"/>
  <c r="L121" i="3"/>
  <c r="Q92" i="3"/>
  <c r="Q93" i="3"/>
  <c r="O83" i="3"/>
  <c r="O82" i="3"/>
  <c r="O660" i="3"/>
  <c r="Y660" i="3" s="1"/>
  <c r="O636" i="3"/>
  <c r="O612" i="3"/>
  <c r="P605" i="3"/>
  <c r="R591" i="3"/>
  <c r="O588" i="3"/>
  <c r="P581" i="3"/>
  <c r="Q574" i="3"/>
  <c r="Q549" i="3"/>
  <c r="M546" i="3"/>
  <c r="R542" i="3"/>
  <c r="M518" i="3"/>
  <c r="R490" i="3"/>
  <c r="O487" i="3"/>
  <c r="P480" i="3"/>
  <c r="L477" i="3"/>
  <c r="O463" i="3"/>
  <c r="AD459" i="3"/>
  <c r="M446" i="3"/>
  <c r="R442" i="3"/>
  <c r="AB442" i="3" s="1"/>
  <c r="O439" i="3"/>
  <c r="Y439" i="3" s="1"/>
  <c r="M422" i="3"/>
  <c r="O415" i="3"/>
  <c r="Q401" i="3"/>
  <c r="O391" i="3"/>
  <c r="M373" i="3"/>
  <c r="O366" i="3"/>
  <c r="L356" i="3"/>
  <c r="M325" i="3"/>
  <c r="M301" i="3"/>
  <c r="O294" i="3"/>
  <c r="O271" i="3"/>
  <c r="O247" i="3"/>
  <c r="O199" i="3"/>
  <c r="M157" i="3"/>
  <c r="P143" i="3"/>
  <c r="R129" i="3"/>
  <c r="P119" i="3"/>
  <c r="Q112" i="3"/>
  <c r="O78" i="3"/>
  <c r="P71" i="3"/>
  <c r="P17" i="3"/>
  <c r="P16" i="3"/>
  <c r="R641" i="3"/>
  <c r="P607" i="3"/>
  <c r="O249" i="3"/>
  <c r="Q138" i="3"/>
  <c r="P121" i="3"/>
  <c r="R107" i="3"/>
  <c r="R509" i="3"/>
  <c r="P499" i="3"/>
  <c r="Q492" i="3"/>
  <c r="R485" i="3"/>
  <c r="O482" i="3"/>
  <c r="P475" i="3"/>
  <c r="Q468" i="3"/>
  <c r="R461" i="3"/>
  <c r="O458" i="3"/>
  <c r="Y458" i="3" s="1"/>
  <c r="P451" i="3"/>
  <c r="Z451" i="3" s="1"/>
  <c r="M441" i="3"/>
  <c r="W441" i="3" s="1"/>
  <c r="R437" i="3"/>
  <c r="AB437" i="3" s="1"/>
  <c r="P427" i="3"/>
  <c r="Z427" i="3" s="1"/>
  <c r="L424" i="3"/>
  <c r="M417" i="3"/>
  <c r="O410" i="3"/>
  <c r="L400" i="3"/>
  <c r="Q396" i="3"/>
  <c r="M393" i="3"/>
  <c r="R389" i="3"/>
  <c r="O386" i="3"/>
  <c r="M368" i="3"/>
  <c r="P354" i="3"/>
  <c r="L351" i="3"/>
  <c r="Q347" i="3"/>
  <c r="M344" i="3"/>
  <c r="R340" i="3"/>
  <c r="O337" i="3"/>
  <c r="L327" i="3"/>
  <c r="Q323" i="3"/>
  <c r="M320" i="3"/>
  <c r="R316" i="3"/>
  <c r="O313" i="3"/>
  <c r="L303" i="3"/>
  <c r="Q299" i="3"/>
  <c r="R292" i="3"/>
  <c r="AB292" i="3" s="1"/>
  <c r="O289" i="3"/>
  <c r="Y289" i="3" s="1"/>
  <c r="O194" i="3"/>
  <c r="M176" i="3"/>
  <c r="R172" i="3"/>
  <c r="P162" i="3"/>
  <c r="L135" i="3"/>
  <c r="O121" i="3"/>
  <c r="Q107" i="3"/>
  <c r="R100" i="3"/>
  <c r="L639" i="3"/>
  <c r="Q634" i="3"/>
  <c r="R627" i="3"/>
  <c r="P618" i="3"/>
  <c r="Q611" i="3"/>
  <c r="R603" i="3"/>
  <c r="P593" i="3"/>
  <c r="Q586" i="3"/>
  <c r="P133" i="3"/>
  <c r="Q127" i="3"/>
  <c r="O462" i="3"/>
  <c r="O438" i="3"/>
  <c r="Y438" i="3" s="1"/>
  <c r="L423" i="3"/>
  <c r="Q419" i="3"/>
  <c r="M415" i="3"/>
  <c r="R411" i="3"/>
  <c r="O409" i="3"/>
  <c r="P401" i="3"/>
  <c r="L399" i="3"/>
  <c r="Q394" i="3"/>
  <c r="M392" i="3"/>
  <c r="R388" i="3"/>
  <c r="O385" i="3"/>
  <c r="Q370" i="3"/>
  <c r="M367" i="3"/>
  <c r="R362" i="3"/>
  <c r="O360" i="3"/>
  <c r="P352" i="3"/>
  <c r="L350" i="3"/>
  <c r="M343" i="3"/>
  <c r="R338" i="3"/>
  <c r="O336" i="3"/>
  <c r="P328" i="3"/>
  <c r="L326" i="3"/>
  <c r="Q321" i="3"/>
  <c r="L302" i="3"/>
  <c r="M272" i="3"/>
  <c r="L255" i="3"/>
  <c r="M248" i="3"/>
  <c r="M224" i="3"/>
  <c r="O217" i="3"/>
  <c r="M175" i="3"/>
  <c r="R171" i="3"/>
  <c r="Q154" i="3"/>
  <c r="R147" i="3"/>
  <c r="M127" i="3"/>
  <c r="O120" i="3"/>
  <c r="L110" i="3"/>
  <c r="O96" i="3"/>
  <c r="P89" i="3"/>
  <c r="R75" i="3"/>
  <c r="O72" i="3"/>
  <c r="P442" i="3"/>
  <c r="Z442" i="3" s="1"/>
  <c r="Q435" i="3"/>
  <c r="AA435" i="3" s="1"/>
  <c r="R428" i="3"/>
  <c r="P394" i="3"/>
  <c r="Q387" i="3"/>
  <c r="Q338" i="3"/>
  <c r="R163" i="3"/>
  <c r="Q146" i="3"/>
  <c r="R139" i="3"/>
  <c r="P129" i="3"/>
  <c r="Q122" i="3"/>
  <c r="M119" i="3"/>
  <c r="R115" i="3"/>
  <c r="Q98" i="3"/>
  <c r="R91" i="3"/>
  <c r="O88" i="3"/>
  <c r="P81" i="3"/>
  <c r="Q74" i="3"/>
  <c r="R67" i="3"/>
  <c r="O64" i="3"/>
  <c r="P57" i="3"/>
  <c r="Q17" i="3"/>
  <c r="L130" i="3"/>
  <c r="AD660" i="3"/>
  <c r="P656" i="3"/>
  <c r="L654" i="3"/>
  <c r="Q650" i="3"/>
  <c r="M647" i="3"/>
  <c r="R643" i="3"/>
  <c r="O640" i="3"/>
  <c r="P632" i="3"/>
  <c r="L629" i="3"/>
  <c r="Q625" i="3"/>
  <c r="M623" i="3"/>
  <c r="R619" i="3"/>
  <c r="O616" i="3"/>
  <c r="P609" i="3"/>
  <c r="L606" i="3"/>
  <c r="Q601" i="3"/>
  <c r="M598" i="3"/>
  <c r="R595" i="3"/>
  <c r="O592" i="3"/>
  <c r="P584" i="3"/>
  <c r="L582" i="3"/>
  <c r="M575" i="3"/>
  <c r="L557" i="3"/>
  <c r="Q552" i="3"/>
  <c r="M550" i="3"/>
  <c r="R545" i="3"/>
  <c r="O543" i="3"/>
  <c r="P531" i="3"/>
  <c r="L529" i="3"/>
  <c r="V529" i="3" s="1"/>
  <c r="M522" i="3"/>
  <c r="O515" i="3"/>
  <c r="P507" i="3"/>
  <c r="L505" i="3"/>
  <c r="Q501" i="3"/>
  <c r="M498" i="3"/>
  <c r="R494" i="3"/>
  <c r="Q547" i="3"/>
  <c r="R540" i="3"/>
  <c r="AB540" i="3" s="1"/>
  <c r="O461" i="3"/>
  <c r="Q447" i="3"/>
  <c r="R440" i="3"/>
  <c r="AB440" i="3" s="1"/>
  <c r="O340" i="3"/>
  <c r="Q325" i="3"/>
  <c r="O292" i="3"/>
  <c r="Y292" i="3" s="1"/>
  <c r="O245" i="3"/>
  <c r="P237" i="3"/>
  <c r="Z238" i="3" s="1"/>
  <c r="L162" i="3"/>
  <c r="O148" i="3"/>
  <c r="L138" i="3"/>
  <c r="Q134" i="3"/>
  <c r="O124" i="3"/>
  <c r="O491" i="3"/>
  <c r="P483" i="3"/>
  <c r="L481" i="3"/>
  <c r="Q476" i="3"/>
  <c r="M474" i="3"/>
  <c r="R469" i="3"/>
  <c r="O467" i="3"/>
  <c r="P459" i="3"/>
  <c r="Z459" i="3" s="1"/>
  <c r="L457" i="3"/>
  <c r="V457" i="3" s="1"/>
  <c r="Q452" i="3"/>
  <c r="AA452" i="3" s="1"/>
  <c r="M450" i="3"/>
  <c r="R446" i="3"/>
  <c r="Y442" i="3"/>
  <c r="AD438" i="3"/>
  <c r="P435" i="3"/>
  <c r="Z435" i="3" s="1"/>
  <c r="AD433" i="3"/>
  <c r="Q429" i="3"/>
  <c r="R422" i="3"/>
  <c r="P411" i="3"/>
  <c r="L409" i="3"/>
  <c r="Q404" i="3"/>
  <c r="M401" i="3"/>
  <c r="R398" i="3"/>
  <c r="P387" i="3"/>
  <c r="L384" i="3"/>
  <c r="R372" i="3"/>
  <c r="O370" i="3"/>
  <c r="P363" i="3"/>
  <c r="L359" i="3"/>
  <c r="Q355" i="3"/>
  <c r="M353" i="3"/>
  <c r="R349" i="3"/>
  <c r="P339" i="3"/>
  <c r="L335" i="3"/>
  <c r="M328" i="3"/>
  <c r="R324" i="3"/>
  <c r="O322" i="3"/>
  <c r="P314" i="3"/>
  <c r="L312" i="3"/>
  <c r="Q307" i="3"/>
  <c r="R300" i="3"/>
  <c r="AD293" i="3"/>
  <c r="P290" i="3"/>
  <c r="Z290" i="3" s="1"/>
  <c r="L287" i="3"/>
  <c r="M281" i="3"/>
  <c r="R278" i="3"/>
  <c r="P267" i="3"/>
  <c r="L264" i="3"/>
  <c r="O251" i="3"/>
  <c r="L240" i="3"/>
  <c r="R229" i="3"/>
  <c r="M209" i="3"/>
  <c r="R205" i="3"/>
  <c r="P170" i="3"/>
  <c r="Q163" i="3"/>
  <c r="R156" i="3"/>
  <c r="P146" i="3"/>
  <c r="Q139" i="3"/>
  <c r="R132" i="3"/>
  <c r="P122" i="3"/>
  <c r="Q115" i="3"/>
  <c r="R108" i="3"/>
  <c r="L95" i="3"/>
  <c r="M88" i="3"/>
  <c r="M64" i="3"/>
  <c r="O58" i="3"/>
  <c r="O21" i="3"/>
  <c r="Q421" i="3"/>
  <c r="L281" i="3"/>
  <c r="R270" i="3"/>
  <c r="L257" i="3"/>
  <c r="R246" i="3"/>
  <c r="P236" i="3"/>
  <c r="L233" i="3"/>
  <c r="Q229" i="3"/>
  <c r="M202" i="3"/>
  <c r="R173" i="3"/>
  <c r="P115" i="3"/>
  <c r="O98" i="3"/>
  <c r="L88" i="3"/>
  <c r="Q84" i="3"/>
  <c r="O551" i="3"/>
  <c r="Q532" i="3"/>
  <c r="M530" i="3"/>
  <c r="R525" i="3"/>
  <c r="O523" i="3"/>
  <c r="Q508" i="3"/>
  <c r="M506" i="3"/>
  <c r="O499" i="3"/>
  <c r="P492" i="3"/>
  <c r="L489" i="3"/>
  <c r="R477" i="3"/>
  <c r="O475" i="3"/>
  <c r="L464" i="3"/>
  <c r="M458" i="3"/>
  <c r="W458" i="3" s="1"/>
  <c r="Y451" i="3"/>
  <c r="L441" i="3"/>
  <c r="V441" i="3" s="1"/>
  <c r="Q436" i="3"/>
  <c r="AA436" i="3" s="1"/>
  <c r="M434" i="3"/>
  <c r="W434" i="3" s="1"/>
  <c r="O427" i="3"/>
  <c r="Y427" i="3" s="1"/>
  <c r="L417" i="3"/>
  <c r="O403" i="3"/>
  <c r="L392" i="3"/>
  <c r="L368" i="3"/>
  <c r="M361" i="3"/>
  <c r="R356" i="3"/>
  <c r="O354" i="3"/>
  <c r="M336" i="3"/>
  <c r="R333" i="3"/>
  <c r="L320" i="3"/>
  <c r="Q316" i="3"/>
  <c r="M313" i="3"/>
  <c r="O306" i="3"/>
  <c r="L295" i="3"/>
  <c r="M289" i="3"/>
  <c r="W289" i="3" s="1"/>
  <c r="O283" i="3"/>
  <c r="Y283" i="3" s="1"/>
  <c r="P276" i="3"/>
  <c r="L273" i="3"/>
  <c r="O259" i="3"/>
  <c r="L249" i="3"/>
  <c r="Q245" i="3"/>
  <c r="M242" i="3"/>
  <c r="R238" i="3"/>
  <c r="O235" i="3"/>
  <c r="P228" i="3"/>
  <c r="L225" i="3"/>
  <c r="Q220" i="3"/>
  <c r="P203" i="3"/>
  <c r="L201" i="3"/>
  <c r="Q197" i="3"/>
  <c r="R190" i="3"/>
  <c r="L176" i="3"/>
  <c r="R164" i="3"/>
  <c r="O161" i="3"/>
  <c r="L151" i="3"/>
  <c r="M145" i="3"/>
  <c r="R141" i="3"/>
  <c r="P130" i="3"/>
  <c r="M121" i="3"/>
  <c r="R116" i="3"/>
  <c r="O114" i="3"/>
  <c r="M96" i="3"/>
  <c r="R92" i="3"/>
  <c r="P83" i="3"/>
  <c r="L79" i="3"/>
  <c r="Q75" i="3"/>
  <c r="P58" i="3"/>
  <c r="O31" i="3"/>
  <c r="M21" i="3"/>
  <c r="M19" i="3"/>
  <c r="L19" i="3"/>
  <c r="M18" i="3"/>
  <c r="L16" i="3"/>
  <c r="M599" i="3"/>
  <c r="L375" i="3"/>
  <c r="L367" i="3"/>
  <c r="P324" i="3"/>
  <c r="P268" i="3"/>
  <c r="Q221" i="3"/>
  <c r="R93" i="3"/>
  <c r="P107" i="3"/>
  <c r="M654" i="3"/>
  <c r="R650" i="3"/>
  <c r="O647" i="3"/>
  <c r="R626" i="3"/>
  <c r="O623" i="3"/>
  <c r="L613" i="3"/>
  <c r="Q609" i="3"/>
  <c r="M606" i="3"/>
  <c r="O599" i="3"/>
  <c r="P592" i="3"/>
  <c r="M582" i="3"/>
  <c r="O575" i="3"/>
  <c r="M557" i="3"/>
  <c r="O550" i="3"/>
  <c r="P543" i="3"/>
  <c r="M529" i="3"/>
  <c r="W529" i="3" s="1"/>
  <c r="O522" i="3"/>
  <c r="P515" i="3"/>
  <c r="L512" i="3"/>
  <c r="M505" i="3"/>
  <c r="R501" i="3"/>
  <c r="O498" i="3"/>
  <c r="L488" i="3"/>
  <c r="M481" i="3"/>
  <c r="O474" i="3"/>
  <c r="O450" i="3"/>
  <c r="L440" i="3"/>
  <c r="V440" i="3" s="1"/>
  <c r="M433" i="3"/>
  <c r="W433" i="3" s="1"/>
  <c r="O426" i="3"/>
  <c r="L416" i="3"/>
  <c r="M409" i="3"/>
  <c r="O402" i="3"/>
  <c r="M385" i="3"/>
  <c r="Q261" i="3"/>
  <c r="R254" i="3"/>
  <c r="P244" i="3"/>
  <c r="M234" i="3"/>
  <c r="O227" i="3"/>
  <c r="P220" i="3"/>
  <c r="Q213" i="3"/>
  <c r="P196" i="3"/>
  <c r="Q189" i="3"/>
  <c r="P649" i="3"/>
  <c r="R635" i="3"/>
  <c r="P625" i="3"/>
  <c r="P601" i="3"/>
  <c r="M591" i="3"/>
  <c r="M514" i="3"/>
  <c r="Q469" i="3"/>
  <c r="M442" i="3"/>
  <c r="W442" i="3" s="1"/>
  <c r="L401" i="3"/>
  <c r="Q372" i="3"/>
  <c r="Q348" i="3"/>
  <c r="M639" i="3"/>
  <c r="M615" i="3"/>
  <c r="R611" i="3"/>
  <c r="R587" i="3"/>
  <c r="P524" i="3"/>
  <c r="Q493" i="3"/>
  <c r="M490" i="3"/>
  <c r="R462" i="3"/>
  <c r="AD455" i="3"/>
  <c r="P452" i="3"/>
  <c r="Z452" i="3" s="1"/>
  <c r="R438" i="3"/>
  <c r="AB438" i="3" s="1"/>
  <c r="L425" i="3"/>
  <c r="P404" i="3"/>
  <c r="O387" i="3"/>
  <c r="P355" i="3"/>
  <c r="L328" i="3"/>
  <c r="Q324" i="3"/>
  <c r="M297" i="3"/>
  <c r="L656" i="3"/>
  <c r="L644" i="3"/>
  <c r="L633" i="3"/>
  <c r="P617" i="3"/>
  <c r="Q610" i="3"/>
  <c r="P551" i="3"/>
  <c r="M464" i="3"/>
  <c r="Q445" i="3"/>
  <c r="P420" i="3"/>
  <c r="Q635" i="3"/>
  <c r="M632" i="3"/>
  <c r="R628" i="3"/>
  <c r="O626" i="3"/>
  <c r="P619" i="3"/>
  <c r="Q612" i="3"/>
  <c r="M609" i="3"/>
  <c r="R605" i="3"/>
  <c r="O602" i="3"/>
  <c r="P595" i="3"/>
  <c r="Q588" i="3"/>
  <c r="R407" i="3"/>
  <c r="M366" i="3"/>
  <c r="L361" i="3"/>
  <c r="AD441" i="3"/>
  <c r="Q627" i="3"/>
  <c r="M622" i="3"/>
  <c r="M394" i="3"/>
  <c r="O361" i="3"/>
  <c r="AD434" i="3"/>
  <c r="P166" i="3"/>
  <c r="P167" i="3"/>
  <c r="O126" i="3"/>
  <c r="O125" i="3"/>
  <c r="P622" i="3"/>
  <c r="R365" i="3"/>
  <c r="Q230" i="3"/>
  <c r="M660" i="3"/>
  <c r="W660" i="3" s="1"/>
  <c r="O581" i="3"/>
  <c r="O504" i="3"/>
  <c r="AD427" i="3"/>
  <c r="P508" i="3"/>
  <c r="L311" i="3"/>
  <c r="Q494" i="3"/>
  <c r="R463" i="3"/>
  <c r="Q365" i="3"/>
  <c r="Q334" i="3"/>
  <c r="M329" i="3"/>
  <c r="P195" i="3"/>
  <c r="R165" i="3"/>
  <c r="L127" i="3"/>
  <c r="L122" i="3"/>
  <c r="O84" i="3"/>
  <c r="P425" i="3"/>
  <c r="M637" i="3"/>
  <c r="R412" i="3"/>
  <c r="R387" i="3"/>
  <c r="Q322" i="3"/>
  <c r="Q315" i="3"/>
  <c r="O219" i="3"/>
  <c r="O369" i="3"/>
  <c r="O368" i="3"/>
  <c r="O226" i="3"/>
  <c r="R502" i="3"/>
  <c r="P396" i="3"/>
  <c r="Q148" i="3"/>
  <c r="R659" i="3"/>
  <c r="Q659" i="3"/>
  <c r="P532" i="3"/>
  <c r="R486" i="3"/>
  <c r="R436" i="3"/>
  <c r="AB436" i="3" s="1"/>
  <c r="M194" i="3"/>
  <c r="Q486" i="3"/>
  <c r="Q422" i="3"/>
  <c r="Q188" i="3"/>
  <c r="L630" i="3"/>
  <c r="L474" i="3"/>
  <c r="L398" i="3"/>
  <c r="M282" i="3"/>
  <c r="R253" i="3"/>
  <c r="R182" i="3"/>
  <c r="L152" i="3"/>
  <c r="M120" i="3"/>
  <c r="O321" i="3"/>
  <c r="O90" i="3"/>
  <c r="O89" i="3"/>
  <c r="P585" i="3"/>
  <c r="M491" i="3"/>
  <c r="R421" i="3"/>
  <c r="R397" i="3"/>
  <c r="L337" i="3"/>
  <c r="R247" i="3"/>
  <c r="L595" i="3"/>
  <c r="V596" i="3" s="1"/>
  <c r="Q629" i="3"/>
  <c r="L460" i="3"/>
  <c r="M416" i="3"/>
  <c r="M640" i="3"/>
  <c r="P629" i="3"/>
  <c r="Q618" i="3"/>
  <c r="L504" i="3"/>
  <c r="Q497" i="3"/>
  <c r="P479" i="3"/>
  <c r="P362" i="3"/>
  <c r="M307" i="3"/>
  <c r="Q212" i="3"/>
  <c r="M156" i="3"/>
  <c r="O70" i="3"/>
  <c r="R618" i="3"/>
  <c r="R639" i="3"/>
  <c r="M421" i="3"/>
  <c r="Q383" i="3"/>
  <c r="R317" i="3"/>
  <c r="Q128" i="3"/>
  <c r="O157" i="3"/>
  <c r="Q149" i="3"/>
  <c r="O253" i="3"/>
  <c r="O229" i="3"/>
  <c r="O205" i="3"/>
  <c r="O533" i="3"/>
  <c r="L523" i="3"/>
  <c r="Q519" i="3"/>
  <c r="M516" i="3"/>
  <c r="R512" i="3"/>
  <c r="O509" i="3"/>
  <c r="O437" i="3"/>
  <c r="Y437" i="3" s="1"/>
  <c r="L427" i="3"/>
  <c r="V427" i="3" s="1"/>
  <c r="O413" i="3"/>
  <c r="O389" i="3"/>
  <c r="Q374" i="3"/>
  <c r="R367" i="3"/>
  <c r="P357" i="3"/>
  <c r="Q350" i="3"/>
  <c r="Q326" i="3"/>
  <c r="M324" i="3"/>
  <c r="R319" i="3"/>
  <c r="P309" i="3"/>
  <c r="O293" i="3"/>
  <c r="Y293" i="3" s="1"/>
  <c r="Q279" i="3"/>
  <c r="Q255" i="3"/>
  <c r="O246" i="3"/>
  <c r="M229" i="3"/>
  <c r="R224" i="3"/>
  <c r="O222" i="3"/>
  <c r="P214" i="3"/>
  <c r="L212" i="3"/>
  <c r="M205" i="3"/>
  <c r="O198" i="3"/>
  <c r="P190" i="3"/>
  <c r="R175" i="3"/>
  <c r="Q159" i="3"/>
  <c r="M132" i="3"/>
  <c r="R128" i="3"/>
  <c r="P117" i="3"/>
  <c r="P94" i="3"/>
  <c r="Q87" i="3"/>
  <c r="R80" i="3"/>
  <c r="P70" i="3"/>
  <c r="Q63" i="3"/>
  <c r="R56" i="3"/>
  <c r="R654" i="3"/>
  <c r="P644" i="3"/>
  <c r="Q637" i="3"/>
  <c r="R630" i="3"/>
  <c r="O627" i="3"/>
  <c r="P620" i="3"/>
  <c r="O603" i="3"/>
  <c r="L593" i="3"/>
  <c r="V594" i="3" s="1"/>
  <c r="L516" i="3"/>
  <c r="R505" i="3"/>
  <c r="Q488" i="3"/>
  <c r="P471" i="3"/>
  <c r="Q464" i="3"/>
  <c r="P447" i="3"/>
  <c r="L444" i="3"/>
  <c r="V444" i="3" s="1"/>
  <c r="M438" i="3"/>
  <c r="W438" i="3" s="1"/>
  <c r="P424" i="3"/>
  <c r="M414" i="3"/>
  <c r="O407" i="3"/>
  <c r="Q392" i="3"/>
  <c r="M390" i="3"/>
  <c r="R385" i="3"/>
  <c r="P374" i="3"/>
  <c r="Q367" i="3"/>
  <c r="M364" i="3"/>
  <c r="R360" i="3"/>
  <c r="O358" i="3"/>
  <c r="Q319" i="3"/>
  <c r="M293" i="3"/>
  <c r="W293" i="3" s="1"/>
  <c r="P279" i="3"/>
  <c r="L277" i="3"/>
  <c r="M270" i="3"/>
  <c r="R265" i="3"/>
  <c r="P255" i="3"/>
  <c r="O238" i="3"/>
  <c r="L229" i="3"/>
  <c r="L205" i="3"/>
  <c r="Q200" i="3"/>
  <c r="M198" i="3"/>
  <c r="O190" i="3"/>
  <c r="P182" i="3"/>
  <c r="Q175" i="3"/>
  <c r="R168" i="3"/>
  <c r="O165" i="3"/>
  <c r="L156" i="3"/>
  <c r="R144" i="3"/>
  <c r="O141" i="3"/>
  <c r="L132" i="3"/>
  <c r="M125" i="3"/>
  <c r="R120" i="3"/>
  <c r="O118" i="3"/>
  <c r="L84" i="3"/>
  <c r="Q79" i="3"/>
  <c r="M77" i="3"/>
  <c r="O69" i="3"/>
  <c r="L60" i="3"/>
  <c r="L651" i="3"/>
  <c r="M644" i="3"/>
  <c r="L627" i="3"/>
  <c r="M620" i="3"/>
  <c r="R616" i="3"/>
  <c r="O613" i="3"/>
  <c r="O589" i="3"/>
  <c r="O512" i="3"/>
  <c r="L502" i="3"/>
  <c r="Q498" i="3"/>
  <c r="M495" i="3"/>
  <c r="L479" i="3"/>
  <c r="M448" i="3"/>
  <c r="L431" i="3"/>
  <c r="P410" i="3"/>
  <c r="L407" i="3"/>
  <c r="Q403" i="3"/>
  <c r="M400" i="3"/>
  <c r="R396" i="3"/>
  <c r="O393" i="3"/>
  <c r="P386" i="3"/>
  <c r="L383" i="3"/>
  <c r="R370" i="3"/>
  <c r="P360" i="3"/>
  <c r="Q353" i="3"/>
  <c r="R346" i="3"/>
  <c r="P336" i="3"/>
  <c r="O176" i="3"/>
  <c r="O152" i="3"/>
  <c r="O128" i="3"/>
  <c r="O79" i="3"/>
  <c r="O655" i="3"/>
  <c r="O631" i="3"/>
  <c r="Q616" i="3"/>
  <c r="O583" i="3"/>
  <c r="O558" i="3"/>
  <c r="M318" i="3"/>
  <c r="R314" i="3"/>
  <c r="P304" i="3"/>
  <c r="Q297" i="3"/>
  <c r="P281" i="3"/>
  <c r="O264" i="3"/>
  <c r="Q250" i="3"/>
  <c r="R243" i="3"/>
  <c r="Q226" i="3"/>
  <c r="R219" i="3"/>
  <c r="AB220" i="3" s="1"/>
  <c r="P209" i="3"/>
  <c r="Q202" i="3"/>
  <c r="M199" i="3"/>
  <c r="R195" i="3"/>
  <c r="L181" i="3"/>
  <c r="L157" i="3"/>
  <c r="P136" i="3"/>
  <c r="Q81" i="3"/>
  <c r="L61" i="3"/>
  <c r="Q57" i="3"/>
  <c r="Q363" i="3"/>
  <c r="M360" i="3"/>
  <c r="O353" i="3"/>
  <c r="R332" i="3"/>
  <c r="P322" i="3"/>
  <c r="L319" i="3"/>
  <c r="M312" i="3"/>
  <c r="P298" i="3"/>
  <c r="M288" i="3"/>
  <c r="O282" i="3"/>
  <c r="P275" i="3"/>
  <c r="L272" i="3"/>
  <c r="Q268" i="3"/>
  <c r="M265" i="3"/>
  <c r="P251" i="3"/>
  <c r="M241" i="3"/>
  <c r="P227" i="3"/>
  <c r="L224" i="3"/>
  <c r="M217" i="3"/>
  <c r="R213" i="3"/>
  <c r="O210" i="3"/>
  <c r="R189" i="3"/>
  <c r="L175" i="3"/>
  <c r="M144" i="3"/>
  <c r="M72" i="3"/>
  <c r="O30" i="3"/>
  <c r="L168" i="3"/>
  <c r="M161" i="3"/>
  <c r="O154" i="3"/>
  <c r="L144" i="3"/>
  <c r="O130" i="3"/>
  <c r="M113" i="3"/>
  <c r="Q68" i="3"/>
  <c r="L210" i="3"/>
  <c r="R199" i="3"/>
  <c r="O196" i="3"/>
  <c r="P189" i="3"/>
  <c r="M154" i="3"/>
  <c r="O147" i="3"/>
  <c r="L137" i="3"/>
  <c r="M130" i="3"/>
  <c r="L113" i="3"/>
  <c r="R77" i="3"/>
  <c r="P68" i="3"/>
  <c r="M57" i="3"/>
  <c r="R556" i="3"/>
  <c r="P545" i="3"/>
  <c r="L543" i="3"/>
  <c r="M531" i="3"/>
  <c r="P517" i="3"/>
  <c r="Q510" i="3"/>
  <c r="M507" i="3"/>
  <c r="R503" i="3"/>
  <c r="O501" i="3"/>
  <c r="P494" i="3"/>
  <c r="L491" i="3"/>
  <c r="M484" i="3"/>
  <c r="R480" i="3"/>
  <c r="O476" i="3"/>
  <c r="P469" i="3"/>
  <c r="L466" i="3"/>
  <c r="Q463" i="3"/>
  <c r="R456" i="3"/>
  <c r="AB456" i="3" s="1"/>
  <c r="O453" i="3"/>
  <c r="Y453" i="3" s="1"/>
  <c r="P446" i="3"/>
  <c r="L443" i="3"/>
  <c r="V443" i="3" s="1"/>
  <c r="Q438" i="3"/>
  <c r="AA438" i="3" s="1"/>
  <c r="M436" i="3"/>
  <c r="W436" i="3" s="1"/>
  <c r="R432" i="3"/>
  <c r="AB432" i="3" s="1"/>
  <c r="O429" i="3"/>
  <c r="L418" i="3"/>
  <c r="Q415" i="3"/>
  <c r="M411" i="3"/>
  <c r="O405" i="3"/>
  <c r="P397" i="3"/>
  <c r="L394" i="3"/>
  <c r="Q391" i="3"/>
  <c r="R384" i="3"/>
  <c r="O380" i="3"/>
  <c r="P373" i="3"/>
  <c r="Q366" i="3"/>
  <c r="M363" i="3"/>
  <c r="R358" i="3"/>
  <c r="O356" i="3"/>
  <c r="P348" i="3"/>
  <c r="Q342" i="3"/>
  <c r="M339" i="3"/>
  <c r="R335" i="3"/>
  <c r="P325" i="3"/>
  <c r="Q318" i="3"/>
  <c r="M315" i="3"/>
  <c r="R310" i="3"/>
  <c r="P301" i="3"/>
  <c r="Q294" i="3"/>
  <c r="M290" i="3"/>
  <c r="W290" i="3" s="1"/>
  <c r="P278" i="3"/>
  <c r="Q270" i="3"/>
  <c r="M268" i="3"/>
  <c r="R263" i="3"/>
  <c r="O261" i="3"/>
  <c r="L251" i="3"/>
  <c r="R240" i="3"/>
  <c r="O236" i="3"/>
  <c r="P230" i="3"/>
  <c r="L226" i="3"/>
  <c r="P181" i="3"/>
  <c r="M13" i="3"/>
  <c r="L13" i="3"/>
  <c r="R657" i="3"/>
  <c r="P650" i="3"/>
  <c r="L609" i="3"/>
  <c r="Q585" i="3"/>
  <c r="M524" i="3"/>
  <c r="Q511" i="3"/>
  <c r="P443" i="3"/>
  <c r="Z443" i="3" s="1"/>
  <c r="L415" i="3"/>
  <c r="Q405" i="3"/>
  <c r="Q308" i="3"/>
  <c r="L288" i="3"/>
  <c r="M233" i="3"/>
  <c r="P210" i="3"/>
  <c r="O290" i="3"/>
  <c r="Y290" i="3" s="1"/>
  <c r="O338" i="3"/>
  <c r="O388" i="3"/>
  <c r="O443" i="3"/>
  <c r="Y443" i="3" s="1"/>
  <c r="M650" i="3"/>
  <c r="R646" i="3"/>
  <c r="P635" i="3"/>
  <c r="M589" i="3"/>
  <c r="R581" i="3"/>
  <c r="Q571" i="3"/>
  <c r="M515" i="3"/>
  <c r="L511" i="3"/>
  <c r="R493" i="3"/>
  <c r="Q466" i="3"/>
  <c r="M457" i="3"/>
  <c r="W457" i="3" s="1"/>
  <c r="M443" i="3"/>
  <c r="W443" i="3" s="1"/>
  <c r="M429" i="3"/>
  <c r="P405" i="3"/>
  <c r="M391" i="3"/>
  <c r="R386" i="3"/>
  <c r="M381" i="3"/>
  <c r="R359" i="3"/>
  <c r="P349" i="3"/>
  <c r="Q339" i="3"/>
  <c r="P329" i="3"/>
  <c r="L265" i="3"/>
  <c r="Q260" i="3"/>
  <c r="R237" i="3"/>
  <c r="M210" i="3"/>
  <c r="O618" i="3"/>
  <c r="P657" i="3"/>
  <c r="L589" i="3"/>
  <c r="M480" i="3"/>
  <c r="R470" i="3"/>
  <c r="M466" i="3"/>
  <c r="R414" i="3"/>
  <c r="R373" i="3"/>
  <c r="M659" i="3"/>
  <c r="L642" i="3"/>
  <c r="M635" i="3"/>
  <c r="M509" i="3"/>
  <c r="M510" i="3"/>
  <c r="O503" i="3"/>
  <c r="O454" i="3"/>
  <c r="Y454" i="3" s="1"/>
  <c r="O455" i="3"/>
  <c r="Y455" i="3" s="1"/>
  <c r="O431" i="3"/>
  <c r="O430" i="3"/>
  <c r="O383" i="3"/>
  <c r="O382" i="3"/>
  <c r="L371" i="3"/>
  <c r="L324" i="3"/>
  <c r="L323" i="3"/>
  <c r="M317" i="3"/>
  <c r="M316" i="3"/>
  <c r="O310" i="3"/>
  <c r="O309" i="3"/>
  <c r="L300" i="3"/>
  <c r="L299" i="3"/>
  <c r="O263" i="3"/>
  <c r="O262" i="3"/>
  <c r="L253" i="3"/>
  <c r="L252" i="3"/>
  <c r="M246" i="3"/>
  <c r="M245" i="3"/>
  <c r="P616" i="3"/>
  <c r="P646" i="3"/>
  <c r="M616" i="3"/>
  <c r="R604" i="3"/>
  <c r="Q592" i="3"/>
  <c r="L581" i="3"/>
  <c r="V581" i="3" s="1"/>
  <c r="R546" i="3"/>
  <c r="P542" i="3"/>
  <c r="P493" i="3"/>
  <c r="R484" i="3"/>
  <c r="L480" i="3"/>
  <c r="Q470" i="3"/>
  <c r="AD456" i="3"/>
  <c r="L447" i="3"/>
  <c r="Q442" i="3"/>
  <c r="AA442" i="3" s="1"/>
  <c r="Q395" i="3"/>
  <c r="Q373" i="3"/>
  <c r="R363" i="3"/>
  <c r="L349" i="3"/>
  <c r="L329" i="3"/>
  <c r="P297" i="3"/>
  <c r="Q642" i="3"/>
  <c r="L620" i="3"/>
  <c r="P575" i="3"/>
  <c r="L657" i="3"/>
  <c r="M646" i="3"/>
  <c r="P642" i="3"/>
  <c r="L616" i="3"/>
  <c r="P612" i="3"/>
  <c r="Q608" i="3"/>
  <c r="L571" i="3"/>
  <c r="Q546" i="3"/>
  <c r="M542" i="3"/>
  <c r="L519" i="3"/>
  <c r="R510" i="3"/>
  <c r="P470" i="3"/>
  <c r="L433" i="3"/>
  <c r="V433" i="3" s="1"/>
  <c r="L419" i="3"/>
  <c r="P414" i="3"/>
  <c r="P395" i="3"/>
  <c r="R390" i="3"/>
  <c r="M359" i="3"/>
  <c r="P338" i="3"/>
  <c r="P307" i="3"/>
  <c r="M274" i="3"/>
  <c r="P250" i="3"/>
  <c r="O250" i="3"/>
  <c r="O449" i="3"/>
  <c r="O638" i="3"/>
  <c r="O637" i="3"/>
  <c r="O540" i="3"/>
  <c r="O541" i="3"/>
  <c r="M472" i="3"/>
  <c r="M471" i="3"/>
  <c r="R649" i="3"/>
  <c r="L646" i="3"/>
  <c r="M592" i="3"/>
  <c r="R588" i="3"/>
  <c r="R584" i="3"/>
  <c r="L542" i="3"/>
  <c r="Q514" i="3"/>
  <c r="P497" i="3"/>
  <c r="AD432" i="3"/>
  <c r="Q428" i="3"/>
  <c r="P380" i="3"/>
  <c r="R348" i="3"/>
  <c r="O625" i="3"/>
  <c r="R609" i="3"/>
  <c r="P522" i="3"/>
  <c r="R642" i="3"/>
  <c r="Q542" i="3"/>
  <c r="P608" i="3"/>
  <c r="M653" i="3"/>
  <c r="Q649" i="3"/>
  <c r="L612" i="3"/>
  <c r="M608" i="3"/>
  <c r="L592" i="3"/>
  <c r="L556" i="3"/>
  <c r="V556" i="3" s="1"/>
  <c r="P514" i="3"/>
  <c r="P510" i="3"/>
  <c r="M497" i="3"/>
  <c r="Q479" i="3"/>
  <c r="L470" i="3"/>
  <c r="P428" i="3"/>
  <c r="L395" i="3"/>
  <c r="O404" i="3"/>
  <c r="O507" i="3"/>
  <c r="O628" i="3"/>
  <c r="R602" i="3"/>
  <c r="P467" i="3"/>
  <c r="R612" i="3"/>
  <c r="M612" i="3"/>
  <c r="L653" i="3"/>
  <c r="L497" i="3"/>
  <c r="L446" i="3"/>
  <c r="P291" i="3"/>
  <c r="Z291" i="3" s="1"/>
  <c r="O258" i="3"/>
  <c r="O305" i="3"/>
  <c r="O406" i="3"/>
  <c r="O452" i="3"/>
  <c r="Y452" i="3" s="1"/>
  <c r="Q602" i="3"/>
  <c r="R571" i="3"/>
  <c r="P436" i="3"/>
  <c r="Z436" i="3" s="1"/>
  <c r="L588" i="3"/>
  <c r="P518" i="3"/>
  <c r="M501" i="3"/>
  <c r="P353" i="3"/>
  <c r="L322" i="3"/>
  <c r="L241" i="3"/>
  <c r="L209" i="3"/>
  <c r="M634" i="3"/>
  <c r="L550" i="3"/>
  <c r="L514" i="3"/>
  <c r="L501" i="3"/>
  <c r="P474" i="3"/>
  <c r="Q460" i="3"/>
  <c r="Q418" i="3"/>
  <c r="L385" i="3"/>
  <c r="O216" i="3"/>
  <c r="O357" i="3"/>
  <c r="L623" i="3"/>
  <c r="L518" i="3"/>
  <c r="P460" i="3"/>
  <c r="O265" i="3"/>
  <c r="O359" i="3"/>
  <c r="O408" i="3"/>
  <c r="P626" i="3"/>
  <c r="O267" i="3"/>
  <c r="O411" i="3"/>
  <c r="R459" i="3"/>
  <c r="AB459" i="3" s="1"/>
  <c r="R460" i="3"/>
  <c r="L374" i="3"/>
  <c r="Q345" i="3"/>
  <c r="Q346" i="3"/>
  <c r="O312" i="3"/>
  <c r="O311" i="3"/>
  <c r="R290" i="3"/>
  <c r="AB290" i="3" s="1"/>
  <c r="R291" i="3"/>
  <c r="AB291" i="3" s="1"/>
  <c r="O288" i="3"/>
  <c r="O287" i="3"/>
  <c r="L279" i="3"/>
  <c r="Q274" i="3"/>
  <c r="Q275" i="3"/>
  <c r="R267" i="3"/>
  <c r="R268" i="3"/>
  <c r="P257" i="3"/>
  <c r="P258" i="3"/>
  <c r="L254" i="3"/>
  <c r="O241" i="3"/>
  <c r="O240" i="3"/>
  <c r="P233" i="3"/>
  <c r="P234" i="3"/>
  <c r="L230" i="3"/>
  <c r="L231" i="3"/>
  <c r="P418" i="3"/>
  <c r="P419" i="3"/>
  <c r="R404" i="3"/>
  <c r="R405" i="3"/>
  <c r="L343" i="3"/>
  <c r="R308" i="3"/>
  <c r="R307" i="3"/>
  <c r="Q290" i="3"/>
  <c r="AA290" i="3" s="1"/>
  <c r="Q291" i="3"/>
  <c r="AA291" i="3" s="1"/>
  <c r="L248" i="3"/>
  <c r="M425" i="3"/>
  <c r="M426" i="3"/>
  <c r="O418" i="3"/>
  <c r="O419" i="3"/>
  <c r="L408" i="3"/>
  <c r="O395" i="3"/>
  <c r="O394" i="3"/>
  <c r="Q380" i="3"/>
  <c r="Q381" i="3"/>
  <c r="O345" i="3"/>
  <c r="O346" i="3"/>
  <c r="Q331" i="3"/>
  <c r="Q332" i="3"/>
  <c r="M305" i="3"/>
  <c r="M304" i="3"/>
  <c r="O297" i="3"/>
  <c r="O298" i="3"/>
  <c r="O275" i="3"/>
  <c r="O274" i="3"/>
  <c r="M258" i="3"/>
  <c r="M257" i="3"/>
  <c r="Q236" i="3"/>
  <c r="Q237" i="3"/>
  <c r="L217" i="3"/>
  <c r="L216" i="3"/>
  <c r="O202" i="3"/>
  <c r="O203" i="3"/>
  <c r="Q517" i="3"/>
  <c r="Q518" i="3"/>
  <c r="Q397" i="3"/>
  <c r="Q398" i="3"/>
  <c r="P331" i="3"/>
  <c r="P332" i="3"/>
  <c r="Q300" i="3"/>
  <c r="Q301" i="3"/>
  <c r="P213" i="3"/>
  <c r="P212" i="3"/>
  <c r="Q181" i="3"/>
  <c r="P163" i="3"/>
  <c r="P164" i="3"/>
  <c r="L161" i="3"/>
  <c r="Q156" i="3"/>
  <c r="Q157" i="3"/>
  <c r="R149" i="3"/>
  <c r="R150" i="3"/>
  <c r="O531" i="3"/>
  <c r="O653" i="3"/>
  <c r="L369" i="3"/>
  <c r="L370" i="3"/>
  <c r="O332" i="3"/>
  <c r="O331" i="3"/>
  <c r="L321" i="3"/>
  <c r="P587" i="3"/>
  <c r="P588" i="3"/>
  <c r="AD491" i="3"/>
  <c r="AD442" i="3"/>
  <c r="L640" i="3"/>
  <c r="L598" i="3"/>
  <c r="L540" i="3"/>
  <c r="V540" i="3" s="1"/>
  <c r="M525" i="3"/>
  <c r="L508" i="3"/>
  <c r="Q477" i="3"/>
  <c r="R453" i="3"/>
  <c r="AB453" i="3" s="1"/>
  <c r="R439" i="3"/>
  <c r="AB439" i="3" s="1"/>
  <c r="M435" i="3"/>
  <c r="W435" i="3" s="1"/>
  <c r="M402" i="3"/>
  <c r="P356" i="3"/>
  <c r="R325" i="3"/>
  <c r="R271" i="3"/>
  <c r="O234" i="3"/>
  <c r="O425" i="3"/>
  <c r="O604" i="3"/>
  <c r="O511" i="3"/>
  <c r="O510" i="3"/>
  <c r="O605" i="3"/>
  <c r="O656" i="3"/>
  <c r="O629" i="3"/>
  <c r="O556" i="3"/>
  <c r="L546" i="3"/>
  <c r="M511" i="3"/>
  <c r="M487" i="3"/>
  <c r="O456" i="3"/>
  <c r="Y456" i="3" s="1"/>
  <c r="L422" i="3"/>
  <c r="L373" i="3"/>
  <c r="P453" i="3"/>
  <c r="Z453" i="3" s="1"/>
  <c r="AD443" i="3"/>
  <c r="P439" i="3"/>
  <c r="Z439" i="3" s="1"/>
  <c r="L345" i="3"/>
  <c r="L304" i="3"/>
  <c r="R293" i="3"/>
  <c r="AB293" i="3" s="1"/>
  <c r="M271" i="3"/>
  <c r="R261" i="3"/>
  <c r="M247" i="3"/>
  <c r="L234" i="3"/>
  <c r="R206" i="3"/>
  <c r="O195" i="3"/>
  <c r="O428" i="3"/>
  <c r="O483" i="3"/>
  <c r="O545" i="3"/>
  <c r="O646" i="3"/>
  <c r="O645" i="3"/>
  <c r="O622" i="3"/>
  <c r="O598" i="3"/>
  <c r="O597" i="3"/>
  <c r="M581" i="3"/>
  <c r="O574" i="3"/>
  <c r="M556" i="3"/>
  <c r="O521" i="3"/>
  <c r="O520" i="3"/>
  <c r="O497" i="3"/>
  <c r="O496" i="3"/>
  <c r="O473" i="3"/>
  <c r="L439" i="3"/>
  <c r="V439" i="3" s="1"/>
  <c r="P476" i="3"/>
  <c r="O381" i="3"/>
  <c r="M549" i="3"/>
  <c r="O542" i="3"/>
  <c r="M521" i="3"/>
  <c r="Q524" i="3"/>
  <c r="L494" i="3"/>
  <c r="M476" i="3"/>
  <c r="P462" i="3"/>
  <c r="R429" i="3"/>
  <c r="Q369" i="3"/>
  <c r="L360" i="3"/>
  <c r="O243" i="3"/>
  <c r="O335" i="3"/>
  <c r="O384" i="3"/>
  <c r="O549" i="3"/>
  <c r="O611" i="3"/>
  <c r="O659" i="3"/>
  <c r="O608" i="3"/>
  <c r="O584" i="3"/>
  <c r="O559" i="3"/>
  <c r="L549" i="3"/>
  <c r="L521" i="3"/>
  <c r="O435" i="3"/>
  <c r="Y435" i="3" s="1"/>
  <c r="Q605" i="3"/>
  <c r="M439" i="3"/>
  <c r="W439" i="3" s="1"/>
  <c r="M605" i="3"/>
  <c r="M298" i="3"/>
  <c r="P219" i="3"/>
  <c r="O601" i="3"/>
  <c r="O552" i="3"/>
  <c r="L605" i="3"/>
  <c r="R381" i="3"/>
  <c r="M369" i="3"/>
  <c r="Q349" i="3"/>
  <c r="R339" i="3"/>
  <c r="Q251" i="3"/>
  <c r="R394" i="3"/>
  <c r="R239" i="3"/>
  <c r="M168" i="3"/>
  <c r="P137" i="3"/>
  <c r="O119" i="3"/>
  <c r="M618" i="3"/>
  <c r="L601" i="3"/>
  <c r="O587" i="3"/>
  <c r="O486" i="3"/>
  <c r="O485" i="3"/>
  <c r="AD457" i="3"/>
  <c r="L404" i="3"/>
  <c r="O365" i="3"/>
  <c r="O364" i="3"/>
  <c r="L355" i="3"/>
  <c r="M348" i="3"/>
  <c r="O341" i="3"/>
  <c r="O317" i="3"/>
  <c r="O316" i="3"/>
  <c r="O270" i="3"/>
  <c r="O269" i="3"/>
  <c r="M222" i="3"/>
  <c r="M221" i="3"/>
  <c r="M149" i="3"/>
  <c r="O465" i="3"/>
  <c r="O464" i="3"/>
  <c r="L455" i="3"/>
  <c r="V455" i="3" s="1"/>
  <c r="L454" i="3"/>
  <c r="V454" i="3" s="1"/>
  <c r="O441" i="3"/>
  <c r="Y441" i="3" s="1"/>
  <c r="O440" i="3"/>
  <c r="Y440" i="3" s="1"/>
  <c r="M424" i="3"/>
  <c r="M423" i="3"/>
  <c r="R420" i="3"/>
  <c r="R419" i="3"/>
  <c r="O607" i="3"/>
  <c r="L496" i="3"/>
  <c r="Q491" i="3"/>
  <c r="M489" i="3"/>
  <c r="AD453" i="3"/>
  <c r="P491" i="3"/>
  <c r="Q484" i="3"/>
  <c r="Q388" i="3"/>
  <c r="P370" i="3"/>
  <c r="P484" i="3"/>
  <c r="M418" i="3"/>
  <c r="Q85" i="3"/>
  <c r="R140" i="3"/>
  <c r="O392" i="3"/>
  <c r="P384" i="3"/>
  <c r="Q203" i="3"/>
  <c r="M89" i="3"/>
  <c r="O65" i="3"/>
  <c r="O434" i="3"/>
  <c r="Y434" i="3" s="1"/>
  <c r="O239" i="3"/>
  <c r="Q170" i="3"/>
  <c r="Q171" i="3"/>
  <c r="P153" i="3"/>
  <c r="P154" i="3"/>
  <c r="L71" i="3"/>
  <c r="L72" i="3"/>
  <c r="P139" i="3"/>
  <c r="P140" i="3"/>
  <c r="Q132" i="3"/>
  <c r="Q133" i="3"/>
  <c r="R125" i="3"/>
  <c r="R126" i="3"/>
  <c r="Q108" i="3"/>
  <c r="Q109" i="3"/>
  <c r="L298" i="3"/>
  <c r="L275" i="3"/>
  <c r="L339" i="3"/>
  <c r="L338" i="3"/>
  <c r="R304" i="3"/>
  <c r="R303" i="3"/>
  <c r="P334" i="3"/>
  <c r="P335" i="3"/>
  <c r="O432" i="3"/>
  <c r="Y432" i="3" s="1"/>
  <c r="P400" i="3"/>
  <c r="Q344" i="3"/>
  <c r="M408" i="3"/>
  <c r="O401" i="3"/>
  <c r="O400" i="3"/>
  <c r="O352" i="3"/>
  <c r="O639" i="3"/>
  <c r="O615" i="3"/>
  <c r="P558" i="3"/>
  <c r="O514" i="3"/>
  <c r="P506" i="3"/>
  <c r="O490" i="3"/>
  <c r="O466" i="3"/>
  <c r="L473" i="3"/>
  <c r="O459" i="3"/>
  <c r="Y459" i="3" s="1"/>
  <c r="AD454" i="3"/>
  <c r="O524" i="3"/>
  <c r="O500" i="3"/>
  <c r="M338" i="3"/>
  <c r="R518" i="3"/>
  <c r="M432" i="3"/>
  <c r="W432" i="3" s="1"/>
  <c r="M407" i="3"/>
  <c r="Q196" i="3"/>
  <c r="M71" i="3"/>
  <c r="L133" i="3"/>
  <c r="O260" i="3"/>
  <c r="O221" i="3"/>
  <c r="M374" i="3"/>
  <c r="M375" i="3"/>
  <c r="L357" i="3"/>
  <c r="L358" i="3"/>
  <c r="M350" i="3"/>
  <c r="M351" i="3"/>
  <c r="L472" i="3"/>
  <c r="M465" i="3"/>
  <c r="L448" i="3"/>
  <c r="P346" i="3"/>
  <c r="P171" i="3"/>
  <c r="Q164" i="3"/>
  <c r="R157" i="3"/>
  <c r="P147" i="3"/>
  <c r="Q140" i="3"/>
  <c r="R133" i="3"/>
  <c r="P123" i="3"/>
  <c r="Q116" i="3"/>
  <c r="R109" i="3"/>
  <c r="P270" i="3"/>
  <c r="L83" i="3"/>
  <c r="Q158" i="3"/>
  <c r="O197" i="3"/>
  <c r="Q327" i="3"/>
  <c r="R320" i="3"/>
  <c r="P310" i="3"/>
  <c r="Q303" i="3"/>
  <c r="R296" i="3"/>
  <c r="Q280" i="3"/>
  <c r="R273" i="3"/>
  <c r="P263" i="3"/>
  <c r="Q256" i="3"/>
  <c r="R249" i="3"/>
  <c r="P239" i="3"/>
  <c r="Q232" i="3"/>
  <c r="R225" i="3"/>
  <c r="P215" i="3"/>
  <c r="Q208" i="3"/>
  <c r="R201" i="3"/>
  <c r="R337" i="3"/>
  <c r="P327" i="3"/>
  <c r="L325" i="3"/>
  <c r="Q320" i="3"/>
  <c r="R313" i="3"/>
  <c r="P303" i="3"/>
  <c r="Q296" i="3"/>
  <c r="M294" i="3"/>
  <c r="R289" i="3"/>
  <c r="AB289" i="3" s="1"/>
  <c r="AD283" i="3"/>
  <c r="P280" i="3"/>
  <c r="Q273" i="3"/>
  <c r="R266" i="3"/>
  <c r="P256" i="3"/>
  <c r="Q249" i="3"/>
  <c r="R242" i="3"/>
  <c r="P232" i="3"/>
  <c r="Q225" i="3"/>
  <c r="R218" i="3"/>
  <c r="P208" i="3"/>
  <c r="Q201" i="3"/>
  <c r="R194" i="3"/>
  <c r="L341" i="3"/>
  <c r="L342" i="3"/>
  <c r="M334" i="3"/>
  <c r="M335" i="3"/>
  <c r="O328" i="3"/>
  <c r="O327" i="3"/>
  <c r="AD253" i="3"/>
  <c r="Q499" i="3"/>
  <c r="R492" i="3"/>
  <c r="P482" i="3"/>
  <c r="Q475" i="3"/>
  <c r="M473" i="3"/>
  <c r="R468" i="3"/>
  <c r="P458" i="3"/>
  <c r="Z458" i="3" s="1"/>
  <c r="L456" i="3"/>
  <c r="V456" i="3" s="1"/>
  <c r="Q451" i="3"/>
  <c r="AA451" i="3" s="1"/>
  <c r="M449" i="3"/>
  <c r="R444" i="3"/>
  <c r="AB444" i="3" s="1"/>
  <c r="AD437" i="3"/>
  <c r="P434" i="3"/>
  <c r="Z434" i="3" s="1"/>
  <c r="L432" i="3"/>
  <c r="V432" i="3" s="1"/>
  <c r="Q427" i="3"/>
  <c r="AA427" i="3" s="1"/>
  <c r="O177" i="3"/>
  <c r="L167" i="3"/>
  <c r="M160" i="3"/>
  <c r="O153" i="3"/>
  <c r="M136" i="3"/>
  <c r="O129" i="3"/>
  <c r="L119" i="3"/>
  <c r="M112" i="3"/>
  <c r="M177" i="3"/>
  <c r="O170" i="3"/>
  <c r="L160" i="3"/>
  <c r="M153" i="3"/>
  <c r="O146" i="3"/>
  <c r="L136" i="3"/>
  <c r="M129" i="3"/>
  <c r="O122" i="3"/>
  <c r="L112" i="3"/>
  <c r="O355" i="3"/>
  <c r="O642" i="3"/>
  <c r="O517" i="3"/>
  <c r="O493" i="3"/>
  <c r="O469" i="3"/>
  <c r="O445" i="3"/>
  <c r="O421" i="3"/>
  <c r="O397" i="3"/>
  <c r="O372" i="3"/>
  <c r="O348" i="3"/>
  <c r="O324" i="3"/>
  <c r="O300" i="3"/>
  <c r="O277" i="3"/>
  <c r="O573" i="3"/>
  <c r="L318" i="3"/>
  <c r="M311" i="3"/>
  <c r="L294" i="3"/>
  <c r="M287" i="3"/>
  <c r="L271" i="3"/>
  <c r="M264" i="3"/>
  <c r="L247" i="3"/>
  <c r="M240" i="3"/>
  <c r="L223" i="3"/>
  <c r="M216" i="3"/>
  <c r="L199" i="3"/>
  <c r="AB120" i="11" l="1"/>
  <c r="W70" i="3"/>
  <c r="L662" i="3"/>
  <c r="Y334" i="3"/>
  <c r="AB88" i="10"/>
  <c r="W190" i="3"/>
  <c r="V105" i="3"/>
  <c r="AC473" i="3"/>
  <c r="AC590" i="3"/>
  <c r="V70" i="3"/>
  <c r="W55" i="3"/>
  <c r="Y540" i="3"/>
  <c r="V416" i="3"/>
  <c r="V242" i="3"/>
  <c r="V25" i="3"/>
  <c r="V461" i="3"/>
  <c r="AA533" i="3"/>
  <c r="W232" i="3"/>
  <c r="Y88" i="11"/>
  <c r="X250" i="11"/>
  <c r="AB250" i="11"/>
  <c r="X47" i="11"/>
  <c r="AA71" i="11"/>
  <c r="AB88" i="11"/>
  <c r="Y71" i="11"/>
  <c r="AB47" i="11"/>
  <c r="AB71" i="11"/>
  <c r="AA33" i="11"/>
  <c r="AA232" i="11"/>
  <c r="Y232" i="11"/>
  <c r="AB276" i="11"/>
  <c r="Z88" i="11"/>
  <c r="X88" i="11"/>
  <c r="AB232" i="11"/>
  <c r="Z71" i="11"/>
  <c r="AB33" i="11"/>
  <c r="Z33" i="11"/>
  <c r="X33" i="11"/>
  <c r="X71" i="11"/>
  <c r="R181" i="10"/>
  <c r="AD151" i="10"/>
  <c r="AD181" i="10" s="1"/>
  <c r="AD64" i="10"/>
  <c r="AB151" i="10"/>
  <c r="AB181" i="10" s="1"/>
  <c r="AD88" i="10"/>
  <c r="AB64" i="10"/>
  <c r="AD91" i="10"/>
  <c r="R113" i="10"/>
  <c r="AD141" i="10"/>
  <c r="AB91" i="10"/>
  <c r="X141" i="10"/>
  <c r="X27" i="10"/>
  <c r="AE64" i="10"/>
  <c r="AB141" i="10"/>
  <c r="T113" i="10"/>
  <c r="AC141" i="10"/>
  <c r="T181" i="10"/>
  <c r="AE113" i="10"/>
  <c r="AC250" i="10"/>
  <c r="AE181" i="10"/>
  <c r="AA27" i="10"/>
  <c r="W141" i="10"/>
  <c r="AE79" i="10"/>
  <c r="AA141" i="10"/>
  <c r="AE45" i="10"/>
  <c r="AC27" i="10"/>
  <c r="AA113" i="10"/>
  <c r="AA181" i="10"/>
  <c r="AE141" i="10"/>
  <c r="Z141" i="10"/>
  <c r="AC64" i="10"/>
  <c r="AE27" i="10"/>
  <c r="AD485" i="3"/>
  <c r="W527" i="3"/>
  <c r="AC398" i="3"/>
  <c r="AC489" i="3"/>
  <c r="AD212" i="3"/>
  <c r="W146" i="3"/>
  <c r="AC446" i="3"/>
  <c r="V495" i="3"/>
  <c r="Z364" i="3"/>
  <c r="AC481" i="3"/>
  <c r="AC212" i="3"/>
  <c r="AB61" i="3"/>
  <c r="AD527" i="3"/>
  <c r="AC592" i="3"/>
  <c r="AC406" i="3"/>
  <c r="V475" i="3"/>
  <c r="AC493" i="3"/>
  <c r="Y420" i="3"/>
  <c r="AC166" i="3"/>
  <c r="AC499" i="3"/>
  <c r="AC389" i="3"/>
  <c r="AC594" i="3"/>
  <c r="AC584" i="3"/>
  <c r="W295" i="3"/>
  <c r="AC552" i="3"/>
  <c r="W485" i="3"/>
  <c r="W218" i="3"/>
  <c r="AC408" i="3"/>
  <c r="AC491" i="3"/>
  <c r="AC581" i="3"/>
  <c r="AC502" i="3"/>
  <c r="AD471" i="3"/>
  <c r="AA512" i="3"/>
  <c r="AC643" i="3"/>
  <c r="AC573" i="3"/>
  <c r="Y230" i="3"/>
  <c r="Y220" i="3"/>
  <c r="AC483" i="3"/>
  <c r="AD76" i="3"/>
  <c r="V522" i="3"/>
  <c r="Y516" i="3"/>
  <c r="AC497" i="3"/>
  <c r="AC479" i="3"/>
  <c r="W114" i="3"/>
  <c r="AC396" i="3"/>
  <c r="AC400" i="3"/>
  <c r="W163" i="3"/>
  <c r="V282" i="3"/>
  <c r="W355" i="3"/>
  <c r="AA178" i="3"/>
  <c r="AC386" i="3"/>
  <c r="AA210" i="3"/>
  <c r="AB594" i="3"/>
  <c r="AC394" i="3"/>
  <c r="AC163" i="3"/>
  <c r="AC404" i="3"/>
  <c r="AC646" i="3"/>
  <c r="Z516" i="3"/>
  <c r="AA198" i="3"/>
  <c r="Y471" i="3"/>
  <c r="AC495" i="3"/>
  <c r="AC392" i="3"/>
  <c r="AC487" i="3"/>
  <c r="AC577" i="3"/>
  <c r="AC556" i="3"/>
  <c r="AC402" i="3"/>
  <c r="AC475" i="3"/>
  <c r="V331" i="3"/>
  <c r="AC570" i="3"/>
  <c r="AC469" i="3"/>
  <c r="AC471" i="3"/>
  <c r="AA570" i="3"/>
  <c r="W522" i="3"/>
  <c r="AC210" i="3"/>
  <c r="AC485" i="3"/>
  <c r="AC567" i="3"/>
  <c r="V411" i="3"/>
  <c r="AC477" i="3"/>
  <c r="AC649" i="3"/>
  <c r="AD431" i="3"/>
  <c r="Y577" i="3"/>
  <c r="V471" i="3"/>
  <c r="Z614" i="3"/>
  <c r="Z477" i="3"/>
  <c r="V659" i="3"/>
  <c r="Z495" i="3"/>
  <c r="Z282" i="3"/>
  <c r="Z527" i="3"/>
  <c r="Y55" i="3"/>
  <c r="Y362" i="3"/>
  <c r="W140" i="3"/>
  <c r="V340" i="3"/>
  <c r="Z420" i="3"/>
  <c r="W214" i="3"/>
  <c r="W475" i="3"/>
  <c r="V146" i="3"/>
  <c r="AA594" i="3"/>
  <c r="AD313" i="3"/>
  <c r="AA567" i="3"/>
  <c r="W396" i="3"/>
  <c r="AA429" i="3"/>
  <c r="Y422" i="3"/>
  <c r="AA416" i="3"/>
  <c r="V142" i="3"/>
  <c r="Z602" i="3"/>
  <c r="Z313" i="3"/>
  <c r="AB590" i="3"/>
  <c r="W469" i="3"/>
  <c r="AB487" i="3"/>
  <c r="V238" i="3"/>
  <c r="AD516" i="3"/>
  <c r="AD400" i="3"/>
  <c r="AD512" i="3"/>
  <c r="AD499" i="3"/>
  <c r="AD424" i="3"/>
  <c r="AD238" i="3"/>
  <c r="AD64" i="3"/>
  <c r="AD402" i="3"/>
  <c r="V114" i="3"/>
  <c r="Y617" i="3"/>
  <c r="V602" i="3"/>
  <c r="Z389" i="3"/>
  <c r="AA527" i="3"/>
  <c r="Y651" i="3"/>
  <c r="AD144" i="3"/>
  <c r="AB481" i="3"/>
  <c r="AA481" i="3"/>
  <c r="Z590" i="3"/>
  <c r="AA489" i="3"/>
  <c r="W340" i="3"/>
  <c r="Y497" i="3"/>
  <c r="Y426" i="3"/>
  <c r="V590" i="3"/>
  <c r="AD373" i="3"/>
  <c r="AD489" i="3"/>
  <c r="W611" i="3"/>
  <c r="W123" i="3"/>
  <c r="V214" i="3"/>
  <c r="Y489" i="3"/>
  <c r="Z520" i="3"/>
  <c r="AD497" i="3"/>
  <c r="AA540" i="3"/>
  <c r="V420" i="3"/>
  <c r="AD370" i="3"/>
  <c r="AA448" i="3"/>
  <c r="Y144" i="3"/>
  <c r="W277" i="3"/>
  <c r="Y169" i="3"/>
  <c r="Z651" i="3"/>
  <c r="AD304" i="3"/>
  <c r="AD549" i="3"/>
  <c r="Y416" i="3"/>
  <c r="W230" i="3"/>
  <c r="W135" i="3"/>
  <c r="Y76" i="3"/>
  <c r="W461" i="3"/>
  <c r="W594" i="3"/>
  <c r="Y446" i="3"/>
  <c r="AD481" i="3"/>
  <c r="Y602" i="3"/>
  <c r="Y625" i="3"/>
  <c r="W248" i="3"/>
  <c r="AD234" i="3"/>
  <c r="AD429" i="3"/>
  <c r="AD364" i="3"/>
  <c r="AD602" i="3"/>
  <c r="W602" i="3"/>
  <c r="W389" i="3"/>
  <c r="AD187" i="3"/>
  <c r="AD236" i="3"/>
  <c r="W659" i="3"/>
  <c r="AD216" i="3"/>
  <c r="AD319" i="3"/>
  <c r="W649" i="3"/>
  <c r="Y160" i="3"/>
  <c r="AD362" i="3"/>
  <c r="AA230" i="3"/>
  <c r="Y495" i="3"/>
  <c r="W280" i="3"/>
  <c r="AD49" i="3"/>
  <c r="AD169" i="3"/>
  <c r="Z132" i="3"/>
  <c r="W142" i="3"/>
  <c r="Y522" i="3"/>
  <c r="V228" i="3"/>
  <c r="Z483" i="3"/>
  <c r="W625" i="3"/>
  <c r="AA144" i="3"/>
  <c r="W138" i="3"/>
  <c r="V259" i="3"/>
  <c r="AD148" i="3"/>
  <c r="W596" i="3"/>
  <c r="Z485" i="3"/>
  <c r="Z406" i="3"/>
  <c r="Z533" i="3"/>
  <c r="AA522" i="3"/>
  <c r="AA485" i="3"/>
  <c r="AA364" i="3"/>
  <c r="AB510" i="3"/>
  <c r="AA600" i="3"/>
  <c r="Z340" i="3"/>
  <c r="AA406" i="3"/>
  <c r="AA520" i="3"/>
  <c r="AA621" i="3"/>
  <c r="AA352" i="3"/>
  <c r="Z594" i="3"/>
  <c r="Z228" i="3"/>
  <c r="Z166" i="3"/>
  <c r="Z135" i="3"/>
  <c r="AB79" i="3"/>
  <c r="AA111" i="3"/>
  <c r="AA166" i="3"/>
  <c r="Y208" i="3"/>
  <c r="AA216" i="3"/>
  <c r="AA222" i="3"/>
  <c r="Z240" i="3"/>
  <c r="Z214" i="3"/>
  <c r="Y240" i="3"/>
  <c r="Y288" i="3"/>
  <c r="AB357" i="3"/>
  <c r="AA461" i="3"/>
  <c r="Z461" i="3"/>
  <c r="Z426" i="3"/>
  <c r="AA376" i="3"/>
  <c r="AA310" i="3"/>
  <c r="Z357" i="3"/>
  <c r="Y295" i="3"/>
  <c r="Z222" i="3"/>
  <c r="Y245" i="3"/>
  <c r="AA282" i="3"/>
  <c r="Y190" i="3"/>
  <c r="Z205" i="3"/>
  <c r="Z85" i="3"/>
  <c r="AA33" i="3"/>
  <c r="Z111" i="3"/>
  <c r="AA70" i="3"/>
  <c r="AA126" i="3"/>
  <c r="Z27" i="3"/>
  <c r="AB256" i="3"/>
  <c r="AB408" i="3"/>
  <c r="AB491" i="3"/>
  <c r="AB522" i="3"/>
  <c r="AB420" i="3"/>
  <c r="AB527" i="3"/>
  <c r="AB461" i="3"/>
  <c r="AB58" i="3"/>
  <c r="AB148" i="3"/>
  <c r="AB226" i="3"/>
  <c r="AB214" i="3"/>
  <c r="AB251" i="3"/>
  <c r="AC97" i="10"/>
  <c r="AC113" i="10" s="1"/>
  <c r="AB634" i="3"/>
  <c r="AB614" i="3"/>
  <c r="AB651" i="3"/>
  <c r="AD540" i="3"/>
  <c r="AD416" i="3"/>
  <c r="Y148" i="3"/>
  <c r="AD398" i="3"/>
  <c r="AD146" i="3"/>
  <c r="AB469" i="3"/>
  <c r="AA226" i="3"/>
  <c r="Z216" i="3"/>
  <c r="W408" i="3"/>
  <c r="AA135" i="3"/>
  <c r="AB240" i="3"/>
  <c r="Y450" i="3"/>
  <c r="AD420" i="3"/>
  <c r="W234" i="3"/>
  <c r="V230" i="3"/>
  <c r="Z169" i="3"/>
  <c r="Z596" i="3"/>
  <c r="AA420" i="3"/>
  <c r="AB222" i="3"/>
  <c r="V140" i="3"/>
  <c r="AB27" i="3"/>
  <c r="W46" i="3"/>
  <c r="AB25" i="3"/>
  <c r="Z540" i="3"/>
  <c r="V424" i="3"/>
  <c r="Y271" i="3"/>
  <c r="AD355" i="3"/>
  <c r="W481" i="3"/>
  <c r="AB265" i="3"/>
  <c r="AD172" i="3"/>
  <c r="AA140" i="3"/>
  <c r="Z316" i="3"/>
  <c r="Y590" i="3"/>
  <c r="Z450" i="3"/>
  <c r="AD222" i="3"/>
  <c r="Z370" i="3"/>
  <c r="Z33" i="3"/>
  <c r="W64" i="3"/>
  <c r="AB448" i="3"/>
  <c r="Z76" i="3"/>
  <c r="W493" i="3"/>
  <c r="Z529" i="3"/>
  <c r="V450" i="3"/>
  <c r="AA46" i="3"/>
  <c r="Z61" i="3"/>
  <c r="Y394" i="3"/>
  <c r="Y510" i="3"/>
  <c r="AA367" i="3"/>
  <c r="AD360" i="3"/>
  <c r="AD132" i="3"/>
  <c r="AA251" i="3"/>
  <c r="AD352" i="3"/>
  <c r="Z337" i="3"/>
  <c r="AD592" i="3"/>
  <c r="AD600" i="3"/>
  <c r="V373" i="3"/>
  <c r="W79" i="3"/>
  <c r="AA614" i="3"/>
  <c r="Y552" i="3"/>
  <c r="W552" i="3"/>
  <c r="AA651" i="3"/>
  <c r="AB429" i="3"/>
  <c r="V357" i="3"/>
  <c r="Y135" i="3"/>
  <c r="W334" i="3"/>
  <c r="AD475" i="3"/>
  <c r="Z552" i="3"/>
  <c r="AA236" i="3"/>
  <c r="AB602" i="3"/>
  <c r="W520" i="3"/>
  <c r="W448" i="3"/>
  <c r="AA288" i="3"/>
  <c r="Y424" i="3"/>
  <c r="Z126" i="3"/>
  <c r="Y253" i="3"/>
  <c r="W228" i="3"/>
  <c r="Y114" i="3"/>
  <c r="AD418" i="3"/>
  <c r="Z274" i="3"/>
  <c r="V205" i="3"/>
  <c r="Z424" i="3"/>
  <c r="Z502" i="3"/>
  <c r="AB138" i="3"/>
  <c r="Y527" i="3"/>
  <c r="W573" i="3"/>
  <c r="AA146" i="3"/>
  <c r="AA52" i="3"/>
  <c r="AB202" i="3"/>
  <c r="V549" i="3"/>
  <c r="AD590" i="3"/>
  <c r="Z280" i="3"/>
  <c r="AD230" i="3"/>
  <c r="V154" i="3"/>
  <c r="AD408" i="3"/>
  <c r="AD386" i="3"/>
  <c r="W411" i="3"/>
  <c r="V234" i="3"/>
  <c r="V656" i="3"/>
  <c r="Y464" i="3"/>
  <c r="Z123" i="3"/>
  <c r="Y614" i="3"/>
  <c r="AA337" i="3"/>
  <c r="Y481" i="3"/>
  <c r="AB228" i="3"/>
  <c r="W94" i="3"/>
  <c r="V422" i="3"/>
  <c r="AA259" i="3"/>
  <c r="AA450" i="3"/>
  <c r="Y238" i="3"/>
  <c r="AD58" i="3"/>
  <c r="Z383" i="3"/>
  <c r="Y587" i="3"/>
  <c r="W82" i="3"/>
  <c r="W471" i="3"/>
  <c r="AA224" i="3"/>
  <c r="AB208" i="3"/>
  <c r="W487" i="3"/>
  <c r="W49" i="3"/>
  <c r="V637" i="3"/>
  <c r="V483" i="3"/>
  <c r="AB55" i="3"/>
  <c r="Z265" i="3"/>
  <c r="W467" i="3"/>
  <c r="Y502" i="3"/>
  <c r="AD340" i="3"/>
  <c r="Y319" i="3"/>
  <c r="Y386" i="3"/>
  <c r="AD282" i="3"/>
  <c r="W307" i="3"/>
  <c r="AB310" i="3"/>
  <c r="V396" i="3"/>
  <c r="Z659" i="3"/>
  <c r="Z398" i="3"/>
  <c r="V426" i="3"/>
  <c r="V402" i="3"/>
  <c r="AD573" i="3"/>
  <c r="AB142" i="3"/>
  <c r="AA129" i="3"/>
  <c r="AD126" i="3"/>
  <c r="T662" i="3"/>
  <c r="Z512" i="3"/>
  <c r="Z649" i="3"/>
  <c r="AD533" i="3"/>
  <c r="W431" i="3"/>
  <c r="AA596" i="3"/>
  <c r="W495" i="3"/>
  <c r="Y469" i="3"/>
  <c r="AD524" i="3"/>
  <c r="V148" i="3"/>
  <c r="Y49" i="3"/>
  <c r="Y172" i="3"/>
  <c r="Y389" i="3"/>
  <c r="AD334" i="3"/>
  <c r="AA61" i="3"/>
  <c r="V473" i="3"/>
  <c r="Y343" i="3"/>
  <c r="Y337" i="3"/>
  <c r="AA334" i="3"/>
  <c r="AB573" i="3"/>
  <c r="Z429" i="3"/>
  <c r="Y621" i="3"/>
  <c r="V512" i="3"/>
  <c r="Y132" i="3"/>
  <c r="AD310" i="3"/>
  <c r="V408" i="3"/>
  <c r="V524" i="3"/>
  <c r="Z631" i="3"/>
  <c r="V313" i="3"/>
  <c r="AB248" i="3"/>
  <c r="V337" i="3"/>
  <c r="AB653" i="3"/>
  <c r="AA313" i="3"/>
  <c r="AB288" i="3"/>
  <c r="Y27" i="3"/>
  <c r="V600" i="3"/>
  <c r="Y138" i="3"/>
  <c r="Y140" i="3"/>
  <c r="V446" i="3"/>
  <c r="AB617" i="3"/>
  <c r="W43" i="3"/>
  <c r="AA240" i="3"/>
  <c r="V195" i="3"/>
  <c r="AD495" i="3"/>
  <c r="AB268" i="3"/>
  <c r="AD396" i="3"/>
  <c r="Y431" i="3"/>
  <c r="AA295" i="3"/>
  <c r="Y406" i="3"/>
  <c r="AB316" i="3"/>
  <c r="Y120" i="3"/>
  <c r="W584" i="3"/>
  <c r="W600" i="3"/>
  <c r="Z493" i="3"/>
  <c r="V584" i="3"/>
  <c r="V132" i="3"/>
  <c r="Y123" i="3"/>
  <c r="Y251" i="3"/>
  <c r="W357" i="3"/>
  <c r="Y656" i="3"/>
  <c r="AB301" i="3"/>
  <c r="W111" i="3"/>
  <c r="V198" i="3"/>
  <c r="Y310" i="3"/>
  <c r="Z418" i="3"/>
  <c r="AA142" i="3"/>
  <c r="W226" i="3"/>
  <c r="AB625" i="3"/>
  <c r="Y414" i="3"/>
  <c r="V467" i="3"/>
  <c r="Y268" i="3"/>
  <c r="AB70" i="3"/>
  <c r="Z524" i="3"/>
  <c r="Y448" i="3"/>
  <c r="Z322" i="3"/>
  <c r="V52" i="3"/>
  <c r="Z248" i="3"/>
  <c r="W105" i="3"/>
  <c r="AA187" i="3"/>
  <c r="AB592" i="3"/>
  <c r="W175" i="3"/>
  <c r="AD210" i="3"/>
  <c r="AD268" i="3"/>
  <c r="Y398" i="3"/>
  <c r="V497" i="3"/>
  <c r="Y313" i="3"/>
  <c r="Y360" i="3"/>
  <c r="Y370" i="3"/>
  <c r="AD298" i="3"/>
  <c r="W634" i="3"/>
  <c r="Y163" i="3"/>
  <c r="AD265" i="3"/>
  <c r="Z91" i="3"/>
  <c r="AD160" i="3"/>
  <c r="Y85" i="3"/>
  <c r="AD94" i="3"/>
  <c r="AD477" i="3"/>
  <c r="V533" i="3"/>
  <c r="Z97" i="3"/>
  <c r="W27" i="3"/>
  <c r="Y328" i="3"/>
  <c r="V216" i="3"/>
  <c r="V389" i="3"/>
  <c r="AB416" i="3"/>
  <c r="W172" i="3"/>
  <c r="Z469" i="3"/>
  <c r="V91" i="3"/>
  <c r="Y493" i="3"/>
  <c r="Z142" i="3"/>
  <c r="AD52" i="3"/>
  <c r="Y30" i="3"/>
  <c r="AB52" i="3"/>
  <c r="AB298" i="3"/>
  <c r="Y598" i="3"/>
  <c r="AD656" i="3"/>
  <c r="AB238" i="3"/>
  <c r="AD163" i="3"/>
  <c r="W592" i="3"/>
  <c r="AD21" i="3"/>
  <c r="Z392" i="3"/>
  <c r="Y157" i="3"/>
  <c r="V592" i="3"/>
  <c r="W420" i="3"/>
  <c r="AD493" i="3"/>
  <c r="V157" i="3"/>
  <c r="W157" i="3"/>
  <c r="AA400" i="3"/>
  <c r="AB178" i="3"/>
  <c r="W52" i="3"/>
  <c r="M662" i="3"/>
  <c r="AD446" i="3"/>
  <c r="V178" i="3"/>
  <c r="AB160" i="3"/>
  <c r="AD522" i="3"/>
  <c r="W169" i="3"/>
  <c r="AA343" i="3"/>
  <c r="AD190" i="3"/>
  <c r="Z408" i="3"/>
  <c r="Z581" i="3"/>
  <c r="Z464" i="3"/>
  <c r="AB364" i="3"/>
  <c r="W424" i="3"/>
  <c r="Z475" i="3"/>
  <c r="AD594" i="3"/>
  <c r="Y491" i="3"/>
  <c r="AD27" i="3"/>
  <c r="W376" i="3"/>
  <c r="AA160" i="3"/>
  <c r="AD175" i="3"/>
  <c r="Z234" i="3"/>
  <c r="V614" i="3"/>
  <c r="W473" i="3"/>
  <c r="W510" i="3"/>
  <c r="AB414" i="3"/>
  <c r="AD473" i="3"/>
  <c r="Y88" i="3"/>
  <c r="AB85" i="3"/>
  <c r="V265" i="3"/>
  <c r="Y212" i="3"/>
  <c r="Y461" i="3"/>
  <c r="V531" i="3"/>
  <c r="Y43" i="3"/>
  <c r="AD325" i="3"/>
  <c r="AD242" i="3"/>
  <c r="AA322" i="3"/>
  <c r="W651" i="3"/>
  <c r="Z70" i="3"/>
  <c r="AA357" i="3"/>
  <c r="Y262" i="3"/>
  <c r="Y429" i="3"/>
  <c r="Y631" i="3"/>
  <c r="AB151" i="3"/>
  <c r="Y242" i="3"/>
  <c r="Z183" i="3"/>
  <c r="Y178" i="3"/>
  <c r="Y408" i="3"/>
  <c r="AA328" i="3"/>
  <c r="W422" i="3"/>
  <c r="AD218" i="3"/>
  <c r="V226" i="3"/>
  <c r="V370" i="3"/>
  <c r="AD79" i="3"/>
  <c r="AB280" i="3"/>
  <c r="V400" i="3"/>
  <c r="V76" i="3"/>
  <c r="AB277" i="3"/>
  <c r="W256" i="3"/>
  <c r="V30" i="3"/>
  <c r="Y376" i="3"/>
  <c r="AD114" i="3"/>
  <c r="AD271" i="3"/>
  <c r="Z467" i="3"/>
  <c r="AD178" i="3"/>
  <c r="W631" i="3"/>
  <c r="V617" i="3"/>
  <c r="AB21" i="3"/>
  <c r="AA524" i="3"/>
  <c r="Y94" i="3"/>
  <c r="Z489" i="3"/>
  <c r="AB418" i="3"/>
  <c r="Z138" i="3"/>
  <c r="Y232" i="3"/>
  <c r="AD349" i="3"/>
  <c r="W450" i="3"/>
  <c r="AB111" i="3"/>
  <c r="W621" i="3"/>
  <c r="V256" i="3"/>
  <c r="W614" i="3"/>
  <c r="AD307" i="3"/>
  <c r="Z402" i="3"/>
  <c r="AA67" i="3"/>
  <c r="AB516" i="3"/>
  <c r="AD30" i="3"/>
  <c r="AD469" i="3"/>
  <c r="Y485" i="3"/>
  <c r="AB531" i="3"/>
  <c r="Z531" i="3"/>
  <c r="V634" i="3"/>
  <c r="Z64" i="3"/>
  <c r="Z79" i="3"/>
  <c r="W288" i="3"/>
  <c r="W73" i="3"/>
  <c r="AA471" i="3"/>
  <c r="Z625" i="3"/>
  <c r="Y228" i="3"/>
  <c r="W322" i="3"/>
  <c r="Z144" i="3"/>
  <c r="AA242" i="3"/>
  <c r="AB473" i="3"/>
  <c r="AD67" i="3"/>
  <c r="Y222" i="3"/>
  <c r="V277" i="3"/>
  <c r="V343" i="3"/>
  <c r="V85" i="3"/>
  <c r="AD277" i="3"/>
  <c r="Y205" i="3"/>
  <c r="V552" i="3"/>
  <c r="V520" i="3"/>
  <c r="V301" i="3"/>
  <c r="W202" i="3"/>
  <c r="Y154" i="3"/>
  <c r="AD404" i="3"/>
  <c r="V362" i="3"/>
  <c r="AA214" i="3"/>
  <c r="Y33" i="3"/>
  <c r="W362" i="3"/>
  <c r="W499" i="3"/>
  <c r="AD614" i="3"/>
  <c r="AA100" i="3"/>
  <c r="AD514" i="3"/>
  <c r="AA114" i="3"/>
  <c r="Z481" i="3"/>
  <c r="AA169" i="3"/>
  <c r="W208" i="3"/>
  <c r="Z268" i="3"/>
  <c r="V248" i="3"/>
  <c r="Z175" i="3"/>
  <c r="Y61" i="3"/>
  <c r="Z373" i="3"/>
  <c r="AD73" i="3"/>
  <c r="Z310" i="3"/>
  <c r="Z100" i="3"/>
  <c r="AA220" i="3"/>
  <c r="AD621" i="3"/>
  <c r="Z301" i="3"/>
  <c r="AD70" i="3"/>
  <c r="V280" i="3"/>
  <c r="AA514" i="3"/>
  <c r="AB376" i="3"/>
  <c r="Z643" i="3"/>
  <c r="Z346" i="3"/>
  <c r="Y214" i="3"/>
  <c r="V485" i="3"/>
  <c r="Z208" i="3"/>
  <c r="AA232" i="3"/>
  <c r="V220" i="3"/>
  <c r="V364" i="3"/>
  <c r="W97" i="3"/>
  <c r="V464" i="3"/>
  <c r="AA49" i="3"/>
  <c r="Z46" i="3"/>
  <c r="AB88" i="3"/>
  <c r="V380" i="3"/>
  <c r="Y556" i="3"/>
  <c r="AB529" i="3"/>
  <c r="AB628" i="3"/>
  <c r="V386" i="3"/>
  <c r="AB117" i="3"/>
  <c r="Y218" i="3"/>
  <c r="Y608" i="3"/>
  <c r="W183" i="3"/>
  <c r="Y111" i="3"/>
  <c r="W265" i="3"/>
  <c r="AB64" i="3"/>
  <c r="AD426" i="3"/>
  <c r="AA157" i="3"/>
  <c r="V518" i="3"/>
  <c r="AA132" i="3"/>
  <c r="Y274" i="3"/>
  <c r="W61" i="3"/>
  <c r="Y546" i="3"/>
  <c r="V598" i="3"/>
  <c r="AB533" i="3"/>
  <c r="V61" i="3"/>
  <c r="V236" i="3"/>
  <c r="V100" i="3"/>
  <c r="Y473" i="3"/>
  <c r="V172" i="3"/>
  <c r="AB190" i="3"/>
  <c r="AA25" i="3"/>
  <c r="W25" i="3"/>
  <c r="W282" i="3"/>
  <c r="W400" i="3"/>
  <c r="AD450" i="3"/>
  <c r="Y234" i="3"/>
  <c r="Z325" i="3"/>
  <c r="AD646" i="3"/>
  <c r="AA58" i="3"/>
  <c r="V160" i="3"/>
  <c r="Y117" i="3"/>
  <c r="V477" i="3"/>
  <c r="AD487" i="3"/>
  <c r="Z600" i="3"/>
  <c r="AB218" i="3"/>
  <c r="W253" i="3"/>
  <c r="W262" i="3"/>
  <c r="AD389" i="3"/>
  <c r="Y646" i="3"/>
  <c r="W120" i="3"/>
  <c r="AA172" i="3"/>
  <c r="Y499" i="3"/>
  <c r="AA546" i="3"/>
  <c r="V218" i="3"/>
  <c r="W426" i="3"/>
  <c r="AD552" i="3"/>
  <c r="V573" i="3"/>
  <c r="W383" i="3"/>
  <c r="Y357" i="3"/>
  <c r="Z210" i="3"/>
  <c r="AB621" i="3"/>
  <c r="W617" i="3"/>
  <c r="Y649" i="3"/>
  <c r="AD232" i="3"/>
  <c r="Y404" i="3"/>
  <c r="Y100" i="3"/>
  <c r="V97" i="3"/>
  <c r="V288" i="3"/>
  <c r="AD392" i="3"/>
  <c r="AD406" i="3"/>
  <c r="Y280" i="3"/>
  <c r="AA516" i="3"/>
  <c r="AD587" i="3"/>
  <c r="V577" i="3"/>
  <c r="AB144" i="3"/>
  <c r="Y282" i="3"/>
  <c r="Z262" i="3"/>
  <c r="W212" i="3"/>
  <c r="AD224" i="3"/>
  <c r="V58" i="3"/>
  <c r="AD100" i="3"/>
  <c r="AA543" i="3"/>
  <c r="AD605" i="3"/>
  <c r="Y79" i="3"/>
  <c r="Y70" i="3"/>
  <c r="AA64" i="3"/>
  <c r="Z157" i="3"/>
  <c r="AB649" i="3"/>
  <c r="V151" i="3"/>
  <c r="Z226" i="3"/>
  <c r="V487" i="3"/>
  <c r="AA123" i="3"/>
  <c r="AB646" i="3"/>
  <c r="Z151" i="3"/>
  <c r="AA120" i="3"/>
  <c r="V67" i="3"/>
  <c r="AD25" i="3"/>
  <c r="Y543" i="3"/>
  <c r="Y383" i="3"/>
  <c r="AB367" i="3"/>
  <c r="AB146" i="3"/>
  <c r="V295" i="3"/>
  <c r="V138" i="3"/>
  <c r="W151" i="3"/>
  <c r="AD331" i="3"/>
  <c r="AA238" i="3"/>
  <c r="AD208" i="3"/>
  <c r="AD280" i="3"/>
  <c r="V481" i="3"/>
  <c r="Y340" i="3"/>
  <c r="AB360" i="3"/>
  <c r="W132" i="3"/>
  <c r="AA355" i="3"/>
  <c r="AB422" i="3"/>
  <c r="V129" i="3"/>
  <c r="AD577" i="3"/>
  <c r="V646" i="3"/>
  <c r="AD625" i="3"/>
  <c r="Y236" i="3"/>
  <c r="V418" i="3"/>
  <c r="Z117" i="3"/>
  <c r="Y411" i="3"/>
  <c r="AA325" i="3"/>
  <c r="AA469" i="3"/>
  <c r="AD461" i="3"/>
  <c r="AD520" i="3"/>
  <c r="AA617" i="3"/>
  <c r="AB600" i="3"/>
  <c r="AA154" i="3"/>
  <c r="Y298" i="3"/>
  <c r="AD140" i="3"/>
  <c r="W502" i="3"/>
  <c r="V94" i="3"/>
  <c r="AD337" i="3"/>
  <c r="V499" i="3"/>
  <c r="Z245" i="3"/>
  <c r="V346" i="3"/>
  <c r="Y73" i="3"/>
  <c r="AB120" i="3"/>
  <c r="W404" i="3"/>
  <c r="V502" i="3"/>
  <c r="AB518" i="3"/>
  <c r="AB73" i="3"/>
  <c r="Z232" i="3"/>
  <c r="V469" i="3"/>
  <c r="AA274" i="3"/>
  <c r="V46" i="3"/>
  <c r="AB236" i="3"/>
  <c r="Z640" i="3"/>
  <c r="AB108" i="3"/>
  <c r="AD55" i="3"/>
  <c r="Z108" i="3"/>
  <c r="W394" i="3"/>
  <c r="V210" i="3"/>
  <c r="W67" i="3"/>
  <c r="W313" i="3"/>
  <c r="AB135" i="3"/>
  <c r="Y402" i="3"/>
  <c r="Y512" i="3"/>
  <c r="V163" i="3"/>
  <c r="Z259" i="3"/>
  <c r="Y640" i="3"/>
  <c r="AB485" i="3"/>
  <c r="W364" i="3"/>
  <c r="Y331" i="3"/>
  <c r="AA590" i="3"/>
  <c r="W656" i="3"/>
  <c r="AD88" i="3"/>
  <c r="AD120" i="3"/>
  <c r="AA117" i="3"/>
  <c r="W402" i="3"/>
  <c r="Y126" i="3"/>
  <c r="V631" i="3"/>
  <c r="AB140" i="3"/>
  <c r="W274" i="3"/>
  <c r="AD598" i="3"/>
  <c r="Y202" i="3"/>
  <c r="AB114" i="3"/>
  <c r="W310" i="3"/>
  <c r="Z522" i="3"/>
  <c r="V33" i="3"/>
  <c r="V406" i="3"/>
  <c r="Z129" i="3"/>
  <c r="AD226" i="3"/>
  <c r="AA505" i="3"/>
  <c r="AA85" i="3"/>
  <c r="W549" i="3"/>
  <c r="AA245" i="3"/>
  <c r="Y259" i="3"/>
  <c r="V166" i="3"/>
  <c r="AB76" i="3"/>
  <c r="AB362" i="3"/>
  <c r="W304" i="3"/>
  <c r="Z304" i="3"/>
  <c r="AA373" i="3"/>
  <c r="V117" i="3"/>
  <c r="AB514" i="3"/>
  <c r="W76" i="3"/>
  <c r="AB282" i="3"/>
  <c r="V510" i="3"/>
  <c r="Y479" i="3"/>
  <c r="AB274" i="3"/>
  <c r="AD46" i="3"/>
  <c r="W505" i="3"/>
  <c r="AA316" i="3"/>
  <c r="AD295" i="3"/>
  <c r="W33" i="3"/>
  <c r="AD105" i="3"/>
  <c r="Z334" i="3"/>
  <c r="V144" i="3"/>
  <c r="W637" i="3"/>
  <c r="V135" i="3"/>
  <c r="W222" i="3"/>
  <c r="W259" i="3"/>
  <c r="Z628" i="3"/>
  <c r="Z355" i="3"/>
  <c r="AD659" i="3"/>
  <c r="W319" i="3"/>
  <c r="AB334" i="3"/>
  <c r="W646" i="3"/>
  <c r="Z448" i="3"/>
  <c r="AB94" i="3"/>
  <c r="Z634" i="3"/>
  <c r="V304" i="3"/>
  <c r="W416" i="3"/>
  <c r="AB605" i="3"/>
  <c r="Y483" i="3"/>
  <c r="V316" i="3"/>
  <c r="AD240" i="3"/>
  <c r="AD33" i="3"/>
  <c r="AD220" i="3"/>
  <c r="AB259" i="3"/>
  <c r="Y400" i="3"/>
  <c r="V319" i="3"/>
  <c r="AA508" i="3"/>
  <c r="AB479" i="3"/>
  <c r="W205" i="3"/>
  <c r="AB262" i="3"/>
  <c r="V82" i="3"/>
  <c r="Z212" i="3"/>
  <c r="AA82" i="3"/>
  <c r="W367" i="3"/>
  <c r="AD157" i="3"/>
  <c r="Z404" i="3"/>
  <c r="Z120" i="3"/>
  <c r="W518" i="3"/>
  <c r="AA73" i="3"/>
  <c r="Y304" i="3"/>
  <c r="AD85" i="3"/>
  <c r="AB242" i="3"/>
  <c r="AA394" i="3"/>
  <c r="V190" i="3"/>
  <c r="Z49" i="3"/>
  <c r="AA43" i="3"/>
  <c r="AB198" i="3"/>
  <c r="Y52" i="3"/>
  <c r="AB30" i="3"/>
  <c r="W380" i="3"/>
  <c r="Y108" i="3"/>
  <c r="AD195" i="3"/>
  <c r="AB505" i="3"/>
  <c r="V448" i="3"/>
  <c r="AB611" i="3"/>
  <c r="V325" i="3"/>
  <c r="Y477" i="3"/>
  <c r="AB245" i="3"/>
  <c r="Y151" i="3"/>
  <c r="Z587" i="3"/>
  <c r="AD653" i="3"/>
  <c r="AD637" i="3"/>
  <c r="AD608" i="3"/>
  <c r="W117" i="3"/>
  <c r="AD628" i="3"/>
  <c r="V120" i="3"/>
  <c r="AB172" i="3"/>
  <c r="AB157" i="3"/>
  <c r="AA91" i="3"/>
  <c r="AA265" i="3"/>
  <c r="AD483" i="3"/>
  <c r="AA208" i="3"/>
  <c r="AB512" i="3"/>
  <c r="Y21" i="3"/>
  <c r="AA234" i="3"/>
  <c r="AA370" i="3"/>
  <c r="W328" i="3"/>
  <c r="W148" i="3"/>
  <c r="V514" i="3"/>
  <c r="Z352" i="3"/>
  <c r="W577" i="3"/>
  <c r="Y520" i="3"/>
  <c r="AD91" i="3"/>
  <c r="W301" i="3"/>
  <c r="Z479" i="3"/>
  <c r="Z253" i="3"/>
  <c r="AA418" i="3"/>
  <c r="AA268" i="3"/>
  <c r="AB43" i="3"/>
  <c r="Y175" i="3"/>
  <c r="AB46" i="3"/>
  <c r="Z82" i="3"/>
  <c r="AD529" i="3"/>
  <c r="Y380" i="3"/>
  <c r="Z556" i="3"/>
  <c r="W352" i="3"/>
  <c r="Z148" i="3"/>
  <c r="AA346" i="3"/>
  <c r="AA183" i="3"/>
  <c r="AA277" i="3"/>
  <c r="AB546" i="3"/>
  <c r="AB471" i="3"/>
  <c r="Y355" i="3"/>
  <c r="Y91" i="3"/>
  <c r="W331" i="3"/>
  <c r="V251" i="3"/>
  <c r="AB175" i="3"/>
  <c r="AA340" i="3"/>
  <c r="V328" i="3"/>
  <c r="Z621" i="3"/>
  <c r="W346" i="3"/>
  <c r="AA493" i="3"/>
  <c r="AD448" i="3"/>
  <c r="V383" i="3"/>
  <c r="V271" i="3"/>
  <c r="W406" i="3"/>
  <c r="W198" i="3"/>
  <c r="Y322" i="3"/>
  <c r="AA362" i="3"/>
  <c r="Z514" i="3"/>
  <c r="AD205" i="3"/>
  <c r="W236" i="3"/>
  <c r="AD508" i="3"/>
  <c r="Z584" i="3"/>
  <c r="Z422" i="3"/>
  <c r="W316" i="3"/>
  <c r="V355" i="3"/>
  <c r="W100" i="3"/>
  <c r="V394" i="3"/>
  <c r="Z236" i="3"/>
  <c r="Y97" i="3"/>
  <c r="AA331" i="3"/>
  <c r="Y594" i="3"/>
  <c r="Z400" i="3"/>
  <c r="Y634" i="3"/>
  <c r="Z21" i="3"/>
  <c r="AA97" i="3"/>
  <c r="Z256" i="3"/>
  <c r="W85" i="3"/>
  <c r="AA304" i="3"/>
  <c r="AB631" i="3"/>
  <c r="AA248" i="3"/>
  <c r="AA414" i="3"/>
  <c r="Y46" i="3"/>
  <c r="V212" i="3"/>
  <c r="Z52" i="3"/>
  <c r="AB33" i="3"/>
  <c r="Z598" i="3"/>
  <c r="W30" i="3"/>
  <c r="Z55" i="3"/>
  <c r="AA380" i="3"/>
  <c r="Y277" i="3"/>
  <c r="Y198" i="3"/>
  <c r="AD649" i="3"/>
  <c r="AA349" i="3"/>
  <c r="Z146" i="3"/>
  <c r="V431" i="3"/>
  <c r="AA202" i="3"/>
  <c r="AD422" i="3"/>
  <c r="AA628" i="3"/>
  <c r="Y364" i="3"/>
  <c r="Y533" i="3"/>
  <c r="Y166" i="3"/>
  <c r="AB154" i="3"/>
  <c r="AA175" i="3"/>
  <c r="AB97" i="3"/>
  <c r="W271" i="3"/>
  <c r="AA88" i="3"/>
  <c r="W325" i="3"/>
  <c r="W268" i="3"/>
  <c r="V49" i="3"/>
  <c r="Z30" i="3"/>
  <c r="AD581" i="3"/>
  <c r="Z105" i="3"/>
  <c r="AD259" i="3"/>
  <c r="AB524" i="3"/>
  <c r="V625" i="3"/>
  <c r="AB224" i="3"/>
  <c r="Z114" i="3"/>
  <c r="V398" i="3"/>
  <c r="W640" i="3"/>
  <c r="AA30" i="3"/>
  <c r="V126" i="3"/>
  <c r="Y549" i="3"/>
  <c r="AA271" i="3"/>
  <c r="V643" i="3"/>
  <c r="AB543" i="3"/>
  <c r="Z380" i="3"/>
  <c r="Z187" i="3"/>
  <c r="AD151" i="3"/>
  <c r="Z394" i="3"/>
  <c r="AA531" i="3"/>
  <c r="Z608" i="3"/>
  <c r="W251" i="3"/>
  <c r="AA605" i="3"/>
  <c r="V262" i="3"/>
  <c r="AB216" i="3"/>
  <c r="W349" i="3"/>
  <c r="V298" i="3"/>
  <c r="V175" i="3"/>
  <c r="Z230" i="3"/>
  <c r="AD108" i="3"/>
  <c r="Y25" i="3"/>
  <c r="Y195" i="3"/>
  <c r="AA55" i="3"/>
  <c r="AB340" i="3"/>
  <c r="AD510" i="3"/>
  <c r="AD198" i="3"/>
  <c r="Y346" i="3"/>
  <c r="AD546" i="3"/>
  <c r="Z271" i="3"/>
  <c r="V605" i="3"/>
  <c r="AA253" i="3"/>
  <c r="Z411" i="3"/>
  <c r="W514" i="3"/>
  <c r="V88" i="3"/>
  <c r="W546" i="3"/>
  <c r="Z414" i="3"/>
  <c r="W464" i="3"/>
  <c r="V73" i="3"/>
  <c r="Y605" i="3"/>
  <c r="AD611" i="3"/>
  <c r="W370" i="3"/>
  <c r="AA467" i="3"/>
  <c r="Z242" i="3"/>
  <c r="AB307" i="3"/>
  <c r="AB349" i="3"/>
  <c r="AD274" i="3"/>
  <c r="AB271" i="3"/>
  <c r="Z656" i="3"/>
  <c r="AD135" i="3"/>
  <c r="Y418" i="3"/>
  <c r="AA212" i="3"/>
  <c r="AB426" i="3"/>
  <c r="W126" i="3"/>
  <c r="AB313" i="3"/>
  <c r="V546" i="3"/>
  <c r="W373" i="3"/>
  <c r="Z543" i="3"/>
  <c r="W653" i="3"/>
  <c r="Y637" i="3"/>
  <c r="AA105" i="3"/>
  <c r="Y628" i="3"/>
  <c r="Z172" i="3"/>
  <c r="V352" i="3"/>
  <c r="AD651" i="3"/>
  <c r="Y508" i="3"/>
  <c r="AA256" i="3"/>
  <c r="V621" i="3"/>
  <c r="Y129" i="3"/>
  <c r="Z328" i="3"/>
  <c r="AB129" i="3"/>
  <c r="Z349" i="3"/>
  <c r="W88" i="3"/>
  <c r="Z43" i="3"/>
  <c r="V653" i="3"/>
  <c r="V108" i="3"/>
  <c r="Z140" i="3"/>
  <c r="Y611" i="3"/>
  <c r="Z362" i="3"/>
  <c r="W144" i="3"/>
  <c r="AB132" i="3"/>
  <c r="Z163" i="3"/>
  <c r="AB91" i="3"/>
  <c r="AA21" i="3"/>
  <c r="AD245" i="3"/>
  <c r="AB380" i="3"/>
  <c r="V55" i="3"/>
  <c r="AD343" i="3"/>
  <c r="AB325" i="3"/>
  <c r="Z288" i="3"/>
  <c r="Z202" i="3"/>
  <c r="AD414" i="3"/>
  <c r="AD82" i="3"/>
  <c r="Y301" i="3"/>
  <c r="AA148" i="3"/>
  <c r="V516" i="3"/>
  <c r="Y531" i="3"/>
  <c r="W166" i="3"/>
  <c r="AB450" i="3"/>
  <c r="Z573" i="3"/>
  <c r="AB431" i="3"/>
  <c r="W360" i="3"/>
  <c r="AD256" i="3"/>
  <c r="W581" i="3"/>
  <c r="AA529" i="3"/>
  <c r="W195" i="3"/>
  <c r="AB195" i="3"/>
  <c r="Z396" i="3"/>
  <c r="W508" i="3"/>
  <c r="W210" i="3"/>
  <c r="AD328" i="3"/>
  <c r="AA386" i="3"/>
  <c r="Z295" i="3"/>
  <c r="AB253" i="3"/>
  <c r="Y64" i="3"/>
  <c r="W58" i="3"/>
  <c r="Y592" i="3"/>
  <c r="Z592" i="3"/>
  <c r="W386" i="3"/>
  <c r="AB126" i="3"/>
  <c r="W533" i="3"/>
  <c r="Y643" i="3"/>
  <c r="AD61" i="3"/>
  <c r="AB640" i="3"/>
  <c r="AA319" i="3"/>
  <c r="AB584" i="3"/>
  <c r="W483" i="3"/>
  <c r="V628" i="3"/>
  <c r="V367" i="3"/>
  <c r="Z58" i="3"/>
  <c r="AB346" i="3"/>
  <c r="AB304" i="3"/>
  <c r="Z25" i="3"/>
  <c r="W187" i="3"/>
  <c r="AB556" i="3"/>
  <c r="W108" i="3"/>
  <c r="AD301" i="3"/>
  <c r="Y367" i="3"/>
  <c r="AA94" i="3"/>
  <c r="Y584" i="3"/>
  <c r="V310" i="3"/>
  <c r="Y58" i="3"/>
  <c r="Y226" i="3"/>
  <c r="AD631" i="3"/>
  <c r="V491" i="3"/>
  <c r="AA163" i="3"/>
  <c r="W587" i="3"/>
  <c r="AB328" i="3"/>
  <c r="W543" i="3"/>
  <c r="Z160" i="3"/>
  <c r="V349" i="3"/>
  <c r="AD634" i="3"/>
  <c r="Z360" i="3"/>
  <c r="Z319" i="3"/>
  <c r="AB352" i="3"/>
  <c r="Z343" i="3"/>
  <c r="W524" i="3"/>
  <c r="Y581" i="3"/>
  <c r="W556" i="3"/>
  <c r="W516" i="3"/>
  <c r="V274" i="3"/>
  <c r="AD596" i="3"/>
  <c r="V169" i="3"/>
  <c r="AD479" i="3"/>
  <c r="Y67" i="3"/>
  <c r="Z220" i="3"/>
  <c r="V253" i="3"/>
  <c r="AA262" i="3"/>
  <c r="V611" i="3"/>
  <c r="Z277" i="3"/>
  <c r="AB656" i="3"/>
  <c r="AA151" i="3"/>
  <c r="AD123" i="3"/>
  <c r="W491" i="3"/>
  <c r="Y600" i="3"/>
  <c r="AD183" i="3"/>
  <c r="Y524" i="3"/>
  <c r="AB230" i="3"/>
  <c r="AB596" i="3"/>
  <c r="W178" i="3"/>
  <c r="W154" i="3"/>
  <c r="Y573" i="3"/>
  <c r="V649" i="3"/>
  <c r="W489" i="3"/>
  <c r="AB587" i="3"/>
  <c r="AB205" i="3"/>
  <c r="Z617" i="3"/>
  <c r="AA138" i="3"/>
  <c r="AB210" i="3"/>
  <c r="Z94" i="3"/>
  <c r="AA280" i="3"/>
  <c r="Y653" i="3"/>
  <c r="AB467" i="3"/>
  <c r="Z88" i="3"/>
  <c r="Y349" i="3"/>
  <c r="Z190" i="3"/>
  <c r="W398" i="3"/>
  <c r="AA228" i="3"/>
  <c r="AB169" i="3"/>
  <c r="AB232" i="3"/>
  <c r="AB67" i="3"/>
  <c r="AA360" i="3"/>
  <c r="V508" i="3"/>
  <c r="AA108" i="3"/>
  <c r="V360" i="3"/>
  <c r="Y307" i="3"/>
  <c r="Y248" i="3"/>
  <c r="V322" i="3"/>
  <c r="Z473" i="3"/>
  <c r="AB322" i="3"/>
  <c r="W91" i="3"/>
  <c r="AD262" i="3"/>
  <c r="W477" i="3"/>
  <c r="V232" i="3"/>
  <c r="AD202" i="3"/>
  <c r="AD467" i="3"/>
  <c r="AD166" i="3"/>
  <c r="Y142" i="3"/>
  <c r="Z376" i="3"/>
  <c r="AA631" i="3"/>
  <c r="AA190" i="3"/>
  <c r="AB637" i="3"/>
  <c r="W608" i="3"/>
  <c r="V21" i="3"/>
  <c r="AA76" i="3"/>
  <c r="W129" i="3"/>
  <c r="AD383" i="3"/>
  <c r="W418" i="3"/>
  <c r="V123" i="3"/>
  <c r="W238" i="3"/>
  <c r="AB577" i="3"/>
  <c r="Y659" i="3"/>
  <c r="AA491" i="3"/>
  <c r="W590" i="3"/>
  <c r="V111" i="3"/>
  <c r="AB355" i="3"/>
  <c r="V27" i="3"/>
  <c r="AD316" i="3"/>
  <c r="Y352" i="3"/>
  <c r="W216" i="3"/>
  <c r="Z491" i="3"/>
  <c r="W220" i="3"/>
  <c r="AA510" i="3"/>
  <c r="AD138" i="3"/>
  <c r="W298" i="3"/>
  <c r="Z154" i="3"/>
  <c r="Z510" i="3"/>
  <c r="AD640" i="3"/>
  <c r="Z653" i="3"/>
  <c r="AA218" i="3"/>
  <c r="Z505" i="3"/>
  <c r="AB373" i="3"/>
  <c r="V392" i="3"/>
  <c r="AB424" i="3"/>
  <c r="Z367" i="3"/>
  <c r="AB49" i="3"/>
  <c r="V543" i="3"/>
  <c r="Y105" i="3"/>
  <c r="AB105" i="3"/>
  <c r="Z195" i="3"/>
  <c r="V187" i="3"/>
  <c r="AD322" i="3"/>
  <c r="Z646" i="3"/>
  <c r="AB643" i="3"/>
  <c r="V202" i="3"/>
  <c r="AA298" i="3"/>
  <c r="Y518" i="3"/>
  <c r="W337" i="3"/>
  <c r="AA205" i="3"/>
  <c r="AA518" i="3"/>
  <c r="Y396" i="3"/>
  <c r="AD357" i="3"/>
  <c r="Z471" i="3"/>
  <c r="Y505" i="3"/>
  <c r="AD288" i="3"/>
  <c r="AB659" i="3"/>
  <c r="V183" i="3"/>
  <c r="AD531" i="3"/>
  <c r="AD505" i="3"/>
  <c r="Y475" i="3"/>
  <c r="AA611" i="3"/>
  <c r="W531" i="3"/>
  <c r="AA422" i="3"/>
  <c r="AD464" i="3"/>
  <c r="AA602" i="3"/>
  <c r="AD394" i="3"/>
  <c r="AD129" i="3"/>
  <c r="V414" i="3"/>
  <c r="V587" i="3"/>
  <c r="AA592" i="3"/>
  <c r="W343" i="3"/>
  <c r="AD111" i="3"/>
  <c r="AD214" i="3"/>
  <c r="V240" i="3"/>
  <c r="AD643" i="3"/>
  <c r="W429" i="3"/>
  <c r="AA475" i="3"/>
  <c r="AA426" i="3"/>
  <c r="AD518" i="3"/>
  <c r="W245" i="3"/>
  <c r="Z178" i="3"/>
  <c r="V208" i="3"/>
  <c r="Z497" i="3"/>
  <c r="W497" i="3"/>
  <c r="AA79" i="3"/>
  <c r="V493" i="3"/>
  <c r="AD346" i="3"/>
  <c r="AB598" i="3"/>
  <c r="V429" i="3"/>
  <c r="Z307" i="3"/>
  <c r="V222" i="3"/>
  <c r="Z605" i="3"/>
  <c r="V651" i="3"/>
  <c r="W643" i="3"/>
  <c r="V79" i="3"/>
  <c r="Y392" i="3"/>
  <c r="AA431" i="3"/>
  <c r="Z487" i="3"/>
  <c r="V64" i="3"/>
  <c r="AD97" i="3"/>
  <c r="Z298" i="3"/>
  <c r="Y529" i="3"/>
  <c r="Y187" i="3"/>
  <c r="AB187" i="3"/>
  <c r="AB581" i="3"/>
  <c r="Z577" i="3"/>
  <c r="Z518" i="3"/>
  <c r="AB464" i="3"/>
  <c r="AB331" i="3"/>
  <c r="V224" i="3"/>
  <c r="Z508" i="3"/>
  <c r="Z386" i="3"/>
  <c r="AD411" i="3"/>
  <c r="AD376" i="3"/>
  <c r="Y265" i="3"/>
  <c r="Z637" i="3"/>
  <c r="AB337" i="3"/>
  <c r="W392" i="3"/>
  <c r="AD248" i="3"/>
  <c r="AB389" i="3"/>
  <c r="AD543" i="3"/>
  <c r="W21" i="3"/>
  <c r="AD367" i="3"/>
  <c r="AD584" i="3"/>
  <c r="V608" i="3"/>
  <c r="Z73" i="3"/>
  <c r="Z416" i="3"/>
  <c r="Y596" i="3"/>
  <c r="Z499" i="3"/>
  <c r="W605" i="3"/>
  <c r="Y224" i="3"/>
  <c r="W160" i="3"/>
  <c r="V334" i="3"/>
  <c r="Y82" i="3"/>
  <c r="AA27" i="3"/>
  <c r="AB183" i="3"/>
  <c r="V640" i="3"/>
  <c r="V479" i="3"/>
  <c r="AB343" i="3"/>
  <c r="AB295" i="3"/>
  <c r="AD251" i="3"/>
  <c r="AD142" i="3"/>
  <c r="Y216" i="3"/>
  <c r="Z67" i="3"/>
  <c r="Z218" i="3"/>
  <c r="V505" i="3"/>
  <c r="AB520" i="3"/>
  <c r="Y316" i="3"/>
  <c r="W446" i="3"/>
  <c r="AA464" i="3"/>
  <c r="Z224" i="3"/>
  <c r="W479" i="3"/>
  <c r="AB411" i="3"/>
  <c r="AB608" i="3"/>
  <c r="AA424" i="3"/>
  <c r="Y183" i="3"/>
  <c r="AA411" i="3"/>
  <c r="AD43" i="3"/>
  <c r="W598" i="3"/>
  <c r="V245" i="3"/>
  <c r="AA195" i="3"/>
  <c r="AA398" i="3"/>
  <c r="Y487" i="3"/>
  <c r="V376" i="3"/>
  <c r="Z331" i="3"/>
  <c r="AB82" i="3"/>
  <c r="AB319" i="3"/>
  <c r="AA487" i="3"/>
  <c r="AD617" i="3"/>
  <c r="Z198" i="3"/>
  <c r="V489" i="3"/>
  <c r="Z611" i="3"/>
  <c r="AA301" i="3"/>
  <c r="Y256" i="3"/>
  <c r="AD502" i="3"/>
  <c r="AB123" i="3"/>
  <c r="AD117" i="3"/>
  <c r="AD228" i="3"/>
  <c r="W240" i="3"/>
  <c r="AD154" i="3"/>
  <c r="V307" i="3"/>
  <c r="Y210" i="3"/>
  <c r="Z546" i="3"/>
  <c r="Y146" i="3"/>
  <c r="Z251" i="3"/>
  <c r="W224" i="3"/>
  <c r="AB508" i="3"/>
  <c r="Y514" i="3"/>
  <c r="Y373" i="3"/>
  <c r="AB100" i="3"/>
  <c r="AB234" i="3"/>
  <c r="W414" i="3"/>
  <c r="Z431" i="3"/>
  <c r="AA307" i="3"/>
  <c r="W628" i="3"/>
  <c r="V404" i="3"/>
  <c r="AA653" i="3"/>
  <c r="V268" i="3"/>
  <c r="V43" i="3"/>
  <c r="AB370" i="3"/>
  <c r="AD556" i="3"/>
  <c r="AD380" i="3"/>
  <c r="AB552" i="3"/>
  <c r="AB549" i="3"/>
  <c r="Z549" i="3"/>
  <c r="AA649" i="3"/>
  <c r="AA646" i="3"/>
  <c r="AA656" i="3"/>
  <c r="AA643" i="3"/>
  <c r="AA659" i="3"/>
  <c r="AA634" i="3"/>
  <c r="AA608" i="3"/>
  <c r="AA598" i="3"/>
  <c r="AA625" i="3"/>
  <c r="AA637" i="3"/>
  <c r="AA640" i="3"/>
  <c r="AA587" i="3"/>
  <c r="AA581" i="3"/>
  <c r="AA584" i="3"/>
  <c r="AA577" i="3"/>
  <c r="AA573" i="3"/>
  <c r="AA556" i="3"/>
  <c r="AA549" i="3"/>
  <c r="AA552" i="3"/>
  <c r="AB502" i="3"/>
  <c r="AB493" i="3"/>
  <c r="AB489" i="3"/>
  <c r="AB483" i="3"/>
  <c r="AB477" i="3"/>
  <c r="AA502" i="3"/>
  <c r="AA499" i="3"/>
  <c r="AA497" i="3"/>
  <c r="AA495" i="3"/>
  <c r="AA483" i="3"/>
  <c r="AA479" i="3"/>
  <c r="AA477" i="3"/>
  <c r="AA473" i="3"/>
  <c r="AB475" i="3"/>
  <c r="AB495" i="3"/>
  <c r="AB499" i="3"/>
  <c r="AB497" i="3"/>
  <c r="Y467" i="3"/>
  <c r="O662" i="3"/>
  <c r="AB446" i="3"/>
  <c r="AA446" i="3"/>
  <c r="Z446" i="3"/>
  <c r="AB404" i="3"/>
  <c r="AB402" i="3"/>
  <c r="AB400" i="3"/>
  <c r="AB398" i="3"/>
  <c r="AB394" i="3"/>
  <c r="AB386" i="3"/>
  <c r="AB396" i="3"/>
  <c r="AB392" i="3"/>
  <c r="AB406" i="3"/>
  <c r="AA408" i="3"/>
  <c r="AA392" i="3"/>
  <c r="AA396" i="3"/>
  <c r="AA389" i="3"/>
  <c r="AA404" i="3"/>
  <c r="AA402" i="3"/>
  <c r="AA383" i="3"/>
  <c r="AB383" i="3"/>
  <c r="AB212" i="3"/>
  <c r="AB166" i="3"/>
  <c r="AB163" i="3"/>
  <c r="Z47" i="11"/>
  <c r="Y250" i="11"/>
  <c r="AA250" i="11"/>
  <c r="Y103" i="11"/>
  <c r="Y276" i="11"/>
  <c r="X103" i="11"/>
  <c r="W276" i="11"/>
  <c r="AB103" i="11"/>
  <c r="Z103" i="11"/>
  <c r="U232" i="11"/>
  <c r="V276" i="11"/>
  <c r="W33" i="11"/>
  <c r="U71" i="11"/>
  <c r="Z250" i="11"/>
  <c r="Z232" i="11"/>
  <c r="Z276" i="11"/>
  <c r="W71" i="11"/>
  <c r="V47" i="11"/>
  <c r="X276" i="11"/>
  <c r="AA276" i="11"/>
  <c r="W103" i="11"/>
  <c r="V88" i="11"/>
  <c r="U88" i="11"/>
  <c r="AA103" i="11"/>
  <c r="V250" i="11"/>
  <c r="Y47" i="11"/>
  <c r="V33" i="11"/>
  <c r="W88" i="11"/>
  <c r="W47" i="11"/>
  <c r="X232" i="11"/>
  <c r="U47" i="11"/>
  <c r="W232" i="11"/>
  <c r="W250" i="11"/>
  <c r="U103" i="11"/>
  <c r="U250" i="11"/>
  <c r="V232" i="11"/>
  <c r="V71" i="11"/>
  <c r="U276" i="11"/>
  <c r="V103" i="11"/>
  <c r="U33" i="11"/>
  <c r="Y33" i="11"/>
  <c r="AD45" i="10"/>
  <c r="AA79" i="10"/>
  <c r="X64" i="10"/>
  <c r="X79" i="10"/>
  <c r="W79" i="10"/>
  <c r="Z27" i="10"/>
  <c r="Z113" i="10"/>
  <c r="AA45" i="10"/>
  <c r="X45" i="10"/>
  <c r="Z45" i="10"/>
  <c r="AD79" i="10"/>
  <c r="AB79" i="10"/>
  <c r="AE250" i="10"/>
  <c r="AB45" i="10"/>
  <c r="X250" i="10"/>
  <c r="Z79" i="10"/>
  <c r="W64" i="10"/>
  <c r="AB250" i="10"/>
  <c r="X113" i="10"/>
  <c r="AA64" i="10"/>
  <c r="AD250" i="10"/>
  <c r="AA250" i="10"/>
  <c r="AD27" i="10"/>
  <c r="W45" i="10"/>
  <c r="Z181" i="10"/>
  <c r="AC45" i="10"/>
  <c r="W113" i="10"/>
  <c r="AC79" i="10"/>
  <c r="AC181" i="10"/>
  <c r="Z250" i="10"/>
  <c r="Z64" i="10"/>
  <c r="W27" i="10"/>
  <c r="X181" i="10"/>
  <c r="AB27" i="10"/>
  <c r="W181" i="10"/>
  <c r="W250" i="10"/>
  <c r="V18" i="3"/>
  <c r="AB18" i="3"/>
  <c r="Z18" i="3"/>
  <c r="W18" i="3"/>
  <c r="Y18" i="3"/>
  <c r="V15" i="3"/>
  <c r="AA18" i="3"/>
  <c r="W15" i="3"/>
  <c r="AD18" i="3"/>
  <c r="Y15" i="3"/>
  <c r="W662" i="3" l="1"/>
  <c r="AB113" i="10"/>
  <c r="AD113" i="10"/>
  <c r="Y662" i="3"/>
  <c r="V662" i="3"/>
  <c r="B11" i="4"/>
  <c r="R12" i="3" l="1"/>
  <c r="Q12" i="3"/>
  <c r="S12" i="3"/>
  <c r="P12" i="3"/>
  <c r="AA15" i="3" l="1"/>
  <c r="AA662" i="3" s="1"/>
  <c r="Q662" i="3"/>
  <c r="Z15" i="3"/>
  <c r="Z662" i="3" s="1"/>
  <c r="P662" i="3"/>
  <c r="AC15" i="3"/>
  <c r="AC662" i="3" s="1"/>
  <c r="S662" i="3"/>
  <c r="AB15" i="3"/>
  <c r="AB662" i="3" s="1"/>
  <c r="R662" i="3"/>
  <c r="B10" i="4" l="1"/>
  <c r="B12" i="4" s="1"/>
  <c r="B13" i="4"/>
</calcChain>
</file>

<file path=xl/sharedStrings.xml><?xml version="1.0" encoding="utf-8"?>
<sst xmlns="http://schemas.openxmlformats.org/spreadsheetml/2006/main" count="811" uniqueCount="110">
  <si>
    <t>EXCAVATION</t>
  </si>
  <si>
    <t>EMBANKMENT</t>
  </si>
  <si>
    <t>SEEDING AND MULCHING</t>
  </si>
  <si>
    <t>CY</t>
  </si>
  <si>
    <t xml:space="preserve"> </t>
  </si>
  <si>
    <t>TOTALS CARRIED TO GENERAL SUMMARY</t>
  </si>
  <si>
    <t>TO</t>
  </si>
  <si>
    <t>FROM</t>
  </si>
  <si>
    <t>STATION</t>
  </si>
  <si>
    <t>SQ YD</t>
  </si>
  <si>
    <t>SOIL ANALYSIS TEST</t>
  </si>
  <si>
    <t>EACH</t>
  </si>
  <si>
    <t>2 MIN</t>
  </si>
  <si>
    <t>TOPSOIL</t>
  </si>
  <si>
    <t>CU YD</t>
  </si>
  <si>
    <t>REPAIR SEEDING AND MULCHING</t>
  </si>
  <si>
    <t>INTER-SEEDING</t>
  </si>
  <si>
    <t>COMMERCIAL FERTILIZER</t>
  </si>
  <si>
    <t>TON</t>
  </si>
  <si>
    <t>FOR INTERSEEDING</t>
  </si>
  <si>
    <t>TOTAL</t>
  </si>
  <si>
    <t>LIME</t>
  </si>
  <si>
    <t>ACRE</t>
  </si>
  <si>
    <t>WATER</t>
  </si>
  <si>
    <t>MGAL</t>
  </si>
  <si>
    <t>MOWING</t>
  </si>
  <si>
    <t>M SQ FT</t>
  </si>
  <si>
    <t>SY</t>
  </si>
  <si>
    <t>calc'd by</t>
  </si>
  <si>
    <t>reviewed by</t>
  </si>
  <si>
    <t>POROUS BACKFILL WITH GEOTEXTILE FABRIC</t>
  </si>
  <si>
    <t>EARTHWORK AND SEEDING QUANTITIES</t>
  </si>
  <si>
    <t>RAW AREAS</t>
  </si>
  <si>
    <t>calcd by</t>
  </si>
  <si>
    <t>checked by</t>
  </si>
  <si>
    <t>SF</t>
  </si>
  <si>
    <t>EXCAVATION OF SUBGRADE</t>
  </si>
  <si>
    <t>FT</t>
  </si>
  <si>
    <t>BRIDGE</t>
  </si>
  <si>
    <t>GRANULAR MATERIAL, TYPE B</t>
  </si>
  <si>
    <t>SUBGRADE COMPACTION</t>
  </si>
  <si>
    <t>SLP</t>
  </si>
  <si>
    <t>ALB</t>
  </si>
  <si>
    <t>DATE</t>
  </si>
  <si>
    <t>BACK AND AHEAD</t>
  </si>
  <si>
    <t>END WIDENING</t>
  </si>
  <si>
    <t>AHEAD</t>
  </si>
  <si>
    <t>BACK</t>
  </si>
  <si>
    <t>203 (INLUDES BENCHING CUT AND FILL WHERE APPROPRIATE)</t>
  </si>
  <si>
    <t>EMBANKMENT, 
AS PER PLAN (TYPE B)</t>
  </si>
  <si>
    <t>VOLUMES</t>
  </si>
  <si>
    <t>AREAS</t>
  </si>
  <si>
    <t>4 lane nose</t>
  </si>
  <si>
    <t>back</t>
  </si>
  <si>
    <t>ahead</t>
  </si>
  <si>
    <t>RAMP C</t>
  </si>
  <si>
    <t>RAMP D</t>
  </si>
  <si>
    <t>RAMP I</t>
  </si>
  <si>
    <t>RAMP J</t>
  </si>
  <si>
    <t>RAMP K</t>
  </si>
  <si>
    <t>BRENTWOOD
EMERGENCY ACCESS</t>
  </si>
  <si>
    <t>S.R. 243</t>
  </si>
  <si>
    <t>S.R. 775</t>
  </si>
  <si>
    <t>BRIDGE SKEW</t>
  </si>
  <si>
    <t>HENSON HOLLOW
EMERGENCY ACCESS</t>
  </si>
  <si>
    <t>LYNN LANE</t>
  </si>
  <si>
    <t>DOGWOOD
EXTENSION</t>
  </si>
  <si>
    <t>C.R 118</t>
  </si>
  <si>
    <t>C.R 2</t>
  </si>
  <si>
    <t>C.R. 69            C.R. 69            C.R. 69               C.R. 69               C.R. 69               C.R. 69                    C.R. 69                 C.R. 69                 C.R. 69                    C.R. 69</t>
  </si>
  <si>
    <t>C.R. 104</t>
  </si>
  <si>
    <t>C.R. 32</t>
  </si>
  <si>
    <t>SHEET TOTALS PER SHEET</t>
  </si>
  <si>
    <t>SUSPEND FOR RAB</t>
  </si>
  <si>
    <t xml:space="preserve">SUSPEND FOR RAB                                                                              SUSPEND FOR RAB                                                                              SUSPEND FOR RAB                                                                              SUSPEND FOR RAB                                                                              SUSPEND FOR RAB                                                                              </t>
  </si>
  <si>
    <t>TOTALS MATCH</t>
  </si>
  <si>
    <t>LEGEND</t>
  </si>
  <si>
    <t>TOTALS DON’T MATCH</t>
  </si>
  <si>
    <t>SHEET TOTALS</t>
  </si>
  <si>
    <t>RAMP L</t>
  </si>
  <si>
    <t>11+00.00</t>
  </si>
  <si>
    <t>11+50.00</t>
  </si>
  <si>
    <t>12+00.00</t>
  </si>
  <si>
    <t>12+50.00</t>
  </si>
  <si>
    <t>13+00.00</t>
  </si>
  <si>
    <t>13+50.00</t>
  </si>
  <si>
    <t>14+00.00</t>
  </si>
  <si>
    <t>14+50.00</t>
  </si>
  <si>
    <t>15+00.00</t>
  </si>
  <si>
    <t>15+50.00</t>
  </si>
  <si>
    <t>16+00.00</t>
  </si>
  <si>
    <t>16+50.00</t>
  </si>
  <si>
    <t>17+00.00</t>
  </si>
  <si>
    <t>17+50.00</t>
  </si>
  <si>
    <t>20+50.00</t>
  </si>
  <si>
    <t>10+50.00</t>
  </si>
  <si>
    <t>10+18.42</t>
  </si>
  <si>
    <t>17+58.28</t>
  </si>
  <si>
    <t>GEOTEXTILE FABRIC</t>
  </si>
  <si>
    <t>EMBANKMENT, 
AS PER PLAN (TYPE C)</t>
  </si>
  <si>
    <t xml:space="preserve">ITEM 863 - REINFORCED EMBANKMENT
</t>
  </si>
  <si>
    <t>RAB CENTER</t>
  </si>
  <si>
    <t>FROM CAD DRAWING AND TEXT FILE FOR RAB CENTER</t>
  </si>
  <si>
    <t>TOTALS</t>
  </si>
  <si>
    <t>SIDE SLOPE WEST</t>
  </si>
  <si>
    <t>SIDE SLOPE NORTHG</t>
  </si>
  <si>
    <t>SIDE SLOPE  EAST</t>
  </si>
  <si>
    <t>PAVEMENT
REMOVED</t>
  </si>
  <si>
    <t>SEEDING AND MULCHING, CLASS 3C</t>
  </si>
  <si>
    <t>subtract vfs 2 from quantity.  Vfs 1 has not been included in any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</si>
</sst>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+##.00"/>
    <numFmt numFmtId="165" formatCode="0.0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Verdana"/>
      <family val="2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Arial"/>
      <family val="2"/>
    </font>
    <font>
      <sz val="14"/>
      <color theme="1"/>
      <name val="Verdana"/>
      <family val="2"/>
    </font>
    <font>
      <sz val="12"/>
      <color theme="1"/>
      <name val="Verdana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auto="1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medium">
        <color indexed="64"/>
      </top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ck">
        <color auto="1"/>
      </bottom>
      <diagonal/>
    </border>
  </borders>
  <cellStyleXfs count="1">
    <xf numFmtId="0" fontId="0" fillId="0" borderId="0"/>
  </cellStyleXfs>
  <cellXfs count="545">
    <xf numFmtId="0" fontId="0" fillId="0" borderId="0" xfId="0"/>
    <xf numFmtId="164" fontId="0" fillId="0" borderId="0" xfId="0" applyNumberFormat="1"/>
    <xf numFmtId="0" fontId="0" fillId="0" borderId="2" xfId="0" applyBorder="1"/>
    <xf numFmtId="0" fontId="0" fillId="0" borderId="10" xfId="0" applyBorder="1"/>
    <xf numFmtId="0" fontId="1" fillId="0" borderId="0" xfId="0" applyFont="1" applyAlignment="1">
      <alignment horizontal="center" vertical="center"/>
    </xf>
    <xf numFmtId="0" fontId="1" fillId="0" borderId="0" xfId="0" applyFont="1"/>
    <xf numFmtId="164" fontId="0" fillId="0" borderId="14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1" fontId="0" fillId="0" borderId="0" xfId="0" applyNumberFormat="1"/>
    <xf numFmtId="0" fontId="5" fillId="0" borderId="19" xfId="0" applyFont="1" applyBorder="1"/>
    <xf numFmtId="0" fontId="1" fillId="0" borderId="3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1" fillId="0" borderId="0" xfId="0" applyFont="1" applyAlignment="1">
      <alignment horizontal="center" textRotation="90" wrapText="1"/>
    </xf>
    <xf numFmtId="0" fontId="0" fillId="0" borderId="0" xfId="0" applyAlignment="1">
      <alignment horizontal="center"/>
    </xf>
    <xf numFmtId="0" fontId="0" fillId="0" borderId="39" xfId="0" applyBorder="1"/>
    <xf numFmtId="0" fontId="0" fillId="0" borderId="19" xfId="0" applyBorder="1" applyAlignment="1">
      <alignment horizontal="center" vertical="center"/>
    </xf>
    <xf numFmtId="0" fontId="0" fillId="0" borderId="12" xfId="0" applyBorder="1" applyAlignment="1">
      <alignment horizontal="center" textRotation="90"/>
    </xf>
    <xf numFmtId="0" fontId="0" fillId="0" borderId="0" xfId="0" applyAlignment="1">
      <alignment horizontal="center" textRotation="90"/>
    </xf>
    <xf numFmtId="0" fontId="0" fillId="0" borderId="12" xfId="0" applyBorder="1" applyAlignment="1">
      <alignment horizontal="center" textRotation="90" wrapText="1"/>
    </xf>
    <xf numFmtId="0" fontId="0" fillId="0" borderId="7" xfId="0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0" xfId="0" applyNumberFormat="1"/>
    <xf numFmtId="2" fontId="0" fillId="0" borderId="1" xfId="0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textRotation="90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165" fontId="0" fillId="3" borderId="0" xfId="0" applyNumberFormat="1" applyFill="1" applyAlignment="1">
      <alignment horizontal="center" vertical="center"/>
    </xf>
    <xf numFmtId="0" fontId="0" fillId="0" borderId="0" xfId="0" applyAlignment="1">
      <alignment vertical="center"/>
    </xf>
    <xf numFmtId="0" fontId="0" fillId="3" borderId="10" xfId="0" applyFill="1" applyBorder="1"/>
    <xf numFmtId="0" fontId="0" fillId="4" borderId="1" xfId="0" applyFill="1" applyBorder="1"/>
    <xf numFmtId="0" fontId="0" fillId="4" borderId="32" xfId="0" applyFill="1" applyBorder="1"/>
    <xf numFmtId="0" fontId="0" fillId="4" borderId="33" xfId="0" applyFill="1" applyBorder="1"/>
    <xf numFmtId="14" fontId="0" fillId="4" borderId="34" xfId="0" applyNumberFormat="1" applyFill="1" applyBorder="1"/>
    <xf numFmtId="0" fontId="0" fillId="4" borderId="3" xfId="0" applyFill="1" applyBorder="1"/>
    <xf numFmtId="14" fontId="0" fillId="4" borderId="4" xfId="0" applyNumberFormat="1" applyFill="1" applyBorder="1"/>
    <xf numFmtId="0" fontId="0" fillId="4" borderId="35" xfId="0" applyFill="1" applyBorder="1"/>
    <xf numFmtId="0" fontId="0" fillId="4" borderId="8" xfId="0" applyFill="1" applyBorder="1"/>
    <xf numFmtId="0" fontId="1" fillId="0" borderId="2" xfId="0" applyFont="1" applyBorder="1" applyAlignment="1">
      <alignment horizontal="center" vertical="center"/>
    </xf>
    <xf numFmtId="0" fontId="0" fillId="0" borderId="44" xfId="0" applyBorder="1"/>
    <xf numFmtId="0" fontId="0" fillId="0" borderId="5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6" xfId="0" applyBorder="1" applyAlignment="1">
      <alignment horizontal="center" textRotation="90"/>
    </xf>
    <xf numFmtId="0" fontId="0" fillId="6" borderId="0" xfId="0" applyFill="1"/>
    <xf numFmtId="164" fontId="0" fillId="6" borderId="1" xfId="0" applyNumberFormat="1" applyFill="1" applyBorder="1" applyAlignment="1">
      <alignment horizontal="center" vertical="center"/>
    </xf>
    <xf numFmtId="165" fontId="0" fillId="6" borderId="1" xfId="0" applyNumberForma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165" fontId="0" fillId="6" borderId="0" xfId="0" applyNumberForma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164" fontId="0" fillId="0" borderId="44" xfId="0" applyNumberFormat="1" applyBorder="1"/>
    <xf numFmtId="14" fontId="0" fillId="4" borderId="53" xfId="0" applyNumberFormat="1" applyFill="1" applyBorder="1"/>
    <xf numFmtId="0" fontId="1" fillId="0" borderId="58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textRotation="90"/>
    </xf>
    <xf numFmtId="0" fontId="1" fillId="5" borderId="59" xfId="0" applyFont="1" applyFill="1" applyBorder="1" applyAlignment="1">
      <alignment horizontal="center" vertical="center" textRotation="90" wrapText="1"/>
    </xf>
    <xf numFmtId="0" fontId="0" fillId="7" borderId="29" xfId="0" applyFill="1" applyBorder="1" applyAlignment="1">
      <alignment horizontal="center" textRotation="90"/>
    </xf>
    <xf numFmtId="0" fontId="0" fillId="7" borderId="30" xfId="0" applyFill="1" applyBorder="1" applyAlignment="1">
      <alignment horizontal="center" textRotation="90"/>
    </xf>
    <xf numFmtId="0" fontId="0" fillId="8" borderId="30" xfId="0" applyFill="1" applyBorder="1" applyAlignment="1">
      <alignment horizontal="center" textRotation="90"/>
    </xf>
    <xf numFmtId="0" fontId="0" fillId="8" borderId="31" xfId="0" applyFill="1" applyBorder="1" applyAlignment="1">
      <alignment horizontal="center" textRotation="90"/>
    </xf>
    <xf numFmtId="0" fontId="0" fillId="5" borderId="44" xfId="0" applyFill="1" applyBorder="1" applyAlignment="1">
      <alignment horizontal="center" vertical="center" textRotation="90" wrapText="1"/>
    </xf>
    <xf numFmtId="0" fontId="1" fillId="0" borderId="61" xfId="0" applyFont="1" applyBorder="1" applyAlignment="1">
      <alignment horizontal="center" vertical="center" textRotation="90"/>
    </xf>
    <xf numFmtId="0" fontId="1" fillId="0" borderId="52" xfId="0" applyFont="1" applyBorder="1" applyAlignment="1">
      <alignment horizontal="center" vertical="center"/>
    </xf>
    <xf numFmtId="2" fontId="0" fillId="0" borderId="44" xfId="0" applyNumberFormat="1" applyBorder="1" applyAlignment="1">
      <alignment horizontal="center" vertical="center"/>
    </xf>
    <xf numFmtId="2" fontId="0" fillId="3" borderId="44" xfId="0" applyNumberFormat="1" applyFill="1" applyBorder="1" applyAlignment="1">
      <alignment horizontal="center" vertical="center"/>
    </xf>
    <xf numFmtId="2" fontId="0" fillId="6" borderId="44" xfId="0" applyNumberFormat="1" applyFill="1" applyBorder="1" applyAlignment="1">
      <alignment horizontal="center" vertical="center"/>
    </xf>
    <xf numFmtId="0" fontId="0" fillId="0" borderId="60" xfId="0" applyBorder="1"/>
    <xf numFmtId="0" fontId="1" fillId="0" borderId="62" xfId="0" applyFont="1" applyBorder="1" applyAlignment="1">
      <alignment horizontal="center" vertical="center" textRotation="90"/>
    </xf>
    <xf numFmtId="0" fontId="1" fillId="0" borderId="63" xfId="0" applyFont="1" applyBorder="1" applyAlignment="1">
      <alignment horizontal="center" vertical="center"/>
    </xf>
    <xf numFmtId="165" fontId="0" fillId="0" borderId="64" xfId="0" applyNumberFormat="1" applyBorder="1" applyAlignment="1">
      <alignment horizontal="center" vertical="center"/>
    </xf>
    <xf numFmtId="165" fontId="0" fillId="3" borderId="64" xfId="0" applyNumberFormat="1" applyFill="1" applyBorder="1" applyAlignment="1">
      <alignment horizontal="center" vertical="center"/>
    </xf>
    <xf numFmtId="165" fontId="0" fillId="6" borderId="64" xfId="0" applyNumberFormat="1" applyFill="1" applyBorder="1" applyAlignment="1">
      <alignment horizontal="center" vertical="center"/>
    </xf>
    <xf numFmtId="0" fontId="1" fillId="0" borderId="0" xfId="0" applyFont="1" applyAlignment="1">
      <alignment horizontal="center" vertical="center" textRotation="90"/>
    </xf>
    <xf numFmtId="0" fontId="0" fillId="6" borderId="1" xfId="0" applyFill="1" applyBorder="1" applyAlignment="1">
      <alignment horizontal="center" vertical="center"/>
    </xf>
    <xf numFmtId="0" fontId="0" fillId="9" borderId="29" xfId="0" applyFill="1" applyBorder="1" applyAlignment="1">
      <alignment horizontal="center" textRotation="90"/>
    </xf>
    <xf numFmtId="0" fontId="0" fillId="9" borderId="30" xfId="0" applyFill="1" applyBorder="1" applyAlignment="1">
      <alignment horizontal="center" textRotation="90"/>
    </xf>
    <xf numFmtId="0" fontId="1" fillId="9" borderId="29" xfId="0" applyFont="1" applyFill="1" applyBorder="1" applyAlignment="1">
      <alignment horizontal="center" textRotation="90"/>
    </xf>
    <xf numFmtId="0" fontId="1" fillId="9" borderId="30" xfId="0" applyFont="1" applyFill="1" applyBorder="1" applyAlignment="1">
      <alignment horizontal="center" textRotation="90"/>
    </xf>
    <xf numFmtId="0" fontId="1" fillId="9" borderId="31" xfId="0" applyFont="1" applyFill="1" applyBorder="1" applyAlignment="1">
      <alignment horizontal="center" vertical="center" textRotation="90"/>
    </xf>
    <xf numFmtId="0" fontId="0" fillId="2" borderId="1" xfId="0" applyFill="1" applyBorder="1" applyAlignment="1">
      <alignment horizontal="center" vertical="center"/>
    </xf>
    <xf numFmtId="0" fontId="0" fillId="6" borderId="47" xfId="0" applyFill="1" applyBorder="1" applyAlignment="1">
      <alignment vertical="center"/>
    </xf>
    <xf numFmtId="0" fontId="0" fillId="6" borderId="1" xfId="0" applyFill="1" applyBorder="1"/>
    <xf numFmtId="165" fontId="8" fillId="0" borderId="60" xfId="0" applyNumberFormat="1" applyFont="1" applyBorder="1"/>
    <xf numFmtId="165" fontId="0" fillId="2" borderId="1" xfId="0" applyNumberFormat="1" applyFill="1" applyBorder="1" applyAlignment="1">
      <alignment horizontal="center" vertical="center"/>
    </xf>
    <xf numFmtId="165" fontId="9" fillId="0" borderId="60" xfId="0" applyNumberFormat="1" applyFont="1" applyBorder="1"/>
    <xf numFmtId="164" fontId="0" fillId="0" borderId="46" xfId="0" applyNumberFormat="1" applyBorder="1" applyAlignment="1">
      <alignment horizontal="center" vertical="center"/>
    </xf>
    <xf numFmtId="0" fontId="0" fillId="4" borderId="67" xfId="0" applyFill="1" applyBorder="1"/>
    <xf numFmtId="0" fontId="0" fillId="4" borderId="46" xfId="0" applyFill="1" applyBorder="1"/>
    <xf numFmtId="0" fontId="0" fillId="4" borderId="68" xfId="0" applyFill="1" applyBorder="1"/>
    <xf numFmtId="0" fontId="11" fillId="0" borderId="0" xfId="0" applyFont="1" applyAlignment="1">
      <alignment horizontal="center" vertical="center" textRotation="90"/>
    </xf>
    <xf numFmtId="0" fontId="10" fillId="0" borderId="0" xfId="0" applyFont="1" applyAlignment="1">
      <alignment horizontal="center" vertical="center" textRotation="90"/>
    </xf>
    <xf numFmtId="0" fontId="0" fillId="3" borderId="0" xfId="0" applyFill="1" applyAlignment="1">
      <alignment horizontal="right"/>
    </xf>
    <xf numFmtId="0" fontId="0" fillId="3" borderId="0" xfId="0" applyFill="1" applyAlignment="1">
      <alignment horizontal="right" vertical="center"/>
    </xf>
    <xf numFmtId="0" fontId="11" fillId="0" borderId="0" xfId="0" applyFont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164" fontId="0" fillId="6" borderId="2" xfId="0" applyNumberFormat="1" applyFill="1" applyBorder="1" applyAlignment="1">
      <alignment horizontal="center" vertical="center"/>
    </xf>
    <xf numFmtId="164" fontId="0" fillId="3" borderId="39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65" fontId="0" fillId="3" borderId="3" xfId="0" applyNumberFormat="1" applyFill="1" applyBorder="1" applyAlignment="1">
      <alignment horizontal="center" vertical="center"/>
    </xf>
    <xf numFmtId="165" fontId="0" fillId="3" borderId="4" xfId="0" applyNumberFormat="1" applyFill="1" applyBorder="1" applyAlignment="1">
      <alignment horizontal="center" vertical="center"/>
    </xf>
    <xf numFmtId="165" fontId="0" fillId="6" borderId="3" xfId="0" applyNumberFormat="1" applyFill="1" applyBorder="1" applyAlignment="1">
      <alignment horizontal="center" vertical="center"/>
    </xf>
    <xf numFmtId="165" fontId="0" fillId="6" borderId="4" xfId="0" applyNumberFormat="1" applyFill="1" applyBorder="1" applyAlignment="1">
      <alignment horizontal="center" vertical="center"/>
    </xf>
    <xf numFmtId="165" fontId="0" fillId="0" borderId="35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165" fontId="0" fillId="0" borderId="66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5" fontId="0" fillId="0" borderId="69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5" fontId="0" fillId="11" borderId="35" xfId="0" applyNumberFormat="1" applyFill="1" applyBorder="1" applyAlignment="1">
      <alignment horizontal="center" vertical="center"/>
    </xf>
    <xf numFmtId="165" fontId="0" fillId="0" borderId="63" xfId="0" applyNumberFormat="1" applyBorder="1" applyAlignment="1">
      <alignment horizontal="center" vertical="center"/>
    </xf>
    <xf numFmtId="165" fontId="0" fillId="0" borderId="62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52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59" xfId="0" applyNumberFormat="1" applyBorder="1" applyAlignment="1">
      <alignment horizontal="center" vertical="center"/>
    </xf>
    <xf numFmtId="165" fontId="0" fillId="3" borderId="2" xfId="0" applyNumberFormat="1" applyFill="1" applyBorder="1" applyAlignment="1">
      <alignment horizontal="center" vertical="center"/>
    </xf>
    <xf numFmtId="2" fontId="0" fillId="3" borderId="2" xfId="0" applyNumberFormat="1" applyFill="1" applyBorder="1" applyAlignment="1">
      <alignment horizontal="center" vertical="center"/>
    </xf>
    <xf numFmtId="2" fontId="0" fillId="3" borderId="52" xfId="0" applyNumberFormat="1" applyFill="1" applyBorder="1" applyAlignment="1">
      <alignment horizontal="center" vertical="center"/>
    </xf>
    <xf numFmtId="165" fontId="0" fillId="3" borderId="63" xfId="0" applyNumberFormat="1" applyFill="1" applyBorder="1" applyAlignment="1">
      <alignment horizontal="center" vertical="center"/>
    </xf>
    <xf numFmtId="165" fontId="0" fillId="3" borderId="66" xfId="0" applyNumberFormat="1" applyFill="1" applyBorder="1" applyAlignment="1">
      <alignment horizontal="center" vertical="center"/>
    </xf>
    <xf numFmtId="165" fontId="0" fillId="3" borderId="69" xfId="0" applyNumberFormat="1" applyFill="1" applyBorder="1" applyAlignment="1">
      <alignment horizontal="center" vertical="center"/>
    </xf>
    <xf numFmtId="0" fontId="0" fillId="0" borderId="71" xfId="0" applyBorder="1"/>
    <xf numFmtId="0" fontId="0" fillId="0" borderId="37" xfId="0" applyBorder="1"/>
    <xf numFmtId="165" fontId="0" fillId="6" borderId="2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2" fontId="0" fillId="6" borderId="5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165" fontId="0" fillId="6" borderId="8" xfId="0" applyNumberFormat="1" applyFill="1" applyBorder="1" applyAlignment="1">
      <alignment horizontal="center" vertical="center"/>
    </xf>
    <xf numFmtId="2" fontId="0" fillId="6" borderId="8" xfId="0" applyNumberFormat="1" applyFill="1" applyBorder="1" applyAlignment="1">
      <alignment horizontal="center" vertical="center"/>
    </xf>
    <xf numFmtId="2" fontId="0" fillId="6" borderId="59" xfId="0" applyNumberFormat="1" applyFill="1" applyBorder="1" applyAlignment="1">
      <alignment horizontal="center" vertical="center"/>
    </xf>
    <xf numFmtId="165" fontId="0" fillId="6" borderId="62" xfId="0" applyNumberFormat="1" applyFill="1" applyBorder="1" applyAlignment="1">
      <alignment horizontal="center" vertical="center"/>
    </xf>
    <xf numFmtId="0" fontId="0" fillId="6" borderId="10" xfId="0" applyFill="1" applyBorder="1"/>
    <xf numFmtId="0" fontId="0" fillId="6" borderId="8" xfId="0" applyFill="1" applyBorder="1" applyAlignment="1">
      <alignment horizontal="center" vertical="center"/>
    </xf>
    <xf numFmtId="165" fontId="0" fillId="6" borderId="63" xfId="0" applyNumberFormat="1" applyFill="1" applyBorder="1" applyAlignment="1">
      <alignment horizontal="center" vertical="center"/>
    </xf>
    <xf numFmtId="165" fontId="0" fillId="6" borderId="66" xfId="0" applyNumberFormat="1" applyFill="1" applyBorder="1" applyAlignment="1">
      <alignment horizontal="center" vertical="center"/>
    </xf>
    <xf numFmtId="165" fontId="0" fillId="6" borderId="69" xfId="0" applyNumberFormat="1" applyFill="1" applyBorder="1" applyAlignment="1">
      <alignment horizontal="center" vertical="center"/>
    </xf>
    <xf numFmtId="164" fontId="0" fillId="6" borderId="8" xfId="0" applyNumberFormat="1" applyFill="1" applyBorder="1" applyAlignment="1">
      <alignment horizontal="center" vertical="center"/>
    </xf>
    <xf numFmtId="165" fontId="0" fillId="3" borderId="62" xfId="0" applyNumberFormat="1" applyFill="1" applyBorder="1" applyAlignment="1">
      <alignment horizontal="center" vertical="center"/>
    </xf>
    <xf numFmtId="165" fontId="0" fillId="3" borderId="8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64" fontId="0" fillId="0" borderId="30" xfId="0" applyNumberFormat="1" applyBorder="1" applyAlignment="1">
      <alignment horizontal="center" vertical="center"/>
    </xf>
    <xf numFmtId="165" fontId="0" fillId="0" borderId="30" xfId="0" applyNumberFormat="1" applyBorder="1" applyAlignment="1">
      <alignment horizontal="center" vertical="center"/>
    </xf>
    <xf numFmtId="2" fontId="0" fillId="0" borderId="30" xfId="0" applyNumberFormat="1" applyBorder="1" applyAlignment="1">
      <alignment horizontal="center" vertical="center"/>
    </xf>
    <xf numFmtId="2" fontId="0" fillId="0" borderId="73" xfId="0" applyNumberFormat="1" applyBorder="1" applyAlignment="1">
      <alignment horizontal="center" vertical="center"/>
    </xf>
    <xf numFmtId="165" fontId="0" fillId="0" borderId="74" xfId="0" applyNumberFormat="1" applyBorder="1" applyAlignment="1">
      <alignment horizontal="center" vertical="center"/>
    </xf>
    <xf numFmtId="0" fontId="0" fillId="0" borderId="7" xfId="0" applyBorder="1"/>
    <xf numFmtId="0" fontId="0" fillId="0" borderId="30" xfId="0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164" fontId="0" fillId="0" borderId="37" xfId="0" applyNumberFormat="1" applyBorder="1" applyAlignment="1">
      <alignment horizontal="center" vertical="center"/>
    </xf>
    <xf numFmtId="165" fontId="0" fillId="0" borderId="37" xfId="0" applyNumberFormat="1" applyBorder="1" applyAlignment="1">
      <alignment horizontal="center" vertical="center"/>
    </xf>
    <xf numFmtId="2" fontId="0" fillId="0" borderId="37" xfId="0" applyNumberFormat="1" applyBorder="1" applyAlignment="1">
      <alignment horizontal="center" vertical="center"/>
    </xf>
    <xf numFmtId="2" fontId="0" fillId="0" borderId="83" xfId="0" applyNumberFormat="1" applyBorder="1" applyAlignment="1">
      <alignment horizontal="center" vertical="center"/>
    </xf>
    <xf numFmtId="165" fontId="0" fillId="0" borderId="70" xfId="0" applyNumberForma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6" borderId="71" xfId="0" applyFill="1" applyBorder="1" applyAlignment="1">
      <alignment vertical="center"/>
    </xf>
    <xf numFmtId="0" fontId="0" fillId="6" borderId="8" xfId="0" applyFill="1" applyBorder="1"/>
    <xf numFmtId="0" fontId="0" fillId="0" borderId="10" xfId="0" applyBorder="1" applyAlignment="1">
      <alignment vertical="center"/>
    </xf>
    <xf numFmtId="0" fontId="15" fillId="14" borderId="1" xfId="0" applyFont="1" applyFill="1" applyBorder="1" applyAlignment="1">
      <alignment horizontal="right"/>
    </xf>
    <xf numFmtId="0" fontId="0" fillId="13" borderId="1" xfId="0" applyFill="1" applyBorder="1" applyAlignment="1">
      <alignment horizontal="left"/>
    </xf>
    <xf numFmtId="165" fontId="0" fillId="0" borderId="44" xfId="0" applyNumberFormat="1" applyBorder="1" applyAlignment="1">
      <alignment horizontal="center" vertical="center"/>
    </xf>
    <xf numFmtId="0" fontId="0" fillId="0" borderId="84" xfId="0" applyBorder="1"/>
    <xf numFmtId="165" fontId="9" fillId="0" borderId="85" xfId="0" applyNumberFormat="1" applyFont="1" applyBorder="1"/>
    <xf numFmtId="164" fontId="0" fillId="0" borderId="39" xfId="0" applyNumberForma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textRotation="90"/>
    </xf>
    <xf numFmtId="164" fontId="0" fillId="0" borderId="68" xfId="0" applyNumberForma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textRotation="90"/>
    </xf>
    <xf numFmtId="0" fontId="0" fillId="3" borderId="10" xfId="0" applyFill="1" applyBorder="1" applyAlignment="1">
      <alignment horizontal="right"/>
    </xf>
    <xf numFmtId="2" fontId="0" fillId="3" borderId="8" xfId="0" applyNumberFormat="1" applyFill="1" applyBorder="1" applyAlignment="1">
      <alignment horizontal="center" vertical="center"/>
    </xf>
    <xf numFmtId="0" fontId="0" fillId="3" borderId="10" xfId="0" applyFill="1" applyBorder="1" applyAlignment="1">
      <alignment horizontal="right" vertical="center"/>
    </xf>
    <xf numFmtId="164" fontId="0" fillId="0" borderId="71" xfId="0" applyNumberFormat="1" applyBorder="1" applyAlignment="1">
      <alignment horizontal="center" vertical="center"/>
    </xf>
    <xf numFmtId="0" fontId="11" fillId="0" borderId="77" xfId="0" applyFont="1" applyBorder="1" applyAlignment="1">
      <alignment horizontal="center" vertical="center" textRotation="90"/>
    </xf>
    <xf numFmtId="0" fontId="0" fillId="0" borderId="77" xfId="0" applyBorder="1"/>
    <xf numFmtId="165" fontId="0" fillId="0" borderId="52" xfId="0" applyNumberForma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64" fontId="0" fillId="0" borderId="51" xfId="0" applyNumberFormat="1" applyBorder="1" applyAlignment="1">
      <alignment horizontal="center" vertical="center"/>
    </xf>
    <xf numFmtId="165" fontId="0" fillId="0" borderId="48" xfId="0" applyNumberFormat="1" applyBorder="1" applyAlignment="1">
      <alignment horizontal="center" vertical="center"/>
    </xf>
    <xf numFmtId="2" fontId="0" fillId="0" borderId="48" xfId="0" applyNumberFormat="1" applyBorder="1" applyAlignment="1">
      <alignment horizontal="center" vertical="center"/>
    </xf>
    <xf numFmtId="165" fontId="0" fillId="0" borderId="87" xfId="0" applyNumberFormat="1" applyBorder="1" applyAlignment="1">
      <alignment horizontal="center" vertical="center"/>
    </xf>
    <xf numFmtId="165" fontId="0" fillId="0" borderId="53" xfId="0" applyNumberFormat="1" applyBorder="1" applyAlignment="1">
      <alignment horizontal="center" vertical="center"/>
    </xf>
    <xf numFmtId="164" fontId="0" fillId="0" borderId="48" xfId="0" applyNumberForma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textRotation="90"/>
    </xf>
    <xf numFmtId="165" fontId="0" fillId="0" borderId="59" xfId="0" applyNumberFormat="1" applyBorder="1" applyAlignment="1">
      <alignment horizontal="center" vertical="center"/>
    </xf>
    <xf numFmtId="165" fontId="0" fillId="0" borderId="49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5" fontId="0" fillId="0" borderId="60" xfId="0" applyNumberFormat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11" fillId="0" borderId="2" xfId="0" applyFont="1" applyBorder="1" applyAlignment="1">
      <alignment horizontal="center" vertical="center" textRotation="90"/>
    </xf>
    <xf numFmtId="164" fontId="0" fillId="0" borderId="47" xfId="0" applyNumberFormat="1" applyBorder="1" applyAlignment="1">
      <alignment horizontal="center" vertical="center"/>
    </xf>
    <xf numFmtId="165" fontId="0" fillId="0" borderId="86" xfId="0" applyNumberFormat="1" applyBorder="1" applyAlignment="1">
      <alignment horizontal="center" vertical="center"/>
    </xf>
    <xf numFmtId="2" fontId="0" fillId="0" borderId="86" xfId="0" applyNumberFormat="1" applyBorder="1" applyAlignment="1">
      <alignment horizontal="center" vertical="center"/>
    </xf>
    <xf numFmtId="165" fontId="0" fillId="0" borderId="88" xfId="0" applyNumberFormat="1" applyBorder="1" applyAlignment="1">
      <alignment horizontal="center" vertical="center"/>
    </xf>
    <xf numFmtId="165" fontId="0" fillId="0" borderId="89" xfId="0" applyNumberFormat="1" applyBorder="1" applyAlignment="1">
      <alignment horizontal="center" vertical="center"/>
    </xf>
    <xf numFmtId="165" fontId="0" fillId="0" borderId="90" xfId="0" applyNumberFormat="1" applyBorder="1" applyAlignment="1">
      <alignment horizontal="center" vertical="center"/>
    </xf>
    <xf numFmtId="164" fontId="0" fillId="0" borderId="86" xfId="0" applyNumberForma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textRotation="90"/>
    </xf>
    <xf numFmtId="0" fontId="0" fillId="0" borderId="8" xfId="0" applyBorder="1"/>
    <xf numFmtId="0" fontId="0" fillId="0" borderId="8" xfId="0" applyBorder="1" applyAlignment="1">
      <alignment horizontal="right"/>
    </xf>
    <xf numFmtId="165" fontId="0" fillId="2" borderId="2" xfId="0" applyNumberFormat="1" applyFill="1" applyBorder="1" applyAlignment="1">
      <alignment horizontal="center" vertical="center"/>
    </xf>
    <xf numFmtId="165" fontId="0" fillId="2" borderId="8" xfId="0" applyNumberFormat="1" applyFill="1" applyBorder="1" applyAlignment="1">
      <alignment horizontal="center" vertical="center"/>
    </xf>
    <xf numFmtId="165" fontId="1" fillId="3" borderId="2" xfId="0" applyNumberFormat="1" applyFont="1" applyFill="1" applyBorder="1" applyAlignment="1">
      <alignment horizontal="center" vertical="center"/>
    </xf>
    <xf numFmtId="165" fontId="1" fillId="3" borderId="8" xfId="0" applyNumberFormat="1" applyFont="1" applyFill="1" applyBorder="1" applyAlignment="1">
      <alignment horizontal="center" vertical="center"/>
    </xf>
    <xf numFmtId="165" fontId="0" fillId="3" borderId="10" xfId="0" applyNumberForma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164" fontId="0" fillId="3" borderId="68" xfId="0" applyNumberFormat="1" applyFill="1" applyBorder="1" applyAlignment="1">
      <alignment horizontal="center" vertical="center"/>
    </xf>
    <xf numFmtId="164" fontId="0" fillId="3" borderId="8" xfId="0" applyNumberFormat="1" applyFill="1" applyBorder="1" applyAlignment="1">
      <alignment horizontal="center" vertical="center"/>
    </xf>
    <xf numFmtId="165" fontId="0" fillId="11" borderId="62" xfId="0" applyNumberFormat="1" applyFill="1" applyBorder="1" applyAlignment="1">
      <alignment horizontal="center" vertical="center"/>
    </xf>
    <xf numFmtId="165" fontId="0" fillId="0" borderId="46" xfId="0" applyNumberFormat="1" applyBorder="1" applyAlignment="1">
      <alignment horizontal="center" vertical="center"/>
    </xf>
    <xf numFmtId="164" fontId="0" fillId="12" borderId="75" xfId="0" applyNumberFormat="1" applyFill="1" applyBorder="1" applyAlignment="1">
      <alignment vertical="center"/>
    </xf>
    <xf numFmtId="164" fontId="0" fillId="12" borderId="40" xfId="0" applyNumberFormat="1" applyFill="1" applyBorder="1" applyAlignment="1">
      <alignment vertical="center"/>
    </xf>
    <xf numFmtId="164" fontId="0" fillId="12" borderId="52" xfId="0" applyNumberFormat="1" applyFill="1" applyBorder="1" applyAlignment="1">
      <alignment vertical="center"/>
    </xf>
    <xf numFmtId="164" fontId="0" fillId="12" borderId="77" xfId="0" applyNumberFormat="1" applyFill="1" applyBorder="1" applyAlignment="1">
      <alignment vertical="center"/>
    </xf>
    <xf numFmtId="0" fontId="0" fillId="0" borderId="46" xfId="0" applyBorder="1"/>
    <xf numFmtId="0" fontId="0" fillId="0" borderId="93" xfId="0" applyBorder="1"/>
    <xf numFmtId="0" fontId="0" fillId="0" borderId="94" xfId="0" applyBorder="1" applyAlignment="1">
      <alignment horizontal="center" vertical="center"/>
    </xf>
    <xf numFmtId="0" fontId="0" fillId="0" borderId="95" xfId="0" applyBorder="1"/>
    <xf numFmtId="0" fontId="0" fillId="0" borderId="96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3" borderId="97" xfId="0" applyFill="1" applyBorder="1" applyAlignment="1">
      <alignment horizontal="center" vertical="center"/>
    </xf>
    <xf numFmtId="0" fontId="0" fillId="3" borderId="94" xfId="0" applyFill="1" applyBorder="1" applyAlignment="1">
      <alignment horizontal="center" vertical="center"/>
    </xf>
    <xf numFmtId="0" fontId="0" fillId="3" borderId="96" xfId="0" applyFill="1" applyBorder="1" applyAlignment="1">
      <alignment horizontal="center" vertical="center"/>
    </xf>
    <xf numFmtId="0" fontId="0" fillId="0" borderId="94" xfId="0" applyBorder="1"/>
    <xf numFmtId="164" fontId="0" fillId="0" borderId="98" xfId="0" applyNumberFormat="1" applyBorder="1" applyAlignment="1">
      <alignment horizontal="center" vertical="center"/>
    </xf>
    <xf numFmtId="0" fontId="0" fillId="15" borderId="44" xfId="0" applyFill="1" applyBorder="1" applyAlignment="1">
      <alignment horizontal="center" vertical="center" textRotation="90" wrapText="1"/>
    </xf>
    <xf numFmtId="0" fontId="15" fillId="14" borderId="0" xfId="0" applyFont="1" applyFill="1" applyAlignment="1">
      <alignment horizontal="right"/>
    </xf>
    <xf numFmtId="165" fontId="0" fillId="0" borderId="33" xfId="0" applyNumberFormat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16" borderId="2" xfId="0" applyFill="1" applyBorder="1" applyAlignment="1">
      <alignment horizontal="center" vertical="center"/>
    </xf>
    <xf numFmtId="0" fontId="0" fillId="16" borderId="8" xfId="0" applyFill="1" applyBorder="1" applyAlignment="1">
      <alignment horizontal="center" vertical="center"/>
    </xf>
    <xf numFmtId="164" fontId="0" fillId="6" borderId="86" xfId="0" applyNumberFormat="1" applyFill="1" applyBorder="1" applyAlignment="1">
      <alignment horizontal="center" vertical="center"/>
    </xf>
    <xf numFmtId="165" fontId="0" fillId="6" borderId="86" xfId="0" applyNumberFormat="1" applyFill="1" applyBorder="1" applyAlignment="1">
      <alignment horizontal="center" vertical="center"/>
    </xf>
    <xf numFmtId="2" fontId="0" fillId="6" borderId="86" xfId="0" applyNumberFormat="1" applyFill="1" applyBorder="1" applyAlignment="1">
      <alignment horizontal="center" vertical="center"/>
    </xf>
    <xf numFmtId="2" fontId="0" fillId="6" borderId="88" xfId="0" applyNumberFormat="1" applyFill="1" applyBorder="1" applyAlignment="1">
      <alignment horizontal="center" vertical="center"/>
    </xf>
    <xf numFmtId="165" fontId="0" fillId="3" borderId="89" xfId="0" applyNumberFormat="1" applyFill="1" applyBorder="1" applyAlignment="1">
      <alignment horizontal="center" vertical="center"/>
    </xf>
    <xf numFmtId="165" fontId="0" fillId="3" borderId="86" xfId="0" applyNumberFormat="1" applyFill="1" applyBorder="1" applyAlignment="1">
      <alignment horizontal="center" vertical="center"/>
    </xf>
    <xf numFmtId="165" fontId="0" fillId="11" borderId="99" xfId="0" applyNumberFormat="1" applyFill="1" applyBorder="1" applyAlignment="1">
      <alignment horizontal="center" vertical="center"/>
    </xf>
    <xf numFmtId="165" fontId="0" fillId="11" borderId="47" xfId="0" applyNumberFormat="1" applyFill="1" applyBorder="1" applyAlignment="1">
      <alignment horizontal="center" vertical="center"/>
    </xf>
    <xf numFmtId="165" fontId="0" fillId="11" borderId="0" xfId="0" applyNumberFormat="1" applyFill="1" applyAlignment="1">
      <alignment horizontal="center" vertical="center"/>
    </xf>
    <xf numFmtId="0" fontId="0" fillId="6" borderId="86" xfId="0" applyFill="1" applyBorder="1" applyAlignment="1">
      <alignment horizontal="center" vertical="center"/>
    </xf>
    <xf numFmtId="0" fontId="16" fillId="0" borderId="0" xfId="0" applyFont="1"/>
    <xf numFmtId="165" fontId="16" fillId="0" borderId="60" xfId="0" applyNumberFormat="1" applyFont="1" applyBorder="1"/>
    <xf numFmtId="165" fontId="0" fillId="0" borderId="65" xfId="0" applyNumberFormat="1" applyBorder="1" applyAlignment="1">
      <alignment horizontal="center" vertical="center"/>
    </xf>
    <xf numFmtId="0" fontId="0" fillId="2" borderId="0" xfId="0" applyFill="1"/>
    <xf numFmtId="165" fontId="0" fillId="6" borderId="89" xfId="0" applyNumberFormat="1" applyFill="1" applyBorder="1" applyAlignment="1">
      <alignment horizontal="center" vertical="center"/>
    </xf>
    <xf numFmtId="164" fontId="0" fillId="3" borderId="51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 textRotation="90"/>
    </xf>
    <xf numFmtId="165" fontId="1" fillId="3" borderId="86" xfId="0" applyNumberFormat="1" applyFont="1" applyFill="1" applyBorder="1" applyAlignment="1">
      <alignment horizontal="center" vertical="center"/>
    </xf>
    <xf numFmtId="164" fontId="0" fillId="3" borderId="47" xfId="0" applyNumberFormat="1" applyFill="1" applyBorder="1" applyAlignment="1">
      <alignment horizontal="center" vertical="center"/>
    </xf>
    <xf numFmtId="2" fontId="0" fillId="3" borderId="86" xfId="0" applyNumberFormat="1" applyFill="1" applyBorder="1" applyAlignment="1">
      <alignment horizontal="center" vertical="center"/>
    </xf>
    <xf numFmtId="165" fontId="0" fillId="11" borderId="89" xfId="0" applyNumberFormat="1" applyFill="1" applyBorder="1" applyAlignment="1">
      <alignment horizontal="center" vertical="center"/>
    </xf>
    <xf numFmtId="164" fontId="0" fillId="3" borderId="86" xfId="0" applyNumberFormat="1" applyFill="1" applyBorder="1" applyAlignment="1">
      <alignment horizontal="center" vertical="center"/>
    </xf>
    <xf numFmtId="0" fontId="0" fillId="3" borderId="100" xfId="0" applyFill="1" applyBorder="1" applyAlignment="1">
      <alignment horizontal="center" vertical="center"/>
    </xf>
    <xf numFmtId="165" fontId="1" fillId="3" borderId="48" xfId="0" applyNumberFormat="1" applyFont="1" applyFill="1" applyBorder="1" applyAlignment="1">
      <alignment horizontal="center" vertical="center"/>
    </xf>
    <xf numFmtId="165" fontId="0" fillId="3" borderId="48" xfId="0" applyNumberFormat="1" applyFill="1" applyBorder="1" applyAlignment="1">
      <alignment horizontal="center" vertical="center"/>
    </xf>
    <xf numFmtId="2" fontId="0" fillId="3" borderId="48" xfId="0" applyNumberFormat="1" applyFill="1" applyBorder="1" applyAlignment="1">
      <alignment horizontal="center" vertical="center"/>
    </xf>
    <xf numFmtId="0" fontId="0" fillId="3" borderId="101" xfId="0" applyFill="1" applyBorder="1"/>
    <xf numFmtId="0" fontId="0" fillId="0" borderId="61" xfId="0" applyBorder="1"/>
    <xf numFmtId="165" fontId="0" fillId="2" borderId="86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2" fontId="0" fillId="0" borderId="49" xfId="0" applyNumberFormat="1" applyBorder="1" applyAlignment="1">
      <alignment horizontal="center" vertical="center"/>
    </xf>
    <xf numFmtId="165" fontId="0" fillId="11" borderId="65" xfId="0" applyNumberFormat="1" applyFill="1" applyBorder="1" applyAlignment="1">
      <alignment horizontal="center" vertical="center"/>
    </xf>
    <xf numFmtId="165" fontId="0" fillId="0" borderId="103" xfId="0" applyNumberFormat="1" applyBorder="1" applyAlignment="1">
      <alignment horizontal="center" vertical="center"/>
    </xf>
    <xf numFmtId="0" fontId="0" fillId="0" borderId="105" xfId="0" applyBorder="1"/>
    <xf numFmtId="165" fontId="0" fillId="0" borderId="106" xfId="0" applyNumberFormat="1" applyBorder="1" applyAlignment="1">
      <alignment horizontal="center" vertical="center"/>
    </xf>
    <xf numFmtId="165" fontId="0" fillId="0" borderId="107" xfId="0" applyNumberFormat="1" applyBorder="1" applyAlignment="1">
      <alignment horizontal="center" vertical="center"/>
    </xf>
    <xf numFmtId="165" fontId="0" fillId="11" borderId="108" xfId="0" applyNumberFormat="1" applyFill="1" applyBorder="1" applyAlignment="1">
      <alignment horizontal="center" vertical="center"/>
    </xf>
    <xf numFmtId="164" fontId="0" fillId="6" borderId="89" xfId="0" applyNumberFormat="1" applyFill="1" applyBorder="1" applyAlignment="1">
      <alignment horizontal="center" vertical="center"/>
    </xf>
    <xf numFmtId="165" fontId="0" fillId="11" borderId="93" xfId="0" applyNumberFormat="1" applyFill="1" applyBorder="1" applyAlignment="1">
      <alignment horizontal="center" vertical="center"/>
    </xf>
    <xf numFmtId="164" fontId="0" fillId="6" borderId="109" xfId="0" applyNumberFormat="1" applyFill="1" applyBorder="1" applyAlignment="1">
      <alignment horizontal="center" vertical="center"/>
    </xf>
    <xf numFmtId="165" fontId="0" fillId="6" borderId="110" xfId="0" applyNumberFormat="1" applyFill="1" applyBorder="1" applyAlignment="1">
      <alignment horizontal="center" vertical="center"/>
    </xf>
    <xf numFmtId="2" fontId="0" fillId="6" borderId="110" xfId="0" applyNumberFormat="1" applyFill="1" applyBorder="1" applyAlignment="1">
      <alignment horizontal="center" vertical="center"/>
    </xf>
    <xf numFmtId="2" fontId="0" fillId="6" borderId="111" xfId="0" applyNumberFormat="1" applyFill="1" applyBorder="1" applyAlignment="1">
      <alignment horizontal="center" vertical="center"/>
    </xf>
    <xf numFmtId="165" fontId="0" fillId="6" borderId="109" xfId="0" applyNumberFormat="1" applyFill="1" applyBorder="1" applyAlignment="1">
      <alignment horizontal="center" vertical="center"/>
    </xf>
    <xf numFmtId="0" fontId="0" fillId="6" borderId="112" xfId="0" applyFill="1" applyBorder="1"/>
    <xf numFmtId="165" fontId="0" fillId="11" borderId="113" xfId="0" applyNumberFormat="1" applyFill="1" applyBorder="1" applyAlignment="1">
      <alignment horizontal="center" vertical="center"/>
    </xf>
    <xf numFmtId="165" fontId="0" fillId="11" borderId="114" xfId="0" applyNumberFormat="1" applyFill="1" applyBorder="1" applyAlignment="1">
      <alignment horizontal="center" vertical="center"/>
    </xf>
    <xf numFmtId="165" fontId="0" fillId="11" borderId="115" xfId="0" applyNumberFormat="1" applyFill="1" applyBorder="1" applyAlignment="1">
      <alignment horizontal="center" vertical="center"/>
    </xf>
    <xf numFmtId="0" fontId="0" fillId="6" borderId="82" xfId="0" applyFill="1" applyBorder="1"/>
    <xf numFmtId="164" fontId="0" fillId="2" borderId="102" xfId="0" applyNumberFormat="1" applyFill="1" applyBorder="1" applyAlignment="1">
      <alignment horizontal="center" vertical="center"/>
    </xf>
    <xf numFmtId="165" fontId="0" fillId="2" borderId="103" xfId="0" applyNumberFormat="1" applyFill="1" applyBorder="1" applyAlignment="1">
      <alignment horizontal="center" vertical="center"/>
    </xf>
    <xf numFmtId="2" fontId="0" fillId="2" borderId="103" xfId="0" applyNumberFormat="1" applyFill="1" applyBorder="1" applyAlignment="1">
      <alignment horizontal="center" vertical="center"/>
    </xf>
    <xf numFmtId="2" fontId="0" fillId="2" borderId="104" xfId="0" applyNumberForma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4" fontId="0" fillId="2" borderId="30" xfId="0" applyNumberFormat="1" applyFill="1" applyBorder="1" applyAlignment="1">
      <alignment horizontal="center" vertical="center"/>
    </xf>
    <xf numFmtId="164" fontId="0" fillId="2" borderId="68" xfId="0" applyNumberFormat="1" applyFill="1" applyBorder="1" applyAlignment="1">
      <alignment horizontal="center" vertical="center"/>
    </xf>
    <xf numFmtId="164" fontId="0" fillId="2" borderId="39" xfId="0" applyNumberFormat="1" applyFill="1" applyBorder="1" applyAlignment="1">
      <alignment horizontal="center" vertical="center"/>
    </xf>
    <xf numFmtId="164" fontId="0" fillId="2" borderId="46" xfId="0" applyNumberFormat="1" applyFill="1" applyBorder="1" applyAlignment="1">
      <alignment horizontal="center" vertical="center"/>
    </xf>
    <xf numFmtId="164" fontId="0" fillId="2" borderId="48" xfId="0" applyNumberFormat="1" applyFill="1" applyBorder="1" applyAlignment="1">
      <alignment horizontal="center" vertical="center"/>
    </xf>
    <xf numFmtId="164" fontId="0" fillId="2" borderId="64" xfId="0" applyNumberFormat="1" applyFill="1" applyBorder="1" applyAlignment="1">
      <alignment horizontal="center" vertical="center"/>
    </xf>
    <xf numFmtId="165" fontId="0" fillId="2" borderId="64" xfId="0" applyNumberFormat="1" applyFill="1" applyBorder="1" applyAlignment="1">
      <alignment horizontal="center" vertical="center"/>
    </xf>
    <xf numFmtId="165" fontId="0" fillId="2" borderId="62" xfId="0" applyNumberFormat="1" applyFill="1" applyBorder="1" applyAlignment="1">
      <alignment horizontal="center" vertical="center"/>
    </xf>
    <xf numFmtId="165" fontId="0" fillId="2" borderId="63" xfId="0" applyNumberFormat="1" applyFill="1" applyBorder="1" applyAlignment="1">
      <alignment horizontal="center" vertical="center"/>
    </xf>
    <xf numFmtId="165" fontId="0" fillId="2" borderId="74" xfId="0" applyNumberFormat="1" applyFill="1" applyBorder="1" applyAlignment="1">
      <alignment horizontal="center" vertical="center"/>
    </xf>
    <xf numFmtId="165" fontId="0" fillId="2" borderId="30" xfId="0" applyNumberFormat="1" applyFill="1" applyBorder="1" applyAlignment="1">
      <alignment horizontal="center" vertical="center"/>
    </xf>
    <xf numFmtId="165" fontId="0" fillId="2" borderId="87" xfId="0" applyNumberFormat="1" applyFill="1" applyBorder="1" applyAlignment="1">
      <alignment horizontal="center" vertical="center"/>
    </xf>
    <xf numFmtId="165" fontId="0" fillId="2" borderId="48" xfId="0" applyNumberFormat="1" applyFill="1" applyBorder="1" applyAlignment="1">
      <alignment horizontal="center" vertical="center"/>
    </xf>
    <xf numFmtId="165" fontId="0" fillId="2" borderId="102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44" xfId="0" applyNumberFormat="1" applyBorder="1" applyAlignment="1">
      <alignment horizontal="center" vertical="center"/>
    </xf>
    <xf numFmtId="1" fontId="0" fillId="0" borderId="59" xfId="0" applyNumberFormat="1" applyBorder="1" applyAlignment="1">
      <alignment horizontal="center" vertical="center"/>
    </xf>
    <xf numFmtId="1" fontId="0" fillId="0" borderId="52" xfId="0" applyNumberFormat="1" applyBorder="1" applyAlignment="1">
      <alignment horizontal="center" vertical="center"/>
    </xf>
    <xf numFmtId="1" fontId="0" fillId="0" borderId="64" xfId="0" applyNumberFormat="1" applyBorder="1" applyAlignment="1">
      <alignment horizontal="center" vertical="center"/>
    </xf>
    <xf numFmtId="1" fontId="0" fillId="0" borderId="62" xfId="0" applyNumberFormat="1" applyBorder="1" applyAlignment="1">
      <alignment horizontal="center" vertical="center"/>
    </xf>
    <xf numFmtId="1" fontId="0" fillId="0" borderId="63" xfId="0" applyNumberFormat="1" applyBorder="1" applyAlignment="1">
      <alignment horizontal="center" vertical="center"/>
    </xf>
    <xf numFmtId="1" fontId="0" fillId="4" borderId="34" xfId="0" applyNumberFormat="1" applyFill="1" applyBorder="1"/>
    <xf numFmtId="1" fontId="0" fillId="4" borderId="4" xfId="0" applyNumberFormat="1" applyFill="1" applyBorder="1"/>
    <xf numFmtId="1" fontId="0" fillId="4" borderId="53" xfId="0" applyNumberFormat="1" applyFill="1" applyBorder="1"/>
    <xf numFmtId="1" fontId="1" fillId="0" borderId="35" xfId="0" applyNumberFormat="1" applyFont="1" applyBorder="1" applyAlignment="1">
      <alignment horizontal="center" vertical="center" textRotation="90"/>
    </xf>
    <xf numFmtId="1" fontId="1" fillId="0" borderId="2" xfId="0" applyNumberFormat="1" applyFont="1" applyBorder="1" applyAlignment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" fontId="0" fillId="3" borderId="8" xfId="0" applyNumberFormat="1" applyFill="1" applyBorder="1" applyAlignment="1">
      <alignment horizontal="center" vertical="center"/>
    </xf>
    <xf numFmtId="1" fontId="0" fillId="0" borderId="37" xfId="0" applyNumberFormat="1" applyBorder="1" applyAlignment="1">
      <alignment horizontal="center" vertical="center"/>
    </xf>
    <xf numFmtId="1" fontId="0" fillId="0" borderId="48" xfId="0" applyNumberFormat="1" applyBorder="1" applyAlignment="1">
      <alignment horizontal="center" vertical="center"/>
    </xf>
    <xf numFmtId="1" fontId="0" fillId="0" borderId="86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3" borderId="48" xfId="0" applyNumberFormat="1" applyFill="1" applyBorder="1" applyAlignment="1">
      <alignment horizontal="center" vertical="center"/>
    </xf>
    <xf numFmtId="1" fontId="0" fillId="3" borderId="86" xfId="0" applyNumberFormat="1" applyFill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 textRotation="90"/>
    </xf>
    <xf numFmtId="1" fontId="1" fillId="0" borderId="45" xfId="0" applyNumberFormat="1" applyFont="1" applyBorder="1" applyAlignment="1">
      <alignment horizontal="center" vertical="center"/>
    </xf>
    <xf numFmtId="1" fontId="1" fillId="0" borderId="61" xfId="0" applyNumberFormat="1" applyFont="1" applyBorder="1" applyAlignment="1">
      <alignment horizontal="center" vertical="center" textRotation="90"/>
    </xf>
    <xf numFmtId="1" fontId="1" fillId="0" borderId="52" xfId="0" applyNumberFormat="1" applyFont="1" applyBorder="1" applyAlignment="1">
      <alignment horizontal="center" vertical="center"/>
    </xf>
    <xf numFmtId="1" fontId="0" fillId="3" borderId="52" xfId="0" applyNumberFormat="1" applyFill="1" applyBorder="1" applyAlignment="1">
      <alignment horizontal="center" vertical="center"/>
    </xf>
    <xf numFmtId="1" fontId="0" fillId="3" borderId="44" xfId="0" applyNumberFormat="1" applyFill="1" applyBorder="1" applyAlignment="1">
      <alignment horizontal="center" vertical="center"/>
    </xf>
    <xf numFmtId="1" fontId="0" fillId="3" borderId="59" xfId="0" applyNumberFormat="1" applyFill="1" applyBorder="1" applyAlignment="1">
      <alignment horizontal="center" vertical="center"/>
    </xf>
    <xf numFmtId="1" fontId="0" fillId="0" borderId="83" xfId="0" applyNumberFormat="1" applyBorder="1" applyAlignment="1">
      <alignment horizontal="center" vertical="center"/>
    </xf>
    <xf numFmtId="1" fontId="0" fillId="0" borderId="49" xfId="0" applyNumberFormat="1" applyBorder="1" applyAlignment="1">
      <alignment horizontal="center" vertical="center"/>
    </xf>
    <xf numFmtId="1" fontId="0" fillId="0" borderId="88" xfId="0" applyNumberFormat="1" applyBorder="1" applyAlignment="1">
      <alignment horizontal="center" vertical="center"/>
    </xf>
    <xf numFmtId="1" fontId="0" fillId="3" borderId="49" xfId="0" applyNumberFormat="1" applyFill="1" applyBorder="1" applyAlignment="1">
      <alignment horizontal="center" vertical="center"/>
    </xf>
    <xf numFmtId="1" fontId="0" fillId="3" borderId="88" xfId="0" applyNumberFormat="1" applyFill="1" applyBorder="1" applyAlignment="1">
      <alignment horizontal="center" vertical="center"/>
    </xf>
    <xf numFmtId="1" fontId="0" fillId="0" borderId="60" xfId="0" applyNumberFormat="1" applyBorder="1"/>
    <xf numFmtId="1" fontId="1" fillId="0" borderId="62" xfId="0" applyNumberFormat="1" applyFont="1" applyBorder="1" applyAlignment="1">
      <alignment horizontal="center" vertical="center" textRotation="90"/>
    </xf>
    <xf numFmtId="1" fontId="1" fillId="0" borderId="63" xfId="0" applyNumberFormat="1" applyFont="1" applyBorder="1" applyAlignment="1">
      <alignment horizontal="center" vertical="center"/>
    </xf>
    <xf numFmtId="1" fontId="9" fillId="0" borderId="60" xfId="0" applyNumberFormat="1" applyFont="1" applyBorder="1"/>
    <xf numFmtId="1" fontId="0" fillId="3" borderId="63" xfId="0" applyNumberFormat="1" applyFill="1" applyBorder="1" applyAlignment="1">
      <alignment horizontal="center" vertical="center"/>
    </xf>
    <xf numFmtId="1" fontId="0" fillId="3" borderId="64" xfId="0" applyNumberFormat="1" applyFill="1" applyBorder="1" applyAlignment="1">
      <alignment horizontal="center" vertical="center"/>
    </xf>
    <xf numFmtId="1" fontId="0" fillId="3" borderId="62" xfId="0" applyNumberFormat="1" applyFill="1" applyBorder="1" applyAlignment="1">
      <alignment horizontal="center" vertical="center"/>
    </xf>
    <xf numFmtId="1" fontId="0" fillId="0" borderId="70" xfId="0" applyNumberFormat="1" applyBorder="1" applyAlignment="1">
      <alignment horizontal="center" vertical="center"/>
    </xf>
    <xf numFmtId="1" fontId="0" fillId="0" borderId="87" xfId="0" applyNumberFormat="1" applyBorder="1" applyAlignment="1">
      <alignment horizontal="center" vertical="center"/>
    </xf>
    <xf numFmtId="1" fontId="0" fillId="0" borderId="89" xfId="0" applyNumberFormat="1" applyBorder="1" applyAlignment="1">
      <alignment horizontal="center" vertical="center"/>
    </xf>
    <xf numFmtId="1" fontId="0" fillId="0" borderId="60" xfId="0" applyNumberFormat="1" applyBorder="1" applyAlignment="1">
      <alignment horizontal="center" vertical="center"/>
    </xf>
    <xf numFmtId="1" fontId="0" fillId="3" borderId="87" xfId="0" applyNumberFormat="1" applyFill="1" applyBorder="1" applyAlignment="1">
      <alignment horizontal="center" vertical="center"/>
    </xf>
    <xf numFmtId="1" fontId="0" fillId="3" borderId="89" xfId="0" applyNumberFormat="1" applyFill="1" applyBorder="1" applyAlignment="1">
      <alignment horizontal="center" vertical="center"/>
    </xf>
    <xf numFmtId="1" fontId="1" fillId="0" borderId="58" xfId="0" applyNumberFormat="1" applyFont="1" applyBorder="1" applyAlignment="1">
      <alignment horizontal="center" vertical="center"/>
    </xf>
    <xf numFmtId="1" fontId="0" fillId="0" borderId="46" xfId="0" applyNumberFormat="1" applyBorder="1" applyAlignment="1">
      <alignment horizontal="center" textRotation="90"/>
    </xf>
    <xf numFmtId="1" fontId="0" fillId="3" borderId="91" xfId="0" applyNumberFormat="1" applyFill="1" applyBorder="1" applyAlignment="1">
      <alignment horizontal="center" vertical="center"/>
    </xf>
    <xf numFmtId="1" fontId="0" fillId="0" borderId="91" xfId="0" applyNumberFormat="1" applyBorder="1" applyAlignment="1">
      <alignment horizontal="center" vertical="center"/>
    </xf>
    <xf numFmtId="1" fontId="0" fillId="0" borderId="92" xfId="0" applyNumberFormat="1" applyBorder="1" applyAlignment="1">
      <alignment horizontal="center" vertical="center"/>
    </xf>
    <xf numFmtId="165" fontId="0" fillId="0" borderId="77" xfId="0" applyNumberFormat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165" fontId="0" fillId="11" borderId="70" xfId="0" applyNumberFormat="1" applyFill="1" applyBorder="1" applyAlignment="1">
      <alignment horizontal="center" vertical="center"/>
    </xf>
    <xf numFmtId="0" fontId="0" fillId="6" borderId="41" xfId="0" applyFill="1" applyBorder="1" applyAlignment="1">
      <alignment horizontal="center" vertical="center"/>
    </xf>
    <xf numFmtId="165" fontId="0" fillId="6" borderId="33" xfId="0" applyNumberFormat="1" applyFill="1" applyBorder="1" applyAlignment="1">
      <alignment horizontal="center" vertical="center"/>
    </xf>
    <xf numFmtId="2" fontId="0" fillId="6" borderId="33" xfId="0" applyNumberFormat="1" applyFill="1" applyBorder="1" applyAlignment="1">
      <alignment horizontal="center" vertical="center"/>
    </xf>
    <xf numFmtId="2" fontId="0" fillId="6" borderId="117" xfId="0" applyNumberFormat="1" applyFill="1" applyBorder="1" applyAlignment="1">
      <alignment horizontal="center" vertical="center"/>
    </xf>
    <xf numFmtId="165" fontId="0" fillId="3" borderId="118" xfId="0" applyNumberFormat="1" applyFill="1" applyBorder="1" applyAlignment="1">
      <alignment horizontal="center" vertical="center"/>
    </xf>
    <xf numFmtId="165" fontId="0" fillId="3" borderId="33" xfId="0" applyNumberFormat="1" applyFill="1" applyBorder="1" applyAlignment="1">
      <alignment horizontal="center" vertical="center"/>
    </xf>
    <xf numFmtId="165" fontId="0" fillId="6" borderId="40" xfId="0" applyNumberFormat="1" applyFill="1" applyBorder="1" applyAlignment="1">
      <alignment horizontal="center" vertical="center"/>
    </xf>
    <xf numFmtId="165" fontId="0" fillId="3" borderId="32" xfId="0" applyNumberFormat="1" applyFill="1" applyBorder="1" applyAlignment="1">
      <alignment horizontal="center" vertical="center"/>
    </xf>
    <xf numFmtId="165" fontId="0" fillId="3" borderId="34" xfId="0" applyNumberFormat="1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3" borderId="40" xfId="0" applyFill="1" applyBorder="1"/>
    <xf numFmtId="0" fontId="0" fillId="6" borderId="40" xfId="0" applyFill="1" applyBorder="1"/>
    <xf numFmtId="0" fontId="0" fillId="6" borderId="42" xfId="0" applyFill="1" applyBorder="1"/>
    <xf numFmtId="0" fontId="0" fillId="6" borderId="17" xfId="0" applyFill="1" applyBorder="1" applyAlignment="1">
      <alignment horizontal="center" vertical="center"/>
    </xf>
    <xf numFmtId="0" fontId="0" fillId="6" borderId="84" xfId="0" applyFill="1" applyBorder="1"/>
    <xf numFmtId="0" fontId="0" fillId="0" borderId="17" xfId="0" applyBorder="1"/>
    <xf numFmtId="0" fontId="0" fillId="0" borderId="18" xfId="0" applyBorder="1"/>
    <xf numFmtId="164" fontId="0" fillId="0" borderId="10" xfId="0" applyNumberFormat="1" applyBorder="1" applyAlignment="1">
      <alignment horizontal="center" vertical="center"/>
    </xf>
    <xf numFmtId="0" fontId="0" fillId="0" borderId="119" xfId="0" applyBorder="1"/>
    <xf numFmtId="164" fontId="0" fillId="0" borderId="77" xfId="0" applyNumberForma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6" borderId="51" xfId="0" applyFill="1" applyBorder="1" applyAlignment="1">
      <alignment vertical="center"/>
    </xf>
    <xf numFmtId="0" fontId="0" fillId="6" borderId="50" xfId="0" applyFill="1" applyBorder="1"/>
    <xf numFmtId="0" fontId="0" fillId="3" borderId="50" xfId="0" applyFill="1" applyBorder="1"/>
    <xf numFmtId="0" fontId="0" fillId="6" borderId="114" xfId="0" applyFill="1" applyBorder="1" applyAlignment="1">
      <alignment vertical="center"/>
    </xf>
    <xf numFmtId="165" fontId="0" fillId="6" borderId="120" xfId="0" applyNumberFormat="1" applyFill="1" applyBorder="1" applyAlignment="1">
      <alignment horizontal="center" vertical="center"/>
    </xf>
    <xf numFmtId="2" fontId="0" fillId="0" borderId="120" xfId="0" applyNumberFormat="1" applyBorder="1" applyAlignment="1">
      <alignment horizontal="center" vertical="center"/>
    </xf>
    <xf numFmtId="2" fontId="0" fillId="6" borderId="121" xfId="0" applyNumberFormat="1" applyFill="1" applyBorder="1" applyAlignment="1">
      <alignment horizontal="center" vertical="center"/>
    </xf>
    <xf numFmtId="165" fontId="0" fillId="6" borderId="122" xfId="0" applyNumberFormat="1" applyFill="1" applyBorder="1" applyAlignment="1">
      <alignment horizontal="center" vertical="center"/>
    </xf>
    <xf numFmtId="0" fontId="0" fillId="6" borderId="120" xfId="0" applyFill="1" applyBorder="1" applyAlignment="1">
      <alignment horizontal="center" vertical="center"/>
    </xf>
    <xf numFmtId="0" fontId="0" fillId="6" borderId="110" xfId="0" applyFill="1" applyBorder="1" applyAlignment="1">
      <alignment horizontal="center" vertical="center"/>
    </xf>
    <xf numFmtId="0" fontId="0" fillId="3" borderId="112" xfId="0" applyFill="1" applyBorder="1"/>
    <xf numFmtId="165" fontId="0" fillId="11" borderId="87" xfId="0" applyNumberFormat="1" applyFill="1" applyBorder="1" applyAlignment="1">
      <alignment horizontal="center" vertical="center"/>
    </xf>
    <xf numFmtId="0" fontId="10" fillId="0" borderId="55" xfId="0" applyFont="1" applyBorder="1" applyAlignment="1">
      <alignment horizontal="center" vertical="center" textRotation="90"/>
    </xf>
    <xf numFmtId="164" fontId="0" fillId="0" borderId="67" xfId="0" applyNumberFormat="1" applyBorder="1" applyAlignment="1">
      <alignment horizontal="center" vertical="center"/>
    </xf>
    <xf numFmtId="1" fontId="0" fillId="0" borderId="33" xfId="0" applyNumberFormat="1" applyBorder="1" applyAlignment="1">
      <alignment horizontal="center" vertical="center"/>
    </xf>
    <xf numFmtId="2" fontId="0" fillId="0" borderId="33" xfId="0" applyNumberFormat="1" applyBorder="1" applyAlignment="1">
      <alignment horizontal="center" vertical="center"/>
    </xf>
    <xf numFmtId="1" fontId="0" fillId="0" borderId="117" xfId="0" applyNumberFormat="1" applyBorder="1" applyAlignment="1">
      <alignment horizontal="center" vertical="center"/>
    </xf>
    <xf numFmtId="1" fontId="0" fillId="0" borderId="118" xfId="0" applyNumberFormat="1" applyBorder="1" applyAlignment="1">
      <alignment horizontal="center" vertical="center"/>
    </xf>
    <xf numFmtId="165" fontId="0" fillId="0" borderId="55" xfId="0" applyNumberFormat="1" applyBorder="1" applyAlignment="1">
      <alignment horizontal="center" vertical="center"/>
    </xf>
    <xf numFmtId="165" fontId="0" fillId="0" borderId="118" xfId="0" applyNumberForma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 textRotation="90"/>
    </xf>
    <xf numFmtId="165" fontId="0" fillId="0" borderId="61" xfId="0" applyNumberFormat="1" applyBorder="1" applyAlignment="1">
      <alignment horizontal="center" vertical="center"/>
    </xf>
    <xf numFmtId="164" fontId="0" fillId="0" borderId="10" xfId="0" applyNumberFormat="1" applyBorder="1"/>
    <xf numFmtId="164" fontId="0" fillId="0" borderId="88" xfId="0" applyNumberFormat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47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3" borderId="48" xfId="0" applyNumberForma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164" fontId="0" fillId="12" borderId="75" xfId="0" applyNumberFormat="1" applyFill="1" applyBorder="1" applyAlignment="1">
      <alignment horizontal="center" vertical="center"/>
    </xf>
    <xf numFmtId="164" fontId="0" fillId="12" borderId="40" xfId="0" applyNumberFormat="1" applyFill="1" applyBorder="1" applyAlignment="1">
      <alignment horizontal="center" vertical="center"/>
    </xf>
    <xf numFmtId="164" fontId="0" fillId="12" borderId="76" xfId="0" applyNumberFormat="1" applyFill="1" applyBorder="1" applyAlignment="1">
      <alignment horizontal="center" vertical="center"/>
    </xf>
    <xf numFmtId="164" fontId="0" fillId="12" borderId="52" xfId="0" applyNumberFormat="1" applyFill="1" applyBorder="1" applyAlignment="1">
      <alignment horizontal="center" vertical="center"/>
    </xf>
    <xf numFmtId="164" fontId="0" fillId="12" borderId="77" xfId="0" applyNumberFormat="1" applyFill="1" applyBorder="1" applyAlignment="1">
      <alignment horizontal="center" vertical="center"/>
    </xf>
    <xf numFmtId="164" fontId="0" fillId="12" borderId="78" xfId="0" applyNumberFormat="1" applyFill="1" applyBorder="1" applyAlignment="1">
      <alignment horizontal="center" vertical="center"/>
    </xf>
    <xf numFmtId="165" fontId="0" fillId="12" borderId="79" xfId="0" applyNumberFormat="1" applyFill="1" applyBorder="1" applyAlignment="1">
      <alignment horizontal="center" vertical="center"/>
    </xf>
    <xf numFmtId="165" fontId="0" fillId="12" borderId="40" xfId="0" applyNumberFormat="1" applyFill="1" applyBorder="1" applyAlignment="1">
      <alignment horizontal="center" vertical="center"/>
    </xf>
    <xf numFmtId="165" fontId="0" fillId="12" borderId="72" xfId="0" applyNumberFormat="1" applyFill="1" applyBorder="1" applyAlignment="1">
      <alignment horizontal="center" vertical="center"/>
    </xf>
    <xf numFmtId="165" fontId="0" fillId="12" borderId="80" xfId="0" applyNumberFormat="1" applyFill="1" applyBorder="1" applyAlignment="1">
      <alignment horizontal="center" vertical="center"/>
    </xf>
    <xf numFmtId="165" fontId="0" fillId="12" borderId="77" xfId="0" applyNumberFormat="1" applyFill="1" applyBorder="1" applyAlignment="1">
      <alignment horizontal="center" vertical="center"/>
    </xf>
    <xf numFmtId="165" fontId="0" fillId="12" borderId="39" xfId="0" applyNumberFormat="1" applyFill="1" applyBorder="1" applyAlignment="1">
      <alignment horizontal="center" vertical="center"/>
    </xf>
    <xf numFmtId="165" fontId="0" fillId="12" borderId="41" xfId="0" applyNumberFormat="1" applyFill="1" applyBorder="1" applyAlignment="1">
      <alignment horizontal="center" vertical="center"/>
    </xf>
    <xf numFmtId="165" fontId="0" fillId="12" borderId="42" xfId="0" applyNumberFormat="1" applyFill="1" applyBorder="1" applyAlignment="1">
      <alignment horizontal="center" vertical="center"/>
    </xf>
    <xf numFmtId="165" fontId="0" fillId="12" borderId="81" xfId="0" applyNumberFormat="1" applyFill="1" applyBorder="1" applyAlignment="1">
      <alignment horizontal="center" vertical="center"/>
    </xf>
    <xf numFmtId="165" fontId="0" fillId="12" borderId="82" xfId="0" applyNumberFormat="1" applyFill="1" applyBorder="1" applyAlignment="1">
      <alignment horizontal="center" vertical="center"/>
    </xf>
    <xf numFmtId="0" fontId="0" fillId="6" borderId="72" xfId="0" applyFill="1" applyBorder="1" applyAlignment="1">
      <alignment horizontal="center" vertical="center"/>
    </xf>
    <xf numFmtId="0" fontId="0" fillId="6" borderId="71" xfId="0" applyFill="1" applyBorder="1" applyAlignment="1">
      <alignment horizontal="center" vertical="center"/>
    </xf>
    <xf numFmtId="164" fontId="0" fillId="6" borderId="116" xfId="0" applyNumberFormat="1" applyFill="1" applyBorder="1" applyAlignment="1">
      <alignment horizontal="center" vertical="center"/>
    </xf>
    <xf numFmtId="164" fontId="0" fillId="6" borderId="2" xfId="0" applyNumberFormat="1" applyFill="1" applyBorder="1" applyAlignment="1">
      <alignment horizontal="center" vertical="center"/>
    </xf>
    <xf numFmtId="164" fontId="0" fillId="6" borderId="48" xfId="0" applyNumberFormat="1" applyFill="1" applyBorder="1" applyAlignment="1">
      <alignment horizontal="center" vertical="center"/>
    </xf>
    <xf numFmtId="164" fontId="0" fillId="2" borderId="48" xfId="0" applyNumberForma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/>
    </xf>
    <xf numFmtId="0" fontId="14" fillId="0" borderId="40" xfId="0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4" fillId="15" borderId="54" xfId="0" applyFont="1" applyFill="1" applyBorder="1" applyAlignment="1">
      <alignment horizontal="center" vertical="center"/>
    </xf>
    <xf numFmtId="0" fontId="14" fillId="15" borderId="55" xfId="0" applyFont="1" applyFill="1" applyBorder="1" applyAlignment="1">
      <alignment horizontal="center" vertical="center"/>
    </xf>
    <xf numFmtId="0" fontId="14" fillId="15" borderId="56" xfId="0" applyFont="1" applyFill="1" applyBorder="1" applyAlignment="1">
      <alignment horizontal="center" vertical="center"/>
    </xf>
    <xf numFmtId="164" fontId="0" fillId="6" borderId="37" xfId="0" applyNumberFormat="1" applyFill="1" applyBorder="1" applyAlignment="1">
      <alignment horizontal="center" vertical="center"/>
    </xf>
    <xf numFmtId="164" fontId="0" fillId="6" borderId="110" xfId="0" applyNumberFormat="1" applyFill="1" applyBorder="1" applyAlignment="1">
      <alignment horizontal="center" vertical="center"/>
    </xf>
    <xf numFmtId="164" fontId="0" fillId="0" borderId="49" xfId="0" applyNumberFormat="1" applyBorder="1" applyAlignment="1">
      <alignment horizontal="center" vertical="center"/>
    </xf>
    <xf numFmtId="164" fontId="0" fillId="0" borderId="111" xfId="0" applyNumberFormat="1" applyBorder="1" applyAlignment="1">
      <alignment horizontal="center" vertical="center"/>
    </xf>
    <xf numFmtId="164" fontId="0" fillId="0" borderId="75" xfId="0" applyNumberFormat="1" applyBorder="1" applyAlignment="1">
      <alignment horizontal="center" vertical="center"/>
    </xf>
    <xf numFmtId="0" fontId="0" fillId="2" borderId="47" xfId="0" applyFill="1" applyBorder="1" applyAlignment="1">
      <alignment horizontal="center" vertical="center" textRotation="90" wrapText="1"/>
    </xf>
    <xf numFmtId="0" fontId="0" fillId="2" borderId="47" xfId="0" applyFill="1" applyBorder="1" applyAlignment="1">
      <alignment horizontal="center" vertical="center" textRotation="90"/>
    </xf>
    <xf numFmtId="0" fontId="17" fillId="0" borderId="6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1" fillId="10" borderId="40" xfId="0" applyFont="1" applyFill="1" applyBorder="1" applyAlignment="1">
      <alignment horizontal="center" vertical="center" textRotation="90"/>
    </xf>
    <xf numFmtId="0" fontId="11" fillId="10" borderId="0" xfId="0" applyFont="1" applyFill="1" applyAlignment="1">
      <alignment horizontal="center" vertical="center" textRotation="90"/>
    </xf>
    <xf numFmtId="164" fontId="0" fillId="3" borderId="51" xfId="0" applyNumberFormat="1" applyFill="1" applyBorder="1" applyAlignment="1">
      <alignment horizontal="center" vertical="center"/>
    </xf>
    <xf numFmtId="164" fontId="0" fillId="3" borderId="39" xfId="0" applyNumberFormat="1" applyFill="1" applyBorder="1" applyAlignment="1">
      <alignment horizontal="center" vertical="center"/>
    </xf>
    <xf numFmtId="0" fontId="11" fillId="10" borderId="11" xfId="0" applyFont="1" applyFill="1" applyBorder="1" applyAlignment="1">
      <alignment horizontal="center" vertical="center" textRotation="90"/>
    </xf>
    <xf numFmtId="0" fontId="11" fillId="10" borderId="12" xfId="0" applyFont="1" applyFill="1" applyBorder="1" applyAlignment="1">
      <alignment horizontal="center" vertical="center" textRotation="90"/>
    </xf>
    <xf numFmtId="0" fontId="11" fillId="10" borderId="43" xfId="0" applyFont="1" applyFill="1" applyBorder="1" applyAlignment="1">
      <alignment horizontal="center" vertical="center" textRotation="90"/>
    </xf>
    <xf numFmtId="164" fontId="0" fillId="3" borderId="65" xfId="0" applyNumberFormat="1" applyFill="1" applyBorder="1" applyAlignment="1">
      <alignment horizontal="center" vertical="center"/>
    </xf>
    <xf numFmtId="164" fontId="0" fillId="3" borderId="36" xfId="0" applyNumberFormat="1" applyFill="1" applyBorder="1" applyAlignment="1">
      <alignment horizontal="center" vertical="center"/>
    </xf>
    <xf numFmtId="0" fontId="13" fillId="0" borderId="41" xfId="0" applyFont="1" applyBorder="1" applyAlignment="1">
      <alignment horizontal="center"/>
    </xf>
    <xf numFmtId="0" fontId="13" fillId="0" borderId="40" xfId="0" applyFont="1" applyBorder="1" applyAlignment="1">
      <alignment horizontal="center"/>
    </xf>
    <xf numFmtId="0" fontId="13" fillId="0" borderId="42" xfId="0" applyFont="1" applyBorder="1" applyAlignment="1">
      <alignment horizontal="center"/>
    </xf>
    <xf numFmtId="0" fontId="0" fillId="0" borderId="46" xfId="0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0" fillId="10" borderId="0" xfId="0" applyFont="1" applyFill="1" applyAlignment="1">
      <alignment horizontal="center" vertical="center" textRotation="90"/>
    </xf>
    <xf numFmtId="0" fontId="12" fillId="3" borderId="40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60" xfId="0" applyNumberFormat="1" applyBorder="1" applyAlignment="1">
      <alignment horizontal="center" vertical="center"/>
    </xf>
    <xf numFmtId="0" fontId="11" fillId="10" borderId="40" xfId="0" applyFont="1" applyFill="1" applyBorder="1" applyAlignment="1">
      <alignment horizontal="center" vertical="center" textRotation="90" wrapText="1"/>
    </xf>
    <xf numFmtId="0" fontId="11" fillId="10" borderId="0" xfId="0" applyFont="1" applyFill="1" applyAlignment="1">
      <alignment horizontal="center" vertical="center" textRotation="90" wrapText="1"/>
    </xf>
    <xf numFmtId="0" fontId="15" fillId="0" borderId="0" xfId="0" applyFont="1" applyAlignment="1">
      <alignment horizontal="center"/>
    </xf>
    <xf numFmtId="0" fontId="15" fillId="0" borderId="10" xfId="0" applyFont="1" applyBorder="1" applyAlignment="1">
      <alignment horizont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0" fillId="0" borderId="41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2" xfId="0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7" fillId="0" borderId="41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18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Medium9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U665"/>
  <sheetViews>
    <sheetView zoomScale="80" zoomScaleNormal="80" workbookViewId="0">
      <pane ySplit="7" topLeftCell="A25" activePane="bottomLeft" state="frozen"/>
      <selection pane="bottomLeft" activeCell="K11" sqref="K11"/>
    </sheetView>
  </sheetViews>
  <sheetFormatPr defaultRowHeight="15" x14ac:dyDescent="0.25"/>
  <cols>
    <col min="1" max="1" width="16.85546875" bestFit="1" customWidth="1"/>
    <col min="2" max="2" width="13.5703125" style="1" bestFit="1" customWidth="1"/>
    <col min="3" max="3" width="10.28515625" bestFit="1" customWidth="1"/>
    <col min="4" max="11" width="10.7109375" customWidth="1"/>
    <col min="12" max="12" width="16.42578125" style="102" customWidth="1"/>
    <col min="13" max="13" width="16.42578125" bestFit="1" customWidth="1"/>
    <col min="14" max="14" width="16.42578125" customWidth="1"/>
    <col min="15" max="15" width="15" bestFit="1" customWidth="1"/>
    <col min="16" max="17" width="13.5703125" bestFit="1" customWidth="1"/>
    <col min="18" max="18" width="15.28515625" bestFit="1" customWidth="1"/>
    <col min="19" max="19" width="13.5703125" bestFit="1" customWidth="1"/>
    <col min="20" max="20" width="16.7109375" bestFit="1" customWidth="1"/>
    <col min="21" max="21" width="12.140625" customWidth="1"/>
    <col min="22" max="22" width="21.28515625" style="102" customWidth="1"/>
    <col min="23" max="23" width="16.42578125" bestFit="1" customWidth="1"/>
    <col min="24" max="24" width="16.42578125" customWidth="1"/>
    <col min="25" max="25" width="15" bestFit="1" customWidth="1"/>
    <col min="26" max="27" width="13.5703125" bestFit="1" customWidth="1"/>
    <col min="28" max="28" width="15.28515625" bestFit="1" customWidth="1"/>
    <col min="29" max="29" width="13.5703125" bestFit="1" customWidth="1"/>
    <col min="30" max="30" width="15.28515625" bestFit="1" customWidth="1"/>
    <col min="31" max="31" width="12.7109375" bestFit="1" customWidth="1"/>
    <col min="32" max="32" width="13.5703125" bestFit="1" customWidth="1"/>
    <col min="34" max="34" width="9.140625" customWidth="1"/>
    <col min="39" max="42" width="5.7109375" customWidth="1"/>
    <col min="43" max="49" width="5.7109375" hidden="1" customWidth="1"/>
    <col min="51" max="51" width="10" bestFit="1" customWidth="1"/>
    <col min="63" max="63" width="10" bestFit="1" customWidth="1"/>
    <col min="66" max="77" width="0" hidden="1" customWidth="1"/>
    <col min="81" max="81" width="10.85546875" style="55" bestFit="1" customWidth="1"/>
  </cols>
  <sheetData>
    <row r="1" spans="1:99" x14ac:dyDescent="0.25">
      <c r="A1" s="68"/>
      <c r="B1" s="69"/>
      <c r="C1" s="70" t="s">
        <v>43</v>
      </c>
    </row>
    <row r="2" spans="1:99" x14ac:dyDescent="0.25">
      <c r="A2" s="71" t="s">
        <v>33</v>
      </c>
      <c r="B2" s="67" t="s">
        <v>41</v>
      </c>
      <c r="C2" s="72"/>
    </row>
    <row r="3" spans="1:99" ht="15.75" thickBot="1" x14ac:dyDescent="0.3">
      <c r="A3" s="73" t="s">
        <v>34</v>
      </c>
      <c r="B3" s="74" t="s">
        <v>42</v>
      </c>
      <c r="C3" s="87">
        <v>45392</v>
      </c>
    </row>
    <row r="4" spans="1:99" ht="33.75" x14ac:dyDescent="0.5">
      <c r="B4" s="86"/>
      <c r="C4" s="490" t="s">
        <v>51</v>
      </c>
      <c r="D4" s="491"/>
      <c r="E4" s="491"/>
      <c r="F4" s="491"/>
      <c r="G4" s="491"/>
      <c r="H4" s="491"/>
      <c r="I4" s="491"/>
      <c r="J4" s="491"/>
      <c r="K4" s="491"/>
      <c r="L4" s="490" t="s">
        <v>50</v>
      </c>
      <c r="M4" s="491"/>
      <c r="N4" s="491"/>
      <c r="O4" s="491"/>
      <c r="P4" s="491"/>
      <c r="Q4" s="491"/>
      <c r="R4" s="491"/>
      <c r="S4" s="491"/>
      <c r="T4" s="492"/>
      <c r="U4" s="4"/>
      <c r="V4" s="490" t="s">
        <v>72</v>
      </c>
      <c r="W4" s="491"/>
      <c r="X4" s="491"/>
      <c r="Y4" s="491"/>
      <c r="Z4" s="491"/>
      <c r="AA4" s="491"/>
      <c r="AB4" s="491"/>
      <c r="AC4" s="491"/>
      <c r="AD4" s="492"/>
      <c r="AF4" s="484" t="s">
        <v>32</v>
      </c>
      <c r="AG4" s="485"/>
      <c r="AH4" s="485"/>
      <c r="AI4" s="485"/>
      <c r="AJ4" s="485"/>
      <c r="AK4" s="485"/>
      <c r="AL4" s="485"/>
      <c r="AM4" s="485"/>
      <c r="AN4" s="485"/>
      <c r="AO4" s="485"/>
      <c r="AP4" s="485"/>
      <c r="AQ4" s="485"/>
      <c r="AR4" s="485"/>
      <c r="AS4" s="485"/>
      <c r="AT4" s="485"/>
      <c r="AU4" s="485"/>
      <c r="AV4" s="485"/>
      <c r="AW4" s="485"/>
      <c r="AX4" s="485"/>
      <c r="AY4" s="485"/>
      <c r="AZ4" s="485"/>
      <c r="BA4" s="485"/>
      <c r="BB4" s="485"/>
      <c r="BC4" s="485"/>
      <c r="BD4" s="485"/>
      <c r="BE4" s="485"/>
      <c r="BF4" s="485"/>
      <c r="BG4" s="485"/>
      <c r="BH4" s="485"/>
      <c r="BI4" s="485"/>
      <c r="BJ4" s="485"/>
      <c r="BK4" s="485"/>
      <c r="BL4" s="485"/>
      <c r="BM4" s="485"/>
      <c r="BN4" s="485"/>
      <c r="BO4" s="485"/>
      <c r="BP4" s="485"/>
      <c r="BQ4" s="485"/>
      <c r="BR4" s="485"/>
      <c r="BS4" s="485"/>
      <c r="BT4" s="485"/>
      <c r="BU4" s="485"/>
      <c r="BV4" s="485"/>
      <c r="BW4" s="485"/>
      <c r="BX4" s="485"/>
      <c r="BY4" s="485"/>
      <c r="BZ4" s="486"/>
      <c r="CA4" s="40"/>
      <c r="CB4" s="40"/>
    </row>
    <row r="5" spans="1:99" ht="15.75" thickBot="1" x14ac:dyDescent="0.3">
      <c r="B5" s="86"/>
      <c r="C5" s="481">
        <v>203</v>
      </c>
      <c r="D5" s="482"/>
      <c r="E5" s="482"/>
      <c r="F5" s="483"/>
      <c r="G5" s="478">
        <v>204</v>
      </c>
      <c r="H5" s="479"/>
      <c r="I5" s="479"/>
      <c r="J5" s="480"/>
      <c r="K5" s="61">
        <v>659</v>
      </c>
      <c r="L5" s="481">
        <v>203</v>
      </c>
      <c r="M5" s="482"/>
      <c r="N5" s="482"/>
      <c r="O5" s="483"/>
      <c r="P5" s="478">
        <v>204</v>
      </c>
      <c r="Q5" s="479"/>
      <c r="R5" s="479"/>
      <c r="S5" s="480"/>
      <c r="T5" s="88">
        <v>659</v>
      </c>
      <c r="U5" s="4"/>
      <c r="V5" s="481">
        <v>203</v>
      </c>
      <c r="W5" s="482"/>
      <c r="X5" s="482"/>
      <c r="Y5" s="483"/>
      <c r="Z5" s="478">
        <v>204</v>
      </c>
      <c r="AA5" s="479"/>
      <c r="AB5" s="479"/>
      <c r="AC5" s="480"/>
      <c r="AD5" s="88">
        <v>659</v>
      </c>
      <c r="AF5" s="53"/>
      <c r="AG5" s="487" t="s">
        <v>48</v>
      </c>
      <c r="AH5" s="488"/>
      <c r="AI5" s="488"/>
      <c r="AJ5" s="488"/>
      <c r="AK5" s="488"/>
      <c r="AL5" s="488"/>
      <c r="AM5" s="488"/>
      <c r="AN5" s="488"/>
      <c r="AO5" s="488"/>
      <c r="AP5" s="488"/>
      <c r="AQ5" s="488"/>
      <c r="AR5" s="488"/>
      <c r="AS5" s="488"/>
      <c r="AT5" s="488"/>
      <c r="AU5" s="488"/>
      <c r="AV5" s="488"/>
      <c r="AW5" s="488"/>
      <c r="AX5" s="488"/>
      <c r="AY5" s="488"/>
      <c r="AZ5" s="488"/>
      <c r="BA5" s="488"/>
      <c r="BB5" s="488"/>
      <c r="BC5" s="489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487">
        <v>204</v>
      </c>
      <c r="BO5" s="488"/>
      <c r="BP5" s="488"/>
      <c r="BQ5" s="488"/>
      <c r="BR5" s="488"/>
      <c r="BS5" s="488"/>
      <c r="BT5" s="488"/>
      <c r="BU5" s="488"/>
      <c r="BV5" s="488"/>
      <c r="BW5" s="488"/>
      <c r="BX5" s="489"/>
      <c r="BY5" s="77"/>
      <c r="BZ5" s="476">
        <v>659</v>
      </c>
      <c r="CA5" s="477"/>
      <c r="CB5" s="477"/>
    </row>
    <row r="6" spans="1:99" ht="128.25" customHeight="1" thickBot="1" x14ac:dyDescent="0.3">
      <c r="B6" s="86"/>
      <c r="C6" s="89" t="s">
        <v>0</v>
      </c>
      <c r="D6" s="90" t="s">
        <v>1</v>
      </c>
      <c r="E6" s="272" t="s">
        <v>100</v>
      </c>
      <c r="F6" s="96" t="s">
        <v>99</v>
      </c>
      <c r="G6" s="112" t="s">
        <v>36</v>
      </c>
      <c r="H6" s="113" t="s">
        <v>39</v>
      </c>
      <c r="I6" s="113" t="s">
        <v>98</v>
      </c>
      <c r="J6" s="114" t="s">
        <v>40</v>
      </c>
      <c r="K6" s="97" t="s">
        <v>2</v>
      </c>
      <c r="L6" s="103" t="s">
        <v>0</v>
      </c>
      <c r="M6" s="90" t="s">
        <v>1</v>
      </c>
      <c r="N6" s="272" t="s">
        <v>100</v>
      </c>
      <c r="O6" s="96" t="s">
        <v>99</v>
      </c>
      <c r="P6" s="112" t="s">
        <v>36</v>
      </c>
      <c r="Q6" s="113" t="s">
        <v>39</v>
      </c>
      <c r="R6" s="113" t="s">
        <v>98</v>
      </c>
      <c r="S6" s="114" t="s">
        <v>40</v>
      </c>
      <c r="T6" s="79" t="s">
        <v>108</v>
      </c>
      <c r="U6" s="108"/>
      <c r="V6" s="89" t="s">
        <v>0</v>
      </c>
      <c r="W6" s="90" t="s">
        <v>1</v>
      </c>
      <c r="X6" s="272" t="s">
        <v>100</v>
      </c>
      <c r="Y6" s="96" t="s">
        <v>99</v>
      </c>
      <c r="Z6" s="112" t="s">
        <v>36</v>
      </c>
      <c r="AA6" s="113" t="s">
        <v>39</v>
      </c>
      <c r="AB6" s="113" t="s">
        <v>98</v>
      </c>
      <c r="AC6" s="114" t="s">
        <v>40</v>
      </c>
      <c r="AD6" s="79" t="s">
        <v>108</v>
      </c>
      <c r="AF6" s="76"/>
      <c r="AG6" s="92" t="s">
        <v>0</v>
      </c>
      <c r="AH6" s="93" t="s">
        <v>0</v>
      </c>
      <c r="AI6" s="93" t="s">
        <v>0</v>
      </c>
      <c r="AJ6" s="93" t="s">
        <v>0</v>
      </c>
      <c r="AK6" s="93" t="s">
        <v>0</v>
      </c>
      <c r="AL6" s="93" t="s">
        <v>0</v>
      </c>
      <c r="AM6" s="93" t="s">
        <v>0</v>
      </c>
      <c r="AN6" s="93" t="s">
        <v>0</v>
      </c>
      <c r="AO6" s="93" t="s">
        <v>0</v>
      </c>
      <c r="AP6" s="93" t="s">
        <v>0</v>
      </c>
      <c r="AQ6" s="93" t="s">
        <v>0</v>
      </c>
      <c r="AR6" s="93" t="s">
        <v>0</v>
      </c>
      <c r="AS6" s="93" t="s">
        <v>0</v>
      </c>
      <c r="AT6" s="93" t="s">
        <v>0</v>
      </c>
      <c r="AU6" s="93" t="s">
        <v>0</v>
      </c>
      <c r="AV6" s="93" t="s">
        <v>0</v>
      </c>
      <c r="AW6" s="93" t="s">
        <v>0</v>
      </c>
      <c r="AX6" s="94" t="s">
        <v>1</v>
      </c>
      <c r="AY6" s="94" t="s">
        <v>1</v>
      </c>
      <c r="AZ6" s="95" t="s">
        <v>1</v>
      </c>
      <c r="BA6" s="94" t="s">
        <v>1</v>
      </c>
      <c r="BB6" s="94" t="s">
        <v>1</v>
      </c>
      <c r="BC6" s="95" t="s">
        <v>1</v>
      </c>
      <c r="BD6" s="95" t="s">
        <v>1</v>
      </c>
      <c r="BE6" s="95" t="s">
        <v>1</v>
      </c>
      <c r="BF6" s="95" t="s">
        <v>1</v>
      </c>
      <c r="BG6" s="95" t="s">
        <v>1</v>
      </c>
      <c r="BH6" s="272" t="s">
        <v>100</v>
      </c>
      <c r="BI6" s="272" t="s">
        <v>100</v>
      </c>
      <c r="BJ6" s="272" t="s">
        <v>100</v>
      </c>
      <c r="BK6" s="96" t="s">
        <v>99</v>
      </c>
      <c r="BL6" s="96" t="s">
        <v>99</v>
      </c>
      <c r="BM6" s="96" t="s">
        <v>99</v>
      </c>
      <c r="BN6" s="112" t="s">
        <v>36</v>
      </c>
      <c r="BO6" s="113" t="s">
        <v>36</v>
      </c>
      <c r="BP6" s="113" t="s">
        <v>36</v>
      </c>
      <c r="BQ6" s="113" t="s">
        <v>39</v>
      </c>
      <c r="BR6" s="113" t="s">
        <v>39</v>
      </c>
      <c r="BS6" s="113" t="s">
        <v>39</v>
      </c>
      <c r="BT6" s="113" t="s">
        <v>98</v>
      </c>
      <c r="BU6" s="113" t="s">
        <v>98</v>
      </c>
      <c r="BV6" s="113" t="s">
        <v>98</v>
      </c>
      <c r="BW6" s="114" t="s">
        <v>40</v>
      </c>
      <c r="BX6" s="114" t="s">
        <v>40</v>
      </c>
      <c r="BY6" s="114" t="s">
        <v>40</v>
      </c>
      <c r="BZ6" s="79" t="s">
        <v>108</v>
      </c>
      <c r="CA6" s="79" t="s">
        <v>108</v>
      </c>
      <c r="CB6" s="79" t="s">
        <v>108</v>
      </c>
    </row>
    <row r="7" spans="1:99" x14ac:dyDescent="0.25">
      <c r="B7" s="57"/>
      <c r="C7" s="75" t="s">
        <v>35</v>
      </c>
      <c r="D7" s="75" t="s">
        <v>35</v>
      </c>
      <c r="E7" s="75" t="s">
        <v>35</v>
      </c>
      <c r="F7" s="75" t="s">
        <v>35</v>
      </c>
      <c r="G7" s="75" t="s">
        <v>35</v>
      </c>
      <c r="H7" s="75" t="s">
        <v>35</v>
      </c>
      <c r="I7" s="75" t="s">
        <v>37</v>
      </c>
      <c r="J7" s="75" t="s">
        <v>37</v>
      </c>
      <c r="K7" s="98" t="s">
        <v>37</v>
      </c>
      <c r="L7" s="104" t="s">
        <v>3</v>
      </c>
      <c r="M7" s="75" t="s">
        <v>3</v>
      </c>
      <c r="N7" s="75" t="s">
        <v>3</v>
      </c>
      <c r="O7" s="75" t="s">
        <v>3</v>
      </c>
      <c r="P7" s="75" t="s">
        <v>3</v>
      </c>
      <c r="Q7" s="75" t="s">
        <v>3</v>
      </c>
      <c r="R7" s="75" t="s">
        <v>27</v>
      </c>
      <c r="S7" s="75" t="s">
        <v>27</v>
      </c>
      <c r="T7" s="75" t="s">
        <v>27</v>
      </c>
      <c r="U7" s="4"/>
      <c r="V7" s="135" t="s">
        <v>3</v>
      </c>
      <c r="W7" s="75" t="s">
        <v>3</v>
      </c>
      <c r="X7" s="75" t="s">
        <v>3</v>
      </c>
      <c r="Y7" s="75" t="s">
        <v>3</v>
      </c>
      <c r="Z7" s="75" t="s">
        <v>3</v>
      </c>
      <c r="AA7" s="75" t="s">
        <v>3</v>
      </c>
      <c r="AB7" s="75" t="s">
        <v>27</v>
      </c>
      <c r="AC7" s="75" t="s">
        <v>27</v>
      </c>
      <c r="AD7" s="136" t="s">
        <v>27</v>
      </c>
      <c r="AE7" s="55"/>
      <c r="AF7" s="49"/>
      <c r="AG7" s="78" t="s">
        <v>35</v>
      </c>
      <c r="AH7" s="78" t="s">
        <v>35</v>
      </c>
      <c r="AI7" s="78" t="s">
        <v>35</v>
      </c>
      <c r="AJ7" s="78" t="s">
        <v>35</v>
      </c>
      <c r="AK7" s="78" t="s">
        <v>35</v>
      </c>
      <c r="AL7" s="78" t="s">
        <v>35</v>
      </c>
      <c r="AM7" s="78" t="s">
        <v>35</v>
      </c>
      <c r="AN7" s="78" t="s">
        <v>35</v>
      </c>
      <c r="AO7" s="78" t="s">
        <v>35</v>
      </c>
      <c r="AP7" s="78" t="s">
        <v>35</v>
      </c>
      <c r="AQ7" s="78" t="s">
        <v>35</v>
      </c>
      <c r="AR7" s="78" t="s">
        <v>35</v>
      </c>
      <c r="AS7" s="78" t="s">
        <v>35</v>
      </c>
      <c r="AT7" s="78" t="s">
        <v>35</v>
      </c>
      <c r="AU7" s="78" t="s">
        <v>35</v>
      </c>
      <c r="AV7" s="78" t="s">
        <v>35</v>
      </c>
      <c r="AW7" s="78" t="s">
        <v>35</v>
      </c>
      <c r="AX7" s="78" t="s">
        <v>35</v>
      </c>
      <c r="AY7" s="78" t="s">
        <v>35</v>
      </c>
      <c r="AZ7" s="78" t="s">
        <v>35</v>
      </c>
      <c r="BA7" s="78" t="s">
        <v>35</v>
      </c>
      <c r="BB7" s="78" t="s">
        <v>35</v>
      </c>
      <c r="BC7" s="78" t="s">
        <v>35</v>
      </c>
      <c r="BD7" s="78" t="s">
        <v>35</v>
      </c>
      <c r="BE7" s="78" t="s">
        <v>35</v>
      </c>
      <c r="BF7" s="78" t="s">
        <v>35</v>
      </c>
      <c r="BG7" s="78" t="s">
        <v>35</v>
      </c>
      <c r="BH7" s="78" t="s">
        <v>35</v>
      </c>
      <c r="BI7" s="78" t="s">
        <v>35</v>
      </c>
      <c r="BJ7" s="78" t="s">
        <v>35</v>
      </c>
      <c r="BK7" s="78" t="s">
        <v>35</v>
      </c>
      <c r="BL7" s="78" t="s">
        <v>35</v>
      </c>
      <c r="BM7" s="78" t="s">
        <v>35</v>
      </c>
      <c r="BN7" s="78" t="s">
        <v>35</v>
      </c>
      <c r="BO7" s="78" t="s">
        <v>35</v>
      </c>
      <c r="BP7" s="78" t="s">
        <v>35</v>
      </c>
      <c r="BQ7" s="78" t="s">
        <v>35</v>
      </c>
      <c r="BR7" s="78" t="s">
        <v>35</v>
      </c>
      <c r="BS7" s="78" t="s">
        <v>35</v>
      </c>
      <c r="BT7" s="78" t="s">
        <v>37</v>
      </c>
      <c r="BU7" s="78" t="s">
        <v>37</v>
      </c>
      <c r="BV7" s="78" t="s">
        <v>37</v>
      </c>
      <c r="BW7" s="78" t="s">
        <v>37</v>
      </c>
      <c r="BX7" s="78" t="s">
        <v>37</v>
      </c>
      <c r="BY7" s="78" t="s">
        <v>37</v>
      </c>
      <c r="BZ7" s="49" t="s">
        <v>37</v>
      </c>
      <c r="CA7" s="49" t="s">
        <v>37</v>
      </c>
      <c r="CB7" s="49" t="s">
        <v>37</v>
      </c>
    </row>
    <row r="8" spans="1:99" x14ac:dyDescent="0.25">
      <c r="B8" s="57">
        <v>11430.42</v>
      </c>
      <c r="C8" s="58">
        <f>AG8+AH8+AI8+AJ8+AK8+AL8+AM8</f>
        <v>7.7295999999999996</v>
      </c>
      <c r="D8" s="58">
        <f t="shared" ref="D8" si="0">AX8+AY8+AZ8+BA8+BB8+BC8</f>
        <v>0</v>
      </c>
      <c r="E8" s="58"/>
      <c r="F8" s="58">
        <f t="shared" ref="F8" si="1">BK8+BL8+BM8</f>
        <v>0</v>
      </c>
      <c r="G8" s="58">
        <f t="shared" ref="G8" si="2">BN8+BO8+BP8</f>
        <v>0</v>
      </c>
      <c r="H8" s="58">
        <f t="shared" ref="H8" si="3">BQ8+BR8+BS8</f>
        <v>0</v>
      </c>
      <c r="I8" s="58">
        <f>BT8+BU8+BV8</f>
        <v>0</v>
      </c>
      <c r="J8" s="51">
        <f>BW8+BX8+BY8</f>
        <v>0</v>
      </c>
      <c r="K8" s="99">
        <f>BZ8+CA8+CB8</f>
        <v>10</v>
      </c>
      <c r="L8" s="105"/>
      <c r="M8" s="58"/>
      <c r="N8" s="58"/>
      <c r="O8" s="58"/>
      <c r="P8" s="58"/>
      <c r="Q8" s="58"/>
      <c r="R8" s="58"/>
      <c r="S8" s="58"/>
      <c r="T8" s="58"/>
      <c r="U8" s="4"/>
      <c r="V8" s="135"/>
      <c r="W8" s="75"/>
      <c r="X8" s="75"/>
      <c r="Y8" s="75"/>
      <c r="Z8" s="75"/>
      <c r="AA8" s="75"/>
      <c r="AB8" s="75"/>
      <c r="AC8" s="75"/>
      <c r="AD8" s="136"/>
      <c r="AE8" s="55"/>
      <c r="AF8" s="57">
        <f>B8</f>
        <v>11430.42</v>
      </c>
      <c r="AG8" s="78">
        <v>3.0324</v>
      </c>
      <c r="AH8" s="78">
        <v>4.6971999999999996</v>
      </c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49"/>
      <c r="CA8" s="49"/>
      <c r="CB8" s="49">
        <v>10</v>
      </c>
      <c r="CC8" s="231">
        <f>B8</f>
        <v>11430.42</v>
      </c>
    </row>
    <row r="9" spans="1:99" s="62" customFormat="1" x14ac:dyDescent="0.25">
      <c r="A9" s="63" t="s">
        <v>47</v>
      </c>
      <c r="B9" s="451">
        <v>11451.53</v>
      </c>
      <c r="C9" s="59">
        <f t="shared" ref="C9:C10" si="4">AG9+AH9+AI9+AJ9+AK9+AL9+AM9</f>
        <v>35.438299999999998</v>
      </c>
      <c r="D9" s="59">
        <f t="shared" ref="D9:D10" si="5">AX9+AY9+AZ9+BA9+BB9+BC9</f>
        <v>0</v>
      </c>
      <c r="E9" s="59"/>
      <c r="F9" s="59">
        <f t="shared" ref="F9:F10" si="6">BK9+BL9+BM9</f>
        <v>0</v>
      </c>
      <c r="G9" s="59">
        <f t="shared" ref="G9:G72" si="7">BN9+BO9+BP9</f>
        <v>0</v>
      </c>
      <c r="H9" s="59">
        <f t="shared" ref="H9:H72" si="8">BQ9+BR9+BS9</f>
        <v>0</v>
      </c>
      <c r="I9" s="59">
        <f t="shared" ref="I9:I72" si="9">BT9+BU9+BV9</f>
        <v>0</v>
      </c>
      <c r="J9" s="60">
        <f t="shared" ref="J9:J72" si="10">BW9+BX9+BY9</f>
        <v>0</v>
      </c>
      <c r="K9" s="100">
        <f t="shared" ref="K9:K72" si="11">BZ9+CA9+CB9</f>
        <v>49</v>
      </c>
      <c r="L9" s="106">
        <f t="shared" ref="L9" si="12">ROUNDUP(((C8+C9)*0.5)*(B9-B8)/27,0)</f>
        <v>17</v>
      </c>
      <c r="M9" s="59">
        <f t="shared" ref="M9" si="13">ROUNDUP(((D8+D9)*0.5)*(B9-B8)/27,0)</f>
        <v>0</v>
      </c>
      <c r="N9" s="59"/>
      <c r="O9" s="59">
        <f t="shared" ref="O9" si="14">ROUNDUP(((F8+F9)*0.5)*(B9-B8)/27,0)</f>
        <v>0</v>
      </c>
      <c r="P9" s="59">
        <f t="shared" ref="P9" si="15">ROUNDUP(((G9+G8)*0.5)*(B9-B8)/27,0)</f>
        <v>0</v>
      </c>
      <c r="Q9" s="59">
        <f t="shared" ref="Q9" si="16">ROUNDUP(((H9+H8)*0.5)*(B9-B8)/27,0)</f>
        <v>0</v>
      </c>
      <c r="R9" s="59">
        <f t="shared" ref="R9" si="17">ROUNDUP(((I9+I8)*0.5)*(B9-B8)/9,0)</f>
        <v>0</v>
      </c>
      <c r="S9" s="59">
        <f t="shared" ref="S9" si="18">ROUNDUP(((J9+J8)*0.5)*(B9-B8)/9,0)</f>
        <v>0</v>
      </c>
      <c r="T9" s="59">
        <f>ROUNDUP(((K9+K8)*0.5)*(B9-B8)/9,0)</f>
        <v>70</v>
      </c>
      <c r="U9" s="64"/>
      <c r="V9" s="139"/>
      <c r="W9" s="59"/>
      <c r="X9" s="59"/>
      <c r="Y9" s="59"/>
      <c r="Z9" s="59"/>
      <c r="AA9" s="59"/>
      <c r="AB9" s="59"/>
      <c r="AC9" s="59"/>
      <c r="AD9" s="140"/>
      <c r="AE9" s="63" t="s">
        <v>47</v>
      </c>
      <c r="AF9" s="451">
        <f t="shared" ref="AF9" si="19">B9</f>
        <v>11451.53</v>
      </c>
      <c r="AG9" s="59">
        <v>22.528400000000001</v>
      </c>
      <c r="AH9" s="59">
        <v>2.3534999999999999</v>
      </c>
      <c r="AI9" s="59">
        <v>5.4420000000000002</v>
      </c>
      <c r="AJ9" s="59">
        <v>5.1143999999999998</v>
      </c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>
        <v>28</v>
      </c>
      <c r="CB9" s="59">
        <v>21</v>
      </c>
      <c r="CC9" s="447">
        <f>B9</f>
        <v>11451.53</v>
      </c>
      <c r="CD9" s="62" t="s">
        <v>53</v>
      </c>
    </row>
    <row r="10" spans="1:99" s="62" customFormat="1" x14ac:dyDescent="0.25">
      <c r="A10" s="63" t="s">
        <v>46</v>
      </c>
      <c r="B10" s="452"/>
      <c r="C10" s="59">
        <f t="shared" si="4"/>
        <v>24.881900000000002</v>
      </c>
      <c r="D10" s="59">
        <f t="shared" si="5"/>
        <v>0</v>
      </c>
      <c r="E10" s="59"/>
      <c r="F10" s="59">
        <f t="shared" si="6"/>
        <v>0</v>
      </c>
      <c r="G10" s="59">
        <f t="shared" si="7"/>
        <v>0</v>
      </c>
      <c r="H10" s="59">
        <f t="shared" si="8"/>
        <v>0</v>
      </c>
      <c r="I10" s="59">
        <f t="shared" si="9"/>
        <v>0</v>
      </c>
      <c r="J10" s="60">
        <f t="shared" si="10"/>
        <v>0</v>
      </c>
      <c r="K10" s="100">
        <f t="shared" si="11"/>
        <v>28</v>
      </c>
      <c r="L10" s="106"/>
      <c r="M10" s="59"/>
      <c r="N10" s="59"/>
      <c r="O10" s="59"/>
      <c r="P10" s="59"/>
      <c r="Q10" s="59"/>
      <c r="R10" s="59"/>
      <c r="S10" s="59"/>
      <c r="T10" s="59"/>
      <c r="U10" s="64"/>
      <c r="V10" s="139"/>
      <c r="W10" s="59"/>
      <c r="X10" s="59"/>
      <c r="Y10" s="59"/>
      <c r="Z10" s="59"/>
      <c r="AA10" s="59"/>
      <c r="AB10" s="59"/>
      <c r="AC10" s="59"/>
      <c r="AD10" s="140"/>
      <c r="AE10" s="63" t="s">
        <v>46</v>
      </c>
      <c r="AF10" s="452"/>
      <c r="AG10" s="59">
        <v>22.528400000000001</v>
      </c>
      <c r="AH10" s="59">
        <v>2.3534999999999999</v>
      </c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>
        <v>28</v>
      </c>
      <c r="CB10" s="59"/>
      <c r="CC10" s="447"/>
      <c r="CD10" s="62" t="s">
        <v>54</v>
      </c>
    </row>
    <row r="11" spans="1:99" s="3" customFormat="1" ht="15.75" thickBot="1" x14ac:dyDescent="0.3">
      <c r="B11" s="158">
        <v>11457.6</v>
      </c>
      <c r="C11" s="144">
        <f>AG11+AH11+AI11+AJ11+AK11+AL11+AM11</f>
        <v>16.992199999999997</v>
      </c>
      <c r="D11" s="144">
        <f>AX11+AY11+AZ11+BA11+BB11+BC11</f>
        <v>0</v>
      </c>
      <c r="E11" s="144"/>
      <c r="F11" s="144">
        <f>BK11+BL11+BM11</f>
        <v>0</v>
      </c>
      <c r="G11" s="144">
        <f t="shared" si="7"/>
        <v>0</v>
      </c>
      <c r="H11" s="144">
        <f t="shared" si="8"/>
        <v>0</v>
      </c>
      <c r="I11" s="144">
        <f t="shared" si="9"/>
        <v>0</v>
      </c>
      <c r="J11" s="159">
        <f t="shared" si="10"/>
        <v>0</v>
      </c>
      <c r="K11" s="160">
        <f t="shared" si="11"/>
        <v>40.44</v>
      </c>
      <c r="L11" s="152">
        <f>ROUNDUP(((C10+C11)*0.5)*(B11-B9)/27,0)</f>
        <v>5</v>
      </c>
      <c r="M11" s="144">
        <f>ROUNDUP(((D10+D11)*0.5)*(B11-B9)/27,0)</f>
        <v>0</v>
      </c>
      <c r="N11" s="144"/>
      <c r="O11" s="144">
        <f>ROUNDUP(((F10+F11)*0.5)*(B11-B9)/27,0)</f>
        <v>0</v>
      </c>
      <c r="P11" s="144">
        <f>ROUNDUP(((G11+G10)*0.5)*(B11-B9)/27,0)</f>
        <v>0</v>
      </c>
      <c r="Q11" s="144">
        <f>ROUNDUP(((H11+H10)*0.5)*(B11-B9)/27,0)</f>
        <v>0</v>
      </c>
      <c r="R11" s="144">
        <f>ROUNDUP(((I11+I10)*0.5)*(B11-B9)/9,0)</f>
        <v>0</v>
      </c>
      <c r="S11" s="144">
        <f>ROUNDUP(((J11+J10)*0.5)*(B11-B9)/9,0)</f>
        <v>0</v>
      </c>
      <c r="T11" s="144">
        <f>ROUNDUP(((K11+K10)*0.5)*(B11-B9)/9,0)</f>
        <v>24</v>
      </c>
      <c r="U11" s="153"/>
      <c r="V11" s="150">
        <f>L8+L9+L10+L11</f>
        <v>22</v>
      </c>
      <c r="W11" s="150">
        <f t="shared" ref="W11" si="20">M8+M9+M10+M11</f>
        <v>0</v>
      </c>
      <c r="X11" s="150"/>
      <c r="Y11" s="150">
        <f t="shared" ref="Y11:AD11" si="21">O8+O9+O10+O11</f>
        <v>0</v>
      </c>
      <c r="Z11" s="150">
        <f t="shared" si="21"/>
        <v>0</v>
      </c>
      <c r="AA11" s="150">
        <f t="shared" si="21"/>
        <v>0</v>
      </c>
      <c r="AB11" s="150">
        <f t="shared" si="21"/>
        <v>0</v>
      </c>
      <c r="AC11" s="150">
        <f t="shared" si="21"/>
        <v>0</v>
      </c>
      <c r="AD11" s="150">
        <f t="shared" si="21"/>
        <v>94</v>
      </c>
      <c r="AE11" s="153"/>
      <c r="AF11" s="158">
        <f>B11</f>
        <v>11457.6</v>
      </c>
      <c r="AG11" s="144">
        <v>8.8021999999999991</v>
      </c>
      <c r="AH11" s="144">
        <v>8.19</v>
      </c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  <c r="BI11" s="144"/>
      <c r="BJ11" s="144"/>
      <c r="BK11" s="144"/>
      <c r="BL11" s="144"/>
      <c r="BM11" s="144"/>
      <c r="BN11" s="144"/>
      <c r="BO11" s="144"/>
      <c r="BP11" s="144"/>
      <c r="BQ11" s="144"/>
      <c r="BR11" s="144"/>
      <c r="BS11" s="144"/>
      <c r="BT11" s="144"/>
      <c r="BU11" s="144"/>
      <c r="BV11" s="144"/>
      <c r="BW11" s="144"/>
      <c r="BX11" s="144"/>
      <c r="BY11" s="144"/>
      <c r="BZ11" s="144"/>
      <c r="CA11" s="144"/>
      <c r="CB11" s="144">
        <v>40.44</v>
      </c>
      <c r="CC11" s="231">
        <f>B11</f>
        <v>11457.6</v>
      </c>
    </row>
    <row r="12" spans="1:99" x14ac:dyDescent="0.25">
      <c r="B12" s="155">
        <v>11500</v>
      </c>
      <c r="C12" s="147">
        <f>AG12+AH12+AI12+AJ12+AK12+AL12+AM12</f>
        <v>42.7423</v>
      </c>
      <c r="D12" s="147">
        <f t="shared" ref="D12:D88" si="22">AX12+AY12+AZ12+BA12+BB12+BC12</f>
        <v>0</v>
      </c>
      <c r="E12" s="147"/>
      <c r="F12" s="147">
        <f t="shared" ref="F12:F88" si="23">BK12+BL12+BM12</f>
        <v>0</v>
      </c>
      <c r="G12" s="147">
        <f t="shared" si="7"/>
        <v>0</v>
      </c>
      <c r="H12" s="147">
        <f t="shared" si="8"/>
        <v>0</v>
      </c>
      <c r="I12" s="147">
        <f t="shared" si="9"/>
        <v>0</v>
      </c>
      <c r="J12" s="156">
        <f t="shared" si="10"/>
        <v>0</v>
      </c>
      <c r="K12" s="157">
        <f t="shared" si="11"/>
        <v>40.5</v>
      </c>
      <c r="L12" s="151">
        <f>ROUNDUP(((C11+C12)*0.5)*(B12-B11)/27,0)</f>
        <v>47</v>
      </c>
      <c r="M12" s="147">
        <f>ROUNDUP(((D11+D12)*0.5)*(B12-B11)/27,0)</f>
        <v>0</v>
      </c>
      <c r="N12" s="147"/>
      <c r="O12" s="147">
        <f>ROUNDUP(((F11+F12)*0.5)*(B12-B11)/27,0)</f>
        <v>0</v>
      </c>
      <c r="P12" s="147">
        <f>ROUNDUP(((G12+G11)*0.5)*(B12-B11)/27,0)</f>
        <v>0</v>
      </c>
      <c r="Q12" s="147">
        <f>ROUNDUP(((H12+H11)*0.5)*(B12-B11)/27,0)</f>
        <v>0</v>
      </c>
      <c r="R12" s="147">
        <f>ROUNDUP(((I12+I11)*0.5)*(B12-B11)/9,0)</f>
        <v>0</v>
      </c>
      <c r="S12" s="147">
        <f>ROUNDUP(((J12+J11)*0.5)*(B12-B11)/9,0)</f>
        <v>0</v>
      </c>
      <c r="T12" s="147">
        <f>ROUNDUP(((K12+K11)*0.5)*(B12-B11)/9,0)</f>
        <v>191</v>
      </c>
      <c r="U12" s="56"/>
      <c r="V12" s="146"/>
      <c r="W12" s="147"/>
      <c r="X12" s="147"/>
      <c r="Y12" s="147"/>
      <c r="Z12" s="147"/>
      <c r="AA12" s="147"/>
      <c r="AB12" s="147"/>
      <c r="AC12" s="147"/>
      <c r="AD12" s="148"/>
      <c r="AE12" s="55"/>
      <c r="AF12" s="155">
        <f t="shared" ref="AF12:AF88" si="24">B12</f>
        <v>11500</v>
      </c>
      <c r="AG12" s="147">
        <v>42.7423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147"/>
      <c r="BK12" s="147"/>
      <c r="BL12" s="147"/>
      <c r="BM12" s="147"/>
      <c r="BN12" s="147"/>
      <c r="BO12" s="147"/>
      <c r="BP12" s="147"/>
      <c r="BQ12" s="147"/>
      <c r="BR12" s="147"/>
      <c r="BS12" s="147"/>
      <c r="BT12" s="147"/>
      <c r="BU12" s="147"/>
      <c r="BV12" s="147"/>
      <c r="BW12" s="147"/>
      <c r="BX12" s="147"/>
      <c r="BY12" s="147"/>
      <c r="BZ12" s="147"/>
      <c r="CA12" s="147"/>
      <c r="CB12" s="147">
        <v>40.5</v>
      </c>
      <c r="CC12" s="231">
        <f>B12</f>
        <v>11500</v>
      </c>
    </row>
    <row r="13" spans="1:99" s="66" customFormat="1" ht="15.75" thickBot="1" x14ac:dyDescent="0.3">
      <c r="A13" s="63" t="s">
        <v>47</v>
      </c>
      <c r="B13" s="451">
        <v>11515.7</v>
      </c>
      <c r="C13" s="59">
        <f>AG13+AH13+AI13+AJ13+AK13+AL13+AM13</f>
        <v>8.0668000000000006</v>
      </c>
      <c r="D13" s="59">
        <f t="shared" si="22"/>
        <v>0</v>
      </c>
      <c r="E13" s="59"/>
      <c r="F13" s="59">
        <f t="shared" si="23"/>
        <v>0</v>
      </c>
      <c r="G13" s="59">
        <f t="shared" si="7"/>
        <v>0</v>
      </c>
      <c r="H13" s="59">
        <f t="shared" si="8"/>
        <v>0</v>
      </c>
      <c r="I13" s="59">
        <f t="shared" si="9"/>
        <v>0</v>
      </c>
      <c r="J13" s="60">
        <f t="shared" si="10"/>
        <v>0</v>
      </c>
      <c r="K13" s="100">
        <f t="shared" si="11"/>
        <v>10</v>
      </c>
      <c r="L13" s="106">
        <f>ROUNDUP(((C12+C13)*0.5)*(B13-B12)/27,0)</f>
        <v>15</v>
      </c>
      <c r="M13" s="59">
        <f>ROUNDUP(((D12+D13)*0.5)*(B13-B12)/27,0)</f>
        <v>0</v>
      </c>
      <c r="N13" s="59"/>
      <c r="O13" s="59">
        <f t="shared" ref="O13:O89" si="25">ROUNDUP(((F12+F13)*0.5)*(B13-B12)/27,0)</f>
        <v>0</v>
      </c>
      <c r="P13" s="59">
        <f t="shared" ref="P13:P33" si="26">ROUNDUP(((G13+G12)*0.5)*(B13-B12)/27,0)</f>
        <v>0</v>
      </c>
      <c r="Q13" s="59">
        <f t="shared" ref="Q13:Q33" si="27">ROUNDUP(((H13+H12)*0.5)*(B13-B12)/27,0)</f>
        <v>0</v>
      </c>
      <c r="R13" s="59">
        <f t="shared" ref="R13:R33" si="28">ROUNDUP(((I13+I12)*0.5)*(B13-B12)/9,0)</f>
        <v>0</v>
      </c>
      <c r="S13" s="59">
        <f t="shared" ref="S13:S33" si="29">ROUNDUP(((J13+J12)*0.5)*(B13-B12)/9,0)</f>
        <v>0</v>
      </c>
      <c r="T13" s="59">
        <f>ROUNDUP(((K13+K12)*0.5)*(B13-B12)/9,0)</f>
        <v>45</v>
      </c>
      <c r="U13" s="64"/>
      <c r="V13" s="139"/>
      <c r="W13" s="59"/>
      <c r="X13" s="59"/>
      <c r="Y13" s="59"/>
      <c r="Z13" s="59"/>
      <c r="AA13" s="59"/>
      <c r="AB13" s="59"/>
      <c r="AC13" s="59"/>
      <c r="AD13" s="140"/>
      <c r="AE13" s="63" t="s">
        <v>47</v>
      </c>
      <c r="AF13" s="451">
        <f t="shared" si="24"/>
        <v>11515.7</v>
      </c>
      <c r="AG13" s="59">
        <v>0.60050000000000003</v>
      </c>
      <c r="AH13" s="59">
        <v>7.4663000000000004</v>
      </c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>
        <v>10</v>
      </c>
      <c r="CB13" s="59"/>
      <c r="CC13" s="447">
        <f>B13</f>
        <v>11515.7</v>
      </c>
      <c r="CD13" s="62" t="s">
        <v>53</v>
      </c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</row>
    <row r="14" spans="1:99" s="66" customFormat="1" ht="15.75" thickBot="1" x14ac:dyDescent="0.3">
      <c r="A14" s="63" t="s">
        <v>46</v>
      </c>
      <c r="B14" s="452"/>
      <c r="C14" s="59">
        <f t="shared" ref="C14" si="30">AG14+AH14+AI14+AJ14+AK14+AL14+AM14</f>
        <v>16.102699999999999</v>
      </c>
      <c r="D14" s="59">
        <f t="shared" ref="D14" si="31">AX14+AY14+AZ14+BA14+BB14+BC14</f>
        <v>6.1820000000000004</v>
      </c>
      <c r="E14" s="59"/>
      <c r="F14" s="59">
        <f t="shared" ref="F14" si="32">BK14+BL14+BM14</f>
        <v>0</v>
      </c>
      <c r="G14" s="59">
        <f t="shared" si="7"/>
        <v>0</v>
      </c>
      <c r="H14" s="59">
        <f t="shared" si="8"/>
        <v>0</v>
      </c>
      <c r="I14" s="59">
        <f t="shared" si="9"/>
        <v>0</v>
      </c>
      <c r="J14" s="60">
        <f t="shared" si="10"/>
        <v>0</v>
      </c>
      <c r="K14" s="100">
        <f t="shared" si="11"/>
        <v>23</v>
      </c>
      <c r="L14" s="106"/>
      <c r="M14" s="59"/>
      <c r="N14" s="59"/>
      <c r="O14" s="59"/>
      <c r="P14" s="59"/>
      <c r="Q14" s="59"/>
      <c r="R14" s="59"/>
      <c r="S14" s="59"/>
      <c r="T14" s="59"/>
      <c r="U14" s="64"/>
      <c r="V14" s="139"/>
      <c r="W14" s="59"/>
      <c r="X14" s="59"/>
      <c r="Y14" s="59"/>
      <c r="Z14" s="59"/>
      <c r="AA14" s="59"/>
      <c r="AB14" s="59"/>
      <c r="AC14" s="59"/>
      <c r="AD14" s="140"/>
      <c r="AE14" s="63" t="s">
        <v>46</v>
      </c>
      <c r="AF14" s="452"/>
      <c r="AG14" s="59">
        <v>0.60050000000000003</v>
      </c>
      <c r="AH14" s="59">
        <v>7.4663000000000004</v>
      </c>
      <c r="AI14" s="59">
        <v>8.0358999999999998</v>
      </c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>
        <v>6.1820000000000004</v>
      </c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>
        <v>10</v>
      </c>
      <c r="CB14" s="59">
        <v>13</v>
      </c>
      <c r="CC14" s="447"/>
      <c r="CD14" s="62" t="s">
        <v>54</v>
      </c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2"/>
    </row>
    <row r="15" spans="1:99" s="3" customFormat="1" ht="15.75" thickBot="1" x14ac:dyDescent="0.3">
      <c r="B15" s="158">
        <v>11550</v>
      </c>
      <c r="C15" s="144">
        <f t="shared" ref="C15:C22" si="33">AG15+AH15+AI15+AJ15+AK15+AL15+AM15</f>
        <v>10.166399999999999</v>
      </c>
      <c r="D15" s="144">
        <f t="shared" si="22"/>
        <v>7.5460000000000003</v>
      </c>
      <c r="E15" s="144"/>
      <c r="F15" s="144">
        <f t="shared" si="23"/>
        <v>0</v>
      </c>
      <c r="G15" s="144">
        <f t="shared" si="7"/>
        <v>0</v>
      </c>
      <c r="H15" s="144">
        <f t="shared" si="8"/>
        <v>0</v>
      </c>
      <c r="I15" s="144">
        <f t="shared" si="9"/>
        <v>0</v>
      </c>
      <c r="J15" s="159">
        <f t="shared" si="10"/>
        <v>0</v>
      </c>
      <c r="K15" s="160">
        <f t="shared" si="11"/>
        <v>24.79</v>
      </c>
      <c r="L15" s="152">
        <f>ROUNDUP(((C14+C15)*0.5)*(B15-B13)/27,0)</f>
        <v>17</v>
      </c>
      <c r="M15" s="144">
        <f>ROUNDUP(((D14+D15)*0.5)*(B15-B13)/27,0)</f>
        <v>9</v>
      </c>
      <c r="N15" s="144"/>
      <c r="O15" s="144">
        <f>ROUNDUP(((F14+F15)*0.5)*(B15-B13)/27,0)</f>
        <v>0</v>
      </c>
      <c r="P15" s="144">
        <f>ROUNDUP(((G15+G14)*0.5)*(B15-B13)/27,0)</f>
        <v>0</v>
      </c>
      <c r="Q15" s="144">
        <f>ROUNDUP(((H15+H14)*0.5)*(B15-B13)/27,0)</f>
        <v>0</v>
      </c>
      <c r="R15" s="144">
        <f>ROUNDUP(((I15+I14)*0.5)*(B15-B13)/9,0)</f>
        <v>0</v>
      </c>
      <c r="S15" s="144">
        <f>ROUNDUP(((J15+J14)*0.5)*(B15-B13)/9,0)</f>
        <v>0</v>
      </c>
      <c r="T15" s="144">
        <f>ROUNDUP(((K15+K14)*0.5)*(B15-B13)/9,0)</f>
        <v>92</v>
      </c>
      <c r="U15" s="154"/>
      <c r="V15" s="150">
        <f>L12+L13+L14+L15</f>
        <v>79</v>
      </c>
      <c r="W15" s="150">
        <f t="shared" ref="W15" si="34">M12+M13+M14+M15</f>
        <v>9</v>
      </c>
      <c r="X15" s="150"/>
      <c r="Y15" s="150">
        <f t="shared" ref="Y15" si="35">O12+O13+O14+O15</f>
        <v>0</v>
      </c>
      <c r="Z15" s="150">
        <f t="shared" ref="Z15" si="36">P12+P13+P14+P15</f>
        <v>0</v>
      </c>
      <c r="AA15" s="150">
        <f t="shared" ref="AA15" si="37">Q12+Q13+Q14+Q15</f>
        <v>0</v>
      </c>
      <c r="AB15" s="150">
        <f t="shared" ref="AB15" si="38">R12+R13+R14+R15</f>
        <v>0</v>
      </c>
      <c r="AC15" s="150">
        <f t="shared" ref="AC15" si="39">S12+S13+S14+S15</f>
        <v>0</v>
      </c>
      <c r="AD15" s="150">
        <f>T12+T13+T14+T15</f>
        <v>328</v>
      </c>
      <c r="AE15" s="153"/>
      <c r="AF15" s="158">
        <f t="shared" si="24"/>
        <v>11550</v>
      </c>
      <c r="AG15" s="144">
        <v>6.5964999999999998</v>
      </c>
      <c r="AH15" s="144">
        <v>3.5699000000000001</v>
      </c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>
        <v>7.5460000000000003</v>
      </c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4"/>
      <c r="BJ15" s="144"/>
      <c r="BK15" s="144"/>
      <c r="BL15" s="144"/>
      <c r="BM15" s="144"/>
      <c r="BN15" s="144"/>
      <c r="BO15" s="144"/>
      <c r="BP15" s="144"/>
      <c r="BQ15" s="144"/>
      <c r="BR15" s="144"/>
      <c r="BS15" s="144"/>
      <c r="BT15" s="144"/>
      <c r="BU15" s="144"/>
      <c r="BV15" s="144"/>
      <c r="BW15" s="144"/>
      <c r="BX15" s="144"/>
      <c r="BY15" s="144"/>
      <c r="BZ15" s="144"/>
      <c r="CA15" s="144"/>
      <c r="CB15" s="144">
        <v>24.79</v>
      </c>
      <c r="CC15" s="231">
        <f t="shared" ref="CC15:CC22" si="40">B15</f>
        <v>11550</v>
      </c>
    </row>
    <row r="16" spans="1:99" s="2" customFormat="1" x14ac:dyDescent="0.25">
      <c r="A16"/>
      <c r="B16" s="155">
        <v>11600</v>
      </c>
      <c r="C16" s="147">
        <f t="shared" si="33"/>
        <v>9.2866999999999997</v>
      </c>
      <c r="D16" s="147">
        <f t="shared" si="22"/>
        <v>7.5557999999999996</v>
      </c>
      <c r="E16" s="147"/>
      <c r="F16" s="147">
        <f t="shared" si="23"/>
        <v>0</v>
      </c>
      <c r="G16" s="147">
        <f t="shared" si="7"/>
        <v>0</v>
      </c>
      <c r="H16" s="147">
        <f t="shared" si="8"/>
        <v>0</v>
      </c>
      <c r="I16" s="147">
        <f t="shared" si="9"/>
        <v>0</v>
      </c>
      <c r="J16" s="156">
        <f t="shared" si="10"/>
        <v>0</v>
      </c>
      <c r="K16" s="157">
        <f t="shared" si="11"/>
        <v>23.67</v>
      </c>
      <c r="L16" s="151">
        <f t="shared" ref="L16:L17" si="41">ROUNDUP(((C15+C16)*0.5)*(B16-B15)/27,0)</f>
        <v>19</v>
      </c>
      <c r="M16" s="147">
        <f t="shared" ref="M16:M17" si="42">ROUNDUP(((D15+D16)*0.5)*(B16-B15)/27,0)</f>
        <v>14</v>
      </c>
      <c r="N16" s="147"/>
      <c r="O16" s="147">
        <f t="shared" ref="O16:O17" si="43">ROUNDUP(((F15+F16)*0.5)*(B16-B15)/27,0)</f>
        <v>0</v>
      </c>
      <c r="P16" s="147">
        <f t="shared" ref="P16:P17" si="44">ROUNDUP(((G16+G15)*0.5)*(B16-B15)/27,0)</f>
        <v>0</v>
      </c>
      <c r="Q16" s="147">
        <f t="shared" ref="Q16:Q17" si="45">ROUNDUP(((H16+H15)*0.5)*(B16-B15)/27,0)</f>
        <v>0</v>
      </c>
      <c r="R16" s="147">
        <f t="shared" ref="R16:R17" si="46">ROUNDUP(((I16+I15)*0.5)*(B16-B15)/9,0)</f>
        <v>0</v>
      </c>
      <c r="S16" s="147">
        <f t="shared" ref="S16:S17" si="47">ROUNDUP(((J16+J15)*0.5)*(B16-B15)/9,0)</f>
        <v>0</v>
      </c>
      <c r="T16" s="147">
        <f t="shared" ref="T16:T22" si="48">ROUNDUP(((K16+K15)*0.5)*(B16-B15)/9,0)</f>
        <v>135</v>
      </c>
      <c r="U16" s="56"/>
      <c r="V16" s="146"/>
      <c r="W16" s="147"/>
      <c r="X16" s="147"/>
      <c r="Y16" s="147"/>
      <c r="Z16" s="147"/>
      <c r="AA16" s="147"/>
      <c r="AB16" s="147"/>
      <c r="AC16" s="147"/>
      <c r="AD16" s="148"/>
      <c r="AE16" s="55"/>
      <c r="AF16" s="155">
        <f t="shared" si="24"/>
        <v>11600</v>
      </c>
      <c r="AG16" s="147">
        <v>8.5411999999999999</v>
      </c>
      <c r="AH16" s="147">
        <v>0.74550000000000005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>
        <v>7.5557999999999996</v>
      </c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  <c r="BI16" s="147"/>
      <c r="BJ16" s="147"/>
      <c r="BK16" s="147"/>
      <c r="BL16" s="147"/>
      <c r="BM16" s="147"/>
      <c r="BN16" s="147"/>
      <c r="BO16" s="147"/>
      <c r="BP16" s="147"/>
      <c r="BQ16" s="147"/>
      <c r="BR16" s="147"/>
      <c r="BS16" s="147"/>
      <c r="BT16" s="147"/>
      <c r="BU16" s="147"/>
      <c r="BV16" s="147"/>
      <c r="BW16" s="147"/>
      <c r="BX16" s="147"/>
      <c r="BY16" s="147"/>
      <c r="BZ16" s="147"/>
      <c r="CA16" s="147"/>
      <c r="CB16" s="147">
        <v>23.67</v>
      </c>
      <c r="CC16" s="231">
        <f t="shared" si="40"/>
        <v>11600</v>
      </c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 s="41"/>
    </row>
    <row r="17" spans="1:99" x14ac:dyDescent="0.25">
      <c r="B17" s="57">
        <v>11650</v>
      </c>
      <c r="C17" s="58">
        <f t="shared" si="33"/>
        <v>14.584999999999999</v>
      </c>
      <c r="D17" s="58">
        <f t="shared" si="22"/>
        <v>6.7828999999999997</v>
      </c>
      <c r="E17" s="58"/>
      <c r="F17" s="58">
        <f t="shared" si="23"/>
        <v>0</v>
      </c>
      <c r="G17" s="58">
        <f t="shared" si="7"/>
        <v>0</v>
      </c>
      <c r="H17" s="58">
        <f t="shared" si="8"/>
        <v>0</v>
      </c>
      <c r="I17" s="58">
        <f t="shared" si="9"/>
        <v>0</v>
      </c>
      <c r="J17" s="51">
        <f t="shared" si="10"/>
        <v>0</v>
      </c>
      <c r="K17" s="99">
        <f t="shared" si="11"/>
        <v>23.32</v>
      </c>
      <c r="L17" s="105">
        <f t="shared" si="41"/>
        <v>23</v>
      </c>
      <c r="M17" s="58">
        <f t="shared" si="42"/>
        <v>14</v>
      </c>
      <c r="N17" s="58"/>
      <c r="O17" s="58">
        <f t="shared" si="43"/>
        <v>0</v>
      </c>
      <c r="P17" s="58">
        <f t="shared" si="44"/>
        <v>0</v>
      </c>
      <c r="Q17" s="58">
        <f t="shared" si="45"/>
        <v>0</v>
      </c>
      <c r="R17" s="58">
        <f t="shared" si="46"/>
        <v>0</v>
      </c>
      <c r="S17" s="58">
        <f t="shared" si="47"/>
        <v>0</v>
      </c>
      <c r="T17" s="58">
        <f t="shared" si="48"/>
        <v>131</v>
      </c>
      <c r="U17" s="56"/>
      <c r="V17" s="137"/>
      <c r="W17" s="58"/>
      <c r="X17" s="58"/>
      <c r="Y17" s="58"/>
      <c r="Z17" s="58"/>
      <c r="AA17" s="58"/>
      <c r="AB17" s="58"/>
      <c r="AC17" s="58"/>
      <c r="AD17" s="138"/>
      <c r="AE17" s="55"/>
      <c r="AF17" s="57">
        <f t="shared" si="24"/>
        <v>11650</v>
      </c>
      <c r="AG17" s="58">
        <v>13.723599999999999</v>
      </c>
      <c r="AH17" s="58">
        <v>0.86140000000000005</v>
      </c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>
        <v>6.7828999999999997</v>
      </c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>
        <v>23.32</v>
      </c>
      <c r="CC17" s="231">
        <f t="shared" si="40"/>
        <v>11650</v>
      </c>
    </row>
    <row r="18" spans="1:99" s="3" customFormat="1" ht="15.75" thickBot="1" x14ac:dyDescent="0.3">
      <c r="B18" s="158">
        <v>11700</v>
      </c>
      <c r="C18" s="144">
        <f t="shared" si="33"/>
        <v>13.3276</v>
      </c>
      <c r="D18" s="144">
        <f t="shared" si="22"/>
        <v>9.392100000000001</v>
      </c>
      <c r="E18" s="144"/>
      <c r="F18" s="144">
        <f t="shared" si="23"/>
        <v>0</v>
      </c>
      <c r="G18" s="144">
        <f t="shared" si="7"/>
        <v>0</v>
      </c>
      <c r="H18" s="144">
        <f t="shared" si="8"/>
        <v>0</v>
      </c>
      <c r="I18" s="144">
        <f t="shared" si="9"/>
        <v>0</v>
      </c>
      <c r="J18" s="159">
        <f t="shared" si="10"/>
        <v>0</v>
      </c>
      <c r="K18" s="160">
        <f t="shared" si="11"/>
        <v>27.99</v>
      </c>
      <c r="L18" s="152">
        <f>ROUNDUP(((C17+C18)*0.5)*(B18-B17)/27,0)</f>
        <v>26</v>
      </c>
      <c r="M18" s="144">
        <f>ROUNDUP(((D17+D18)*0.5)*(B18-B17)/27,0)</f>
        <v>15</v>
      </c>
      <c r="N18" s="144"/>
      <c r="O18" s="144">
        <f t="shared" si="25"/>
        <v>0</v>
      </c>
      <c r="P18" s="144">
        <f t="shared" si="26"/>
        <v>0</v>
      </c>
      <c r="Q18" s="144">
        <f t="shared" si="27"/>
        <v>0</v>
      </c>
      <c r="R18" s="144">
        <f t="shared" si="28"/>
        <v>0</v>
      </c>
      <c r="S18" s="144">
        <f t="shared" si="29"/>
        <v>0</v>
      </c>
      <c r="T18" s="144">
        <f t="shared" si="48"/>
        <v>143</v>
      </c>
      <c r="U18" s="154"/>
      <c r="V18" s="150">
        <f>L16+L17+L18</f>
        <v>68</v>
      </c>
      <c r="W18" s="150">
        <f t="shared" ref="W18" si="49">M16+M17+M18</f>
        <v>43</v>
      </c>
      <c r="X18" s="150"/>
      <c r="Y18" s="150">
        <f t="shared" ref="Y18:AD18" si="50">O16+O17+O18</f>
        <v>0</v>
      </c>
      <c r="Z18" s="150">
        <f t="shared" si="50"/>
        <v>0</v>
      </c>
      <c r="AA18" s="150">
        <f t="shared" si="50"/>
        <v>0</v>
      </c>
      <c r="AB18" s="150">
        <f t="shared" si="50"/>
        <v>0</v>
      </c>
      <c r="AC18" s="150">
        <f t="shared" si="50"/>
        <v>0</v>
      </c>
      <c r="AD18" s="150">
        <f t="shared" si="50"/>
        <v>409</v>
      </c>
      <c r="AE18" s="153"/>
      <c r="AF18" s="158">
        <f t="shared" si="24"/>
        <v>11700</v>
      </c>
      <c r="AG18" s="144">
        <v>13.3276</v>
      </c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>
        <v>2.1979000000000002</v>
      </c>
      <c r="AY18" s="144">
        <v>7.1942000000000004</v>
      </c>
      <c r="AZ18" s="144"/>
      <c r="BA18" s="144"/>
      <c r="BB18" s="144"/>
      <c r="BC18" s="144"/>
      <c r="BD18" s="144"/>
      <c r="BE18" s="144"/>
      <c r="BF18" s="144"/>
      <c r="BG18" s="144"/>
      <c r="BH18" s="144"/>
      <c r="BI18" s="144"/>
      <c r="BJ18" s="144"/>
      <c r="BK18" s="144"/>
      <c r="BL18" s="144"/>
      <c r="BM18" s="144"/>
      <c r="BN18" s="144"/>
      <c r="BO18" s="144"/>
      <c r="BP18" s="144"/>
      <c r="BQ18" s="144"/>
      <c r="BR18" s="144"/>
      <c r="BS18" s="144"/>
      <c r="BT18" s="144"/>
      <c r="BU18" s="144"/>
      <c r="BV18" s="144"/>
      <c r="BW18" s="144"/>
      <c r="BX18" s="144"/>
      <c r="BY18" s="144"/>
      <c r="BZ18" s="144"/>
      <c r="CA18" s="144"/>
      <c r="CB18" s="144">
        <v>27.99</v>
      </c>
      <c r="CC18" s="231">
        <f t="shared" si="40"/>
        <v>11700</v>
      </c>
    </row>
    <row r="19" spans="1:99" s="2" customFormat="1" x14ac:dyDescent="0.25">
      <c r="A19"/>
      <c r="B19" s="155">
        <v>11750</v>
      </c>
      <c r="C19" s="147">
        <f t="shared" si="33"/>
        <v>16.5182</v>
      </c>
      <c r="D19" s="147">
        <f t="shared" si="22"/>
        <v>7.8209999999999997</v>
      </c>
      <c r="E19" s="147"/>
      <c r="F19" s="147">
        <f t="shared" si="23"/>
        <v>0</v>
      </c>
      <c r="G19" s="147">
        <f t="shared" si="7"/>
        <v>0</v>
      </c>
      <c r="H19" s="147">
        <f t="shared" si="8"/>
        <v>0</v>
      </c>
      <c r="I19" s="147">
        <f t="shared" si="9"/>
        <v>0</v>
      </c>
      <c r="J19" s="156">
        <f t="shared" si="10"/>
        <v>0</v>
      </c>
      <c r="K19" s="157">
        <f t="shared" si="11"/>
        <v>36.71</v>
      </c>
      <c r="L19" s="151">
        <f>ROUNDUP(((C18+C19)*0.5)*(B19-B18)/27,0)</f>
        <v>28</v>
      </c>
      <c r="M19" s="147">
        <f t="shared" ref="M19:M20" si="51">ROUNDUP(((D18+D19)*0.5)*(B19-B18)/27,0)</f>
        <v>16</v>
      </c>
      <c r="N19" s="147"/>
      <c r="O19" s="147">
        <f t="shared" ref="O19:O20" si="52">ROUNDUP(((F18+F19)*0.5)*(B19-B18)/27,0)</f>
        <v>0</v>
      </c>
      <c r="P19" s="147">
        <f t="shared" ref="P19:P20" si="53">ROUNDUP(((G19+G18)*0.5)*(B19-B18)/27,0)</f>
        <v>0</v>
      </c>
      <c r="Q19" s="147">
        <f t="shared" ref="Q19:Q20" si="54">ROUNDUP(((H19+H18)*0.5)*(B19-B18)/27,0)</f>
        <v>0</v>
      </c>
      <c r="R19" s="147">
        <f t="shared" ref="R19:R20" si="55">ROUNDUP(((I19+I18)*0.5)*(B19-B18)/9,0)</f>
        <v>0</v>
      </c>
      <c r="S19" s="147">
        <f t="shared" ref="S19:S20" si="56">ROUNDUP(((J19+J18)*0.5)*(B19-B18)/9,0)</f>
        <v>0</v>
      </c>
      <c r="T19" s="147">
        <f t="shared" si="48"/>
        <v>180</v>
      </c>
      <c r="U19" s="56"/>
      <c r="V19" s="146"/>
      <c r="W19" s="147"/>
      <c r="X19" s="147"/>
      <c r="Y19" s="147"/>
      <c r="Z19" s="147"/>
      <c r="AA19" s="147"/>
      <c r="AB19" s="147"/>
      <c r="AC19" s="147"/>
      <c r="AD19" s="148"/>
      <c r="AE19" s="55"/>
      <c r="AF19" s="155">
        <f t="shared" si="24"/>
        <v>11750</v>
      </c>
      <c r="AG19" s="147">
        <v>8.7760999999999996</v>
      </c>
      <c r="AH19" s="147">
        <v>7.7420999999999998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>
        <v>7.3499999999999996E-2</v>
      </c>
      <c r="AY19" s="147">
        <v>7.7474999999999996</v>
      </c>
      <c r="AZ19" s="147"/>
      <c r="BA19" s="147"/>
      <c r="BB19" s="147"/>
      <c r="BC19" s="147"/>
      <c r="BD19" s="147"/>
      <c r="BE19" s="147"/>
      <c r="BF19" s="147"/>
      <c r="BG19" s="147"/>
      <c r="BH19" s="147"/>
      <c r="BI19" s="147"/>
      <c r="BJ19" s="147"/>
      <c r="BK19" s="147"/>
      <c r="BL19" s="147"/>
      <c r="BM19" s="147"/>
      <c r="BN19" s="147"/>
      <c r="BO19" s="147"/>
      <c r="BP19" s="147"/>
      <c r="BQ19" s="147"/>
      <c r="BR19" s="147"/>
      <c r="BS19" s="147"/>
      <c r="BT19" s="147"/>
      <c r="BU19" s="147"/>
      <c r="BV19" s="147"/>
      <c r="BW19" s="147"/>
      <c r="BX19" s="147"/>
      <c r="BY19" s="147"/>
      <c r="BZ19" s="147"/>
      <c r="CA19" s="147"/>
      <c r="CB19" s="147">
        <v>36.71</v>
      </c>
      <c r="CC19" s="231">
        <f t="shared" si="40"/>
        <v>11750</v>
      </c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 s="41"/>
    </row>
    <row r="20" spans="1:99" s="2" customFormat="1" x14ac:dyDescent="0.25">
      <c r="A20"/>
      <c r="B20" s="57">
        <v>11800</v>
      </c>
      <c r="C20" s="58">
        <f t="shared" si="33"/>
        <v>23.057499999999997</v>
      </c>
      <c r="D20" s="58">
        <f t="shared" si="22"/>
        <v>16.5305</v>
      </c>
      <c r="E20" s="58"/>
      <c r="F20" s="58">
        <f t="shared" si="23"/>
        <v>0</v>
      </c>
      <c r="G20" s="58">
        <f t="shared" si="7"/>
        <v>0</v>
      </c>
      <c r="H20" s="58">
        <f t="shared" si="8"/>
        <v>0</v>
      </c>
      <c r="I20" s="58">
        <f t="shared" si="9"/>
        <v>0</v>
      </c>
      <c r="J20" s="51">
        <f t="shared" si="10"/>
        <v>0</v>
      </c>
      <c r="K20" s="99">
        <f t="shared" si="11"/>
        <v>44.48</v>
      </c>
      <c r="L20" s="105">
        <f>ROUNDUP(((C19+C20)*0.5)*(B20-B19)/27,0)</f>
        <v>37</v>
      </c>
      <c r="M20" s="58">
        <f t="shared" si="51"/>
        <v>23</v>
      </c>
      <c r="N20" s="58"/>
      <c r="O20" s="58">
        <f t="shared" si="52"/>
        <v>0</v>
      </c>
      <c r="P20" s="58">
        <f t="shared" si="53"/>
        <v>0</v>
      </c>
      <c r="Q20" s="58">
        <f t="shared" si="54"/>
        <v>0</v>
      </c>
      <c r="R20" s="58">
        <f t="shared" si="55"/>
        <v>0</v>
      </c>
      <c r="S20" s="58">
        <f t="shared" si="56"/>
        <v>0</v>
      </c>
      <c r="T20" s="58">
        <f t="shared" si="48"/>
        <v>226</v>
      </c>
      <c r="U20" s="56"/>
      <c r="V20" s="137"/>
      <c r="W20" s="58"/>
      <c r="X20" s="58"/>
      <c r="Y20" s="58"/>
      <c r="Z20" s="58"/>
      <c r="AA20" s="58"/>
      <c r="AB20" s="58"/>
      <c r="AC20" s="58"/>
      <c r="AD20" s="138"/>
      <c r="AE20" s="55"/>
      <c r="AF20" s="57">
        <f t="shared" si="24"/>
        <v>11800</v>
      </c>
      <c r="AG20" s="58">
        <v>9.5146999999999995</v>
      </c>
      <c r="AH20" s="58">
        <v>13.5428</v>
      </c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>
        <v>9.5413999999999994</v>
      </c>
      <c r="AY20" s="58">
        <v>6.9890999999999996</v>
      </c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>
        <v>44.48</v>
      </c>
      <c r="CC20" s="231">
        <f t="shared" si="40"/>
        <v>11800</v>
      </c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 s="41"/>
    </row>
    <row r="21" spans="1:99" s="3" customFormat="1" ht="15.75" thickBot="1" x14ac:dyDescent="0.3">
      <c r="B21" s="158">
        <v>11850</v>
      </c>
      <c r="C21" s="144">
        <f t="shared" si="33"/>
        <v>27.882100000000001</v>
      </c>
      <c r="D21" s="144">
        <f t="shared" si="22"/>
        <v>13.7867</v>
      </c>
      <c r="E21" s="144"/>
      <c r="F21" s="144">
        <f t="shared" si="23"/>
        <v>0</v>
      </c>
      <c r="G21" s="144">
        <f t="shared" si="7"/>
        <v>0</v>
      </c>
      <c r="H21" s="144">
        <f t="shared" si="8"/>
        <v>0</v>
      </c>
      <c r="I21" s="144">
        <f t="shared" si="9"/>
        <v>0</v>
      </c>
      <c r="J21" s="159">
        <f t="shared" si="10"/>
        <v>0</v>
      </c>
      <c r="K21" s="160">
        <f t="shared" si="11"/>
        <v>46.15</v>
      </c>
      <c r="L21" s="152">
        <f>ROUNDUP(((C20+C21)*0.5)*(B21-B20)/27,0)</f>
        <v>48</v>
      </c>
      <c r="M21" s="144">
        <f>ROUNDUP(((D20+D21)*0.5)*(B21-B20)/27,0)</f>
        <v>29</v>
      </c>
      <c r="N21" s="144"/>
      <c r="O21" s="144">
        <f t="shared" si="25"/>
        <v>0</v>
      </c>
      <c r="P21" s="144">
        <f t="shared" si="26"/>
        <v>0</v>
      </c>
      <c r="Q21" s="144">
        <f t="shared" si="27"/>
        <v>0</v>
      </c>
      <c r="R21" s="144">
        <f t="shared" si="28"/>
        <v>0</v>
      </c>
      <c r="S21" s="144">
        <f t="shared" si="29"/>
        <v>0</v>
      </c>
      <c r="T21" s="144">
        <f t="shared" si="48"/>
        <v>252</v>
      </c>
      <c r="U21" s="154"/>
      <c r="V21" s="150">
        <f>L19+L20+L21</f>
        <v>113</v>
      </c>
      <c r="W21" s="150">
        <f t="shared" ref="W21" si="57">M19+M20+M21</f>
        <v>68</v>
      </c>
      <c r="X21" s="150"/>
      <c r="Y21" s="150">
        <f t="shared" ref="Y21" si="58">O19+O20+O21</f>
        <v>0</v>
      </c>
      <c r="Z21" s="150">
        <f t="shared" ref="Z21" si="59">P19+P20+P21</f>
        <v>0</v>
      </c>
      <c r="AA21" s="150">
        <f t="shared" ref="AA21" si="60">Q19+Q20+Q21</f>
        <v>0</v>
      </c>
      <c r="AB21" s="150">
        <f t="shared" ref="AB21" si="61">R19+R20+R21</f>
        <v>0</v>
      </c>
      <c r="AC21" s="150">
        <f t="shared" ref="AC21" si="62">S19+S20+S21</f>
        <v>0</v>
      </c>
      <c r="AD21" s="150">
        <f t="shared" ref="AD21" si="63">T19+T20+T21</f>
        <v>658</v>
      </c>
      <c r="AE21" s="153"/>
      <c r="AF21" s="158">
        <f t="shared" si="24"/>
        <v>11850</v>
      </c>
      <c r="AG21" s="144">
        <v>12.143599999999999</v>
      </c>
      <c r="AH21" s="144">
        <v>15.7385</v>
      </c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>
        <v>13.7867</v>
      </c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4"/>
      <c r="BJ21" s="144"/>
      <c r="BK21" s="144"/>
      <c r="BL21" s="144"/>
      <c r="BM21" s="144"/>
      <c r="BN21" s="144"/>
      <c r="BO21" s="144"/>
      <c r="BP21" s="144"/>
      <c r="BQ21" s="144"/>
      <c r="BR21" s="144"/>
      <c r="BS21" s="144"/>
      <c r="BT21" s="144"/>
      <c r="BU21" s="144"/>
      <c r="BV21" s="144"/>
      <c r="BW21" s="144"/>
      <c r="BX21" s="144"/>
      <c r="BY21" s="144"/>
      <c r="BZ21" s="144"/>
      <c r="CA21" s="144"/>
      <c r="CB21" s="144">
        <v>46.15</v>
      </c>
      <c r="CC21" s="231">
        <f t="shared" si="40"/>
        <v>11850</v>
      </c>
    </row>
    <row r="22" spans="1:99" s="66" customFormat="1" ht="15.75" thickBot="1" x14ac:dyDescent="0.3">
      <c r="A22" s="63" t="s">
        <v>47</v>
      </c>
      <c r="B22" s="451">
        <v>11899.14</v>
      </c>
      <c r="C22" s="161">
        <f t="shared" si="33"/>
        <v>31.499700000000001</v>
      </c>
      <c r="D22" s="161">
        <f t="shared" si="22"/>
        <v>16.474399999999999</v>
      </c>
      <c r="E22" s="161"/>
      <c r="F22" s="161">
        <f t="shared" si="23"/>
        <v>0</v>
      </c>
      <c r="G22" s="161">
        <f t="shared" si="7"/>
        <v>0</v>
      </c>
      <c r="H22" s="161">
        <f t="shared" si="8"/>
        <v>0</v>
      </c>
      <c r="I22" s="161">
        <f t="shared" si="9"/>
        <v>0</v>
      </c>
      <c r="J22" s="162">
        <f t="shared" si="10"/>
        <v>0</v>
      </c>
      <c r="K22" s="163">
        <f t="shared" si="11"/>
        <v>40</v>
      </c>
      <c r="L22" s="164">
        <f t="shared" ref="L22" si="64">ROUNDUP(((C21+C22)*0.5)*(B22-B21)/27,0)</f>
        <v>55</v>
      </c>
      <c r="M22" s="161">
        <f t="shared" ref="M22" si="65">ROUNDUP(((D21+D22)*0.5)*(B22-B21)/27,0)</f>
        <v>28</v>
      </c>
      <c r="N22" s="161"/>
      <c r="O22" s="161">
        <f t="shared" ref="O22" si="66">ROUNDUP(((F21+F22)*0.5)*(B22-B21)/27,0)</f>
        <v>0</v>
      </c>
      <c r="P22" s="161">
        <f t="shared" ref="P22" si="67">ROUNDUP(((G22+G21)*0.5)*(B22-B21)/27,0)</f>
        <v>0</v>
      </c>
      <c r="Q22" s="161">
        <f t="shared" ref="Q22" si="68">ROUNDUP(((H22+H21)*0.5)*(B22-B21)/27,0)</f>
        <v>0</v>
      </c>
      <c r="R22" s="161">
        <f t="shared" ref="R22" si="69">ROUNDUP(((I22+I21)*0.5)*(B22-B21)/9,0)</f>
        <v>0</v>
      </c>
      <c r="S22" s="161">
        <f t="shared" ref="S22" si="70">ROUNDUP(((J22+J21)*0.5)*(B22-B21)/9,0)</f>
        <v>0</v>
      </c>
      <c r="T22" s="59">
        <f t="shared" si="48"/>
        <v>236</v>
      </c>
      <c r="U22" s="64"/>
      <c r="V22" s="165"/>
      <c r="W22" s="161"/>
      <c r="X22" s="161"/>
      <c r="Y22" s="161"/>
      <c r="Z22" s="161"/>
      <c r="AA22" s="161"/>
      <c r="AB22" s="161"/>
      <c r="AC22" s="161"/>
      <c r="AD22" s="166"/>
      <c r="AE22" s="63" t="s">
        <v>47</v>
      </c>
      <c r="AF22" s="451">
        <f t="shared" si="24"/>
        <v>11899.14</v>
      </c>
      <c r="AG22" s="161"/>
      <c r="AH22" s="161">
        <v>16.736000000000001</v>
      </c>
      <c r="AI22" s="161">
        <v>14.7637</v>
      </c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>
        <v>16.474399999999999</v>
      </c>
      <c r="AZ22" s="161"/>
      <c r="BA22" s="161"/>
      <c r="BB22" s="161"/>
      <c r="BC22" s="161"/>
      <c r="BD22" s="161"/>
      <c r="BE22" s="161"/>
      <c r="BF22" s="161"/>
      <c r="BG22" s="161"/>
      <c r="BH22" s="161"/>
      <c r="BI22" s="161"/>
      <c r="BJ22" s="161"/>
      <c r="BK22" s="161"/>
      <c r="BL22" s="161"/>
      <c r="BM22" s="161"/>
      <c r="BN22" s="161"/>
      <c r="BO22" s="161"/>
      <c r="BP22" s="161"/>
      <c r="BQ22" s="161"/>
      <c r="BR22" s="161"/>
      <c r="BS22" s="161"/>
      <c r="BT22" s="161"/>
      <c r="BU22" s="161"/>
      <c r="BV22" s="161"/>
      <c r="BW22" s="161"/>
      <c r="BX22" s="161"/>
      <c r="BY22" s="161"/>
      <c r="BZ22" s="161"/>
      <c r="CA22" s="161"/>
      <c r="CB22" s="161">
        <v>40</v>
      </c>
      <c r="CC22" s="447">
        <f t="shared" si="40"/>
        <v>11899.14</v>
      </c>
      <c r="CD22" s="62" t="s">
        <v>53</v>
      </c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</row>
    <row r="23" spans="1:99" s="66" customFormat="1" ht="15.75" thickBot="1" x14ac:dyDescent="0.3">
      <c r="A23" s="63" t="s">
        <v>46</v>
      </c>
      <c r="B23" s="452"/>
      <c r="C23" s="59">
        <f t="shared" ref="C23" si="71">AG23+AH23+AI23+AJ23+AK23+AL23+AM23</f>
        <v>47.115200000000002</v>
      </c>
      <c r="D23" s="59">
        <f t="shared" ref="D23" si="72">AX23+AY23+AZ23+BA23+BB23+BC23</f>
        <v>17.0306</v>
      </c>
      <c r="E23" s="59"/>
      <c r="F23" s="59">
        <f t="shared" ref="F23" si="73">BK23+BL23+BM23</f>
        <v>0</v>
      </c>
      <c r="G23" s="59">
        <f t="shared" si="7"/>
        <v>0</v>
      </c>
      <c r="H23" s="59">
        <f t="shared" si="8"/>
        <v>0</v>
      </c>
      <c r="I23" s="59">
        <f t="shared" si="9"/>
        <v>0</v>
      </c>
      <c r="J23" s="60">
        <f t="shared" si="10"/>
        <v>0</v>
      </c>
      <c r="K23" s="100">
        <f t="shared" si="11"/>
        <v>49</v>
      </c>
      <c r="L23" s="106"/>
      <c r="M23" s="59"/>
      <c r="N23" s="59"/>
      <c r="O23" s="59"/>
      <c r="P23" s="59"/>
      <c r="Q23" s="59"/>
      <c r="R23" s="59"/>
      <c r="S23" s="59"/>
      <c r="T23" s="59"/>
      <c r="U23" s="64"/>
      <c r="V23" s="139"/>
      <c r="W23" s="59"/>
      <c r="X23" s="59"/>
      <c r="Y23" s="59"/>
      <c r="Z23" s="59"/>
      <c r="AA23" s="59"/>
      <c r="AB23" s="59"/>
      <c r="AC23" s="59"/>
      <c r="AD23" s="140"/>
      <c r="AE23" s="63" t="s">
        <v>46</v>
      </c>
      <c r="AF23" s="452"/>
      <c r="AG23" s="59">
        <v>15.615500000000001</v>
      </c>
      <c r="AH23" s="161">
        <v>16.736000000000001</v>
      </c>
      <c r="AI23" s="161">
        <v>14.7637</v>
      </c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>
        <v>0.55620000000000003</v>
      </c>
      <c r="AY23" s="59">
        <v>16.474399999999999</v>
      </c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161">
        <v>9</v>
      </c>
      <c r="CB23" s="161">
        <v>40</v>
      </c>
      <c r="CC23" s="447"/>
      <c r="CD23" s="62" t="s">
        <v>54</v>
      </c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</row>
    <row r="24" spans="1:99" s="3" customFormat="1" ht="15.75" thickBot="1" x14ac:dyDescent="0.3">
      <c r="A24"/>
      <c r="B24" s="57">
        <v>11900</v>
      </c>
      <c r="C24" s="58">
        <f t="shared" ref="C24:C38" si="74">AG24+AH24+AI24+AJ24+AK24+AL24+AM24</f>
        <v>51.323799999999999</v>
      </c>
      <c r="D24" s="58">
        <f t="shared" si="22"/>
        <v>16.661000000000001</v>
      </c>
      <c r="E24" s="58"/>
      <c r="F24" s="58">
        <f t="shared" si="23"/>
        <v>0</v>
      </c>
      <c r="G24" s="58">
        <f t="shared" si="7"/>
        <v>0</v>
      </c>
      <c r="H24" s="58">
        <f t="shared" si="8"/>
        <v>0</v>
      </c>
      <c r="I24" s="58">
        <f t="shared" si="9"/>
        <v>0</v>
      </c>
      <c r="J24" s="51">
        <f t="shared" si="10"/>
        <v>0</v>
      </c>
      <c r="K24" s="99">
        <f t="shared" si="11"/>
        <v>64.319999999999993</v>
      </c>
      <c r="L24" s="105">
        <f>ROUNDUP(((C23+C24)*0.5)*(B24-B22)/27,0)</f>
        <v>2</v>
      </c>
      <c r="M24" s="58">
        <f>ROUNDUP(((D23+D24)*0.5)*(B24-B22)/27,0)</f>
        <v>1</v>
      </c>
      <c r="N24" s="58"/>
      <c r="O24" s="58">
        <f>ROUNDUP(((F23+F24)*0.5)*(B24-B22)/27,0)</f>
        <v>0</v>
      </c>
      <c r="P24" s="58">
        <f>ROUNDUP(((G24+G23)*0.5)*(B24-B22)/27,0)</f>
        <v>0</v>
      </c>
      <c r="Q24" s="58">
        <f>ROUNDUP(((H24+H23)*0.5)*(B24-B22)/27,0)</f>
        <v>0</v>
      </c>
      <c r="R24" s="58">
        <f>ROUNDUP(((I24+I23)*0.5)*(B24-B22)/9,0)</f>
        <v>0</v>
      </c>
      <c r="S24" s="58">
        <f>ROUNDUP(((J24+J23)*0.5)*(B24-B22)/9,0)</f>
        <v>0</v>
      </c>
      <c r="T24" s="58">
        <f>ROUNDUP(((K24+K23)*0.5)*(B24-B22)/9,0)</f>
        <v>6</v>
      </c>
      <c r="U24" s="56"/>
      <c r="V24" s="137"/>
      <c r="W24" s="58"/>
      <c r="X24" s="58"/>
      <c r="Y24" s="58"/>
      <c r="Z24" s="58"/>
      <c r="AA24" s="58"/>
      <c r="AB24" s="58"/>
      <c r="AC24" s="58"/>
      <c r="AD24" s="138"/>
      <c r="AE24" s="55"/>
      <c r="AF24" s="57">
        <f t="shared" si="24"/>
        <v>11900</v>
      </c>
      <c r="AG24" s="58">
        <v>5.1740000000000004</v>
      </c>
      <c r="AH24" s="58">
        <v>17.495100000000001</v>
      </c>
      <c r="AI24" s="58">
        <v>28.654699999999998</v>
      </c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>
        <v>16.661000000000001</v>
      </c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>
        <v>64.319999999999993</v>
      </c>
      <c r="CC24" s="231">
        <f t="shared" ref="CC24:CC34" si="75">B24</f>
        <v>11900</v>
      </c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</row>
    <row r="25" spans="1:99" s="168" customFormat="1" ht="15.75" thickBot="1" x14ac:dyDescent="0.3">
      <c r="A25" s="3"/>
      <c r="B25" s="158">
        <v>11950</v>
      </c>
      <c r="C25" s="144">
        <f t="shared" si="74"/>
        <v>119.63239999999999</v>
      </c>
      <c r="D25" s="144">
        <f t="shared" si="22"/>
        <v>12.107699999999999</v>
      </c>
      <c r="E25" s="144"/>
      <c r="F25" s="144">
        <f t="shared" si="23"/>
        <v>0</v>
      </c>
      <c r="G25" s="144">
        <f t="shared" si="7"/>
        <v>0</v>
      </c>
      <c r="H25" s="144">
        <f t="shared" si="8"/>
        <v>0</v>
      </c>
      <c r="I25" s="144">
        <f t="shared" si="9"/>
        <v>0</v>
      </c>
      <c r="J25" s="159">
        <f t="shared" si="10"/>
        <v>0</v>
      </c>
      <c r="K25" s="160">
        <f t="shared" si="11"/>
        <v>94.76</v>
      </c>
      <c r="L25" s="152">
        <f t="shared" ref="L25:L26" si="76">ROUNDUP(((C24+C25)*0.5)*(B25-B24)/27,0)</f>
        <v>159</v>
      </c>
      <c r="M25" s="144">
        <f t="shared" ref="M25:M26" si="77">ROUNDUP(((D24+D25)*0.5)*(B25-B24)/27,0)</f>
        <v>27</v>
      </c>
      <c r="N25" s="144"/>
      <c r="O25" s="144">
        <f t="shared" ref="O25:O26" si="78">ROUNDUP(((F24+F25)*0.5)*(B25-B24)/27,0)</f>
        <v>0</v>
      </c>
      <c r="P25" s="144">
        <f t="shared" ref="P25:P26" si="79">ROUNDUP(((G25+G24)*0.5)*(B25-B24)/27,0)</f>
        <v>0</v>
      </c>
      <c r="Q25" s="144">
        <f t="shared" ref="Q25:Q26" si="80">ROUNDUP(((H25+H24)*0.5)*(B25-B24)/27,0)</f>
        <v>0</v>
      </c>
      <c r="R25" s="144">
        <f t="shared" ref="R25:R26" si="81">ROUNDUP(((I25+I24)*0.5)*(B25-B24)/9,0)</f>
        <v>0</v>
      </c>
      <c r="S25" s="144">
        <f t="shared" ref="S25:S26" si="82">ROUNDUP(((J25+J24)*0.5)*(B25-B24)/9,0)</f>
        <v>0</v>
      </c>
      <c r="T25" s="144">
        <f t="shared" ref="T25:T34" si="83">ROUNDUP(((K25+K24)*0.5)*(B25-B24)/9,0)</f>
        <v>442</v>
      </c>
      <c r="U25" s="154"/>
      <c r="V25" s="150">
        <f>L22+L23+L24+L25</f>
        <v>216</v>
      </c>
      <c r="W25" s="150">
        <f t="shared" ref="W25" si="84">M22+M23+M24+M25</f>
        <v>56</v>
      </c>
      <c r="X25" s="150"/>
      <c r="Y25" s="150">
        <f t="shared" ref="Y25:AD25" si="85">O22+O23+O24+O25</f>
        <v>0</v>
      </c>
      <c r="Z25" s="150">
        <f t="shared" si="85"/>
        <v>0</v>
      </c>
      <c r="AA25" s="150">
        <f t="shared" si="85"/>
        <v>0</v>
      </c>
      <c r="AB25" s="150">
        <f t="shared" si="85"/>
        <v>0</v>
      </c>
      <c r="AC25" s="150">
        <f t="shared" si="85"/>
        <v>0</v>
      </c>
      <c r="AD25" s="150">
        <f t="shared" si="85"/>
        <v>684</v>
      </c>
      <c r="AE25" s="153"/>
      <c r="AF25" s="158">
        <f t="shared" si="24"/>
        <v>11950</v>
      </c>
      <c r="AG25" s="144">
        <v>34.743099999999998</v>
      </c>
      <c r="AH25" s="144">
        <v>10.351800000000001</v>
      </c>
      <c r="AI25" s="144">
        <v>1.0058</v>
      </c>
      <c r="AJ25" s="144">
        <v>0.52639999999999998</v>
      </c>
      <c r="AK25" s="144">
        <v>22.4849</v>
      </c>
      <c r="AL25" s="144">
        <v>50.520400000000002</v>
      </c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>
        <v>0.81479999999999997</v>
      </c>
      <c r="AY25" s="144">
        <v>11.292899999999999</v>
      </c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4"/>
      <c r="BK25" s="144"/>
      <c r="BL25" s="144"/>
      <c r="BM25" s="144"/>
      <c r="BN25" s="144"/>
      <c r="BO25" s="144"/>
      <c r="BP25" s="144"/>
      <c r="BQ25" s="144"/>
      <c r="BR25" s="144"/>
      <c r="BS25" s="144"/>
      <c r="BT25" s="144"/>
      <c r="BU25" s="144"/>
      <c r="BV25" s="144"/>
      <c r="BW25" s="144"/>
      <c r="BX25" s="144"/>
      <c r="BY25" s="144"/>
      <c r="BZ25" s="144"/>
      <c r="CA25" s="144"/>
      <c r="CB25" s="144">
        <v>94.76</v>
      </c>
      <c r="CC25" s="231">
        <f t="shared" si="75"/>
        <v>11950</v>
      </c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167"/>
    </row>
    <row r="26" spans="1:99" x14ac:dyDescent="0.25">
      <c r="B26" s="155">
        <v>12000</v>
      </c>
      <c r="C26" s="147">
        <f t="shared" si="74"/>
        <v>123.20499999999998</v>
      </c>
      <c r="D26" s="147">
        <f t="shared" si="22"/>
        <v>8.1031999999999993</v>
      </c>
      <c r="E26" s="147"/>
      <c r="F26" s="147">
        <f t="shared" si="23"/>
        <v>0</v>
      </c>
      <c r="G26" s="147">
        <f t="shared" si="7"/>
        <v>0</v>
      </c>
      <c r="H26" s="147">
        <f t="shared" si="8"/>
        <v>0</v>
      </c>
      <c r="I26" s="147">
        <f t="shared" si="9"/>
        <v>0</v>
      </c>
      <c r="J26" s="156">
        <f t="shared" si="10"/>
        <v>0</v>
      </c>
      <c r="K26" s="157">
        <f t="shared" si="11"/>
        <v>88.69</v>
      </c>
      <c r="L26" s="151">
        <f t="shared" si="76"/>
        <v>225</v>
      </c>
      <c r="M26" s="147">
        <f t="shared" si="77"/>
        <v>19</v>
      </c>
      <c r="N26" s="147"/>
      <c r="O26" s="147">
        <f t="shared" si="78"/>
        <v>0</v>
      </c>
      <c r="P26" s="147">
        <f t="shared" si="79"/>
        <v>0</v>
      </c>
      <c r="Q26" s="147">
        <f t="shared" si="80"/>
        <v>0</v>
      </c>
      <c r="R26" s="147">
        <f t="shared" si="81"/>
        <v>0</v>
      </c>
      <c r="S26" s="147">
        <f t="shared" si="82"/>
        <v>0</v>
      </c>
      <c r="T26" s="147">
        <f t="shared" si="83"/>
        <v>510</v>
      </c>
      <c r="U26" s="56"/>
      <c r="V26" s="146"/>
      <c r="W26" s="147"/>
      <c r="X26" s="147"/>
      <c r="Y26" s="147"/>
      <c r="Z26" s="147"/>
      <c r="AA26" s="147"/>
      <c r="AB26" s="147"/>
      <c r="AC26" s="147"/>
      <c r="AD26" s="148"/>
      <c r="AE26" s="55"/>
      <c r="AF26" s="155">
        <f t="shared" si="24"/>
        <v>12000</v>
      </c>
      <c r="AG26" s="147">
        <v>42.360999999999997</v>
      </c>
      <c r="AH26" s="147">
        <v>8.2929999999999993</v>
      </c>
      <c r="AI26" s="147">
        <v>1.6095999999999999</v>
      </c>
      <c r="AJ26" s="147">
        <v>18.894600000000001</v>
      </c>
      <c r="AK26" s="147">
        <v>52.046799999999998</v>
      </c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>
        <v>8.1031999999999993</v>
      </c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  <c r="BI26" s="147"/>
      <c r="BJ26" s="147"/>
      <c r="BK26" s="147"/>
      <c r="BL26" s="147"/>
      <c r="BM26" s="147"/>
      <c r="BN26" s="147"/>
      <c r="BO26" s="147"/>
      <c r="BP26" s="147"/>
      <c r="BQ26" s="147"/>
      <c r="BR26" s="147"/>
      <c r="BS26" s="147"/>
      <c r="BT26" s="147"/>
      <c r="BU26" s="147"/>
      <c r="BV26" s="147"/>
      <c r="BW26" s="147"/>
      <c r="BX26" s="147"/>
      <c r="BY26" s="147"/>
      <c r="BZ26" s="147"/>
      <c r="CA26" s="147"/>
      <c r="CB26" s="147">
        <v>88.69</v>
      </c>
      <c r="CC26" s="231">
        <f t="shared" si="75"/>
        <v>12000</v>
      </c>
    </row>
    <row r="27" spans="1:99" s="3" customFormat="1" ht="15.75" thickBot="1" x14ac:dyDescent="0.3">
      <c r="B27" s="158">
        <v>12050</v>
      </c>
      <c r="C27" s="144">
        <f t="shared" si="74"/>
        <v>166.0342</v>
      </c>
      <c r="D27" s="144">
        <f t="shared" si="22"/>
        <v>0</v>
      </c>
      <c r="E27" s="144"/>
      <c r="F27" s="144">
        <f t="shared" si="23"/>
        <v>0</v>
      </c>
      <c r="G27" s="144">
        <f t="shared" si="7"/>
        <v>0</v>
      </c>
      <c r="H27" s="144">
        <f t="shared" si="8"/>
        <v>0</v>
      </c>
      <c r="I27" s="144">
        <f t="shared" si="9"/>
        <v>0</v>
      </c>
      <c r="J27" s="159">
        <f t="shared" si="10"/>
        <v>0</v>
      </c>
      <c r="K27" s="160">
        <f t="shared" si="11"/>
        <v>73.040000000000006</v>
      </c>
      <c r="L27" s="152">
        <f t="shared" ref="L27:L33" si="86">ROUNDUP(((C26+C27)*0.5)*(B27-B26)/27,0)</f>
        <v>268</v>
      </c>
      <c r="M27" s="144">
        <f t="shared" ref="M27:M33" si="87">ROUNDUP(((D26+D27)*0.5)*(B27-B26)/27,0)</f>
        <v>8</v>
      </c>
      <c r="N27" s="144"/>
      <c r="O27" s="144">
        <f t="shared" si="25"/>
        <v>0</v>
      </c>
      <c r="P27" s="144">
        <f t="shared" si="26"/>
        <v>0</v>
      </c>
      <c r="Q27" s="144">
        <f t="shared" si="27"/>
        <v>0</v>
      </c>
      <c r="R27" s="144">
        <f t="shared" si="28"/>
        <v>0</v>
      </c>
      <c r="S27" s="144">
        <f t="shared" si="29"/>
        <v>0</v>
      </c>
      <c r="T27" s="144">
        <f t="shared" si="83"/>
        <v>450</v>
      </c>
      <c r="U27" s="154"/>
      <c r="V27" s="150">
        <f>L26+L27</f>
        <v>493</v>
      </c>
      <c r="W27" s="150">
        <f t="shared" ref="W27" si="88">M26+M27</f>
        <v>27</v>
      </c>
      <c r="X27" s="150"/>
      <c r="Y27" s="150">
        <f t="shared" ref="Y27:AD27" si="89">O26+O27</f>
        <v>0</v>
      </c>
      <c r="Z27" s="150">
        <f t="shared" si="89"/>
        <v>0</v>
      </c>
      <c r="AA27" s="150">
        <f t="shared" si="89"/>
        <v>0</v>
      </c>
      <c r="AB27" s="150">
        <f t="shared" si="89"/>
        <v>0</v>
      </c>
      <c r="AC27" s="150">
        <f t="shared" si="89"/>
        <v>0</v>
      </c>
      <c r="AD27" s="150">
        <f t="shared" si="89"/>
        <v>960</v>
      </c>
      <c r="AE27" s="153"/>
      <c r="AF27" s="158">
        <f t="shared" si="24"/>
        <v>12050</v>
      </c>
      <c r="AG27" s="144">
        <v>166.0342</v>
      </c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4"/>
      <c r="BJ27" s="144"/>
      <c r="BK27" s="144"/>
      <c r="BL27" s="144"/>
      <c r="BM27" s="144"/>
      <c r="BN27" s="144"/>
      <c r="BO27" s="144"/>
      <c r="BP27" s="144"/>
      <c r="BQ27" s="144"/>
      <c r="BR27" s="144"/>
      <c r="BS27" s="144"/>
      <c r="BT27" s="144"/>
      <c r="BU27" s="144"/>
      <c r="BV27" s="144"/>
      <c r="BW27" s="144"/>
      <c r="BX27" s="144"/>
      <c r="BY27" s="144"/>
      <c r="BZ27" s="144"/>
      <c r="CA27" s="144"/>
      <c r="CB27" s="144">
        <v>73.040000000000006</v>
      </c>
      <c r="CC27" s="231">
        <f t="shared" si="75"/>
        <v>12050</v>
      </c>
    </row>
    <row r="28" spans="1:99" x14ac:dyDescent="0.25">
      <c r="B28" s="155">
        <v>12100</v>
      </c>
      <c r="C28" s="147">
        <f t="shared" si="74"/>
        <v>108.78540000000001</v>
      </c>
      <c r="D28" s="147">
        <f t="shared" si="22"/>
        <v>23.360399999999998</v>
      </c>
      <c r="E28" s="147"/>
      <c r="F28" s="147">
        <f t="shared" si="23"/>
        <v>0</v>
      </c>
      <c r="G28" s="147">
        <f t="shared" si="7"/>
        <v>0</v>
      </c>
      <c r="H28" s="147">
        <f t="shared" si="8"/>
        <v>0</v>
      </c>
      <c r="I28" s="147">
        <f t="shared" si="9"/>
        <v>0</v>
      </c>
      <c r="J28" s="156">
        <f t="shared" si="10"/>
        <v>0</v>
      </c>
      <c r="K28" s="157">
        <f t="shared" si="11"/>
        <v>101.67</v>
      </c>
      <c r="L28" s="151">
        <f t="shared" si="86"/>
        <v>255</v>
      </c>
      <c r="M28" s="147">
        <f t="shared" si="87"/>
        <v>22</v>
      </c>
      <c r="N28" s="147"/>
      <c r="O28" s="147">
        <f t="shared" si="25"/>
        <v>0</v>
      </c>
      <c r="P28" s="147">
        <f t="shared" si="26"/>
        <v>0</v>
      </c>
      <c r="Q28" s="147">
        <f t="shared" si="27"/>
        <v>0</v>
      </c>
      <c r="R28" s="147">
        <f t="shared" si="28"/>
        <v>0</v>
      </c>
      <c r="S28" s="147">
        <f t="shared" si="29"/>
        <v>0</v>
      </c>
      <c r="T28" s="147">
        <f t="shared" si="83"/>
        <v>486</v>
      </c>
      <c r="U28" s="56"/>
      <c r="V28" s="146"/>
      <c r="W28" s="147"/>
      <c r="X28" s="147"/>
      <c r="Y28" s="147"/>
      <c r="Z28" s="147"/>
      <c r="AA28" s="147"/>
      <c r="AB28" s="147"/>
      <c r="AC28" s="147"/>
      <c r="AD28" s="148"/>
      <c r="AE28" s="55"/>
      <c r="AF28" s="155">
        <f t="shared" si="24"/>
        <v>12100</v>
      </c>
      <c r="AG28" s="147">
        <v>37.0105</v>
      </c>
      <c r="AH28" s="147">
        <v>24.813199999999998</v>
      </c>
      <c r="AI28" s="147">
        <v>46.9617</v>
      </c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>
        <v>0.44409999999999999</v>
      </c>
      <c r="AY28" s="147">
        <v>22.9163</v>
      </c>
      <c r="AZ28" s="147"/>
      <c r="BA28" s="147"/>
      <c r="BB28" s="147"/>
      <c r="BC28" s="147"/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  <c r="BP28" s="147"/>
      <c r="BQ28" s="147"/>
      <c r="BR28" s="147"/>
      <c r="BS28" s="147"/>
      <c r="BT28" s="147"/>
      <c r="BU28" s="147"/>
      <c r="BV28" s="147"/>
      <c r="BW28" s="147"/>
      <c r="BX28" s="147"/>
      <c r="BY28" s="147"/>
      <c r="BZ28" s="147"/>
      <c r="CA28" s="147"/>
      <c r="CB28" s="147">
        <v>101.67</v>
      </c>
      <c r="CC28" s="231">
        <f t="shared" si="75"/>
        <v>12100</v>
      </c>
    </row>
    <row r="29" spans="1:99" x14ac:dyDescent="0.25">
      <c r="B29" s="57">
        <v>12150</v>
      </c>
      <c r="C29" s="58">
        <f t="shared" si="74"/>
        <v>54.715599999999995</v>
      </c>
      <c r="D29" s="58">
        <f t="shared" si="22"/>
        <v>18.055500000000002</v>
      </c>
      <c r="E29" s="58"/>
      <c r="F29" s="58">
        <f t="shared" si="23"/>
        <v>0</v>
      </c>
      <c r="G29" s="58">
        <f t="shared" si="7"/>
        <v>0</v>
      </c>
      <c r="H29" s="58">
        <f t="shared" si="8"/>
        <v>0</v>
      </c>
      <c r="I29" s="58">
        <f t="shared" si="9"/>
        <v>0</v>
      </c>
      <c r="J29" s="51">
        <f t="shared" si="10"/>
        <v>0</v>
      </c>
      <c r="K29" s="99">
        <f t="shared" si="11"/>
        <v>48.79</v>
      </c>
      <c r="L29" s="105">
        <f t="shared" si="86"/>
        <v>152</v>
      </c>
      <c r="M29" s="58">
        <f t="shared" si="87"/>
        <v>39</v>
      </c>
      <c r="N29" s="58"/>
      <c r="O29" s="58">
        <f t="shared" si="25"/>
        <v>0</v>
      </c>
      <c r="P29" s="58">
        <f t="shared" si="26"/>
        <v>0</v>
      </c>
      <c r="Q29" s="58">
        <f t="shared" si="27"/>
        <v>0</v>
      </c>
      <c r="R29" s="58">
        <f t="shared" si="28"/>
        <v>0</v>
      </c>
      <c r="S29" s="58">
        <f t="shared" si="29"/>
        <v>0</v>
      </c>
      <c r="T29" s="58">
        <f t="shared" si="83"/>
        <v>418</v>
      </c>
      <c r="U29" s="56"/>
      <c r="V29" s="137"/>
      <c r="W29" s="58"/>
      <c r="X29" s="58"/>
      <c r="Y29" s="58"/>
      <c r="Z29" s="58"/>
      <c r="AA29" s="58"/>
      <c r="AB29" s="58"/>
      <c r="AC29" s="58"/>
      <c r="AD29" s="138"/>
      <c r="AE29" s="55"/>
      <c r="AF29" s="57">
        <f t="shared" si="24"/>
        <v>12150</v>
      </c>
      <c r="AG29" s="58">
        <v>21.334700000000002</v>
      </c>
      <c r="AH29" s="58">
        <v>33.380899999999997</v>
      </c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>
        <v>2.488</v>
      </c>
      <c r="AY29" s="58">
        <v>15.567500000000001</v>
      </c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>
        <v>48.79</v>
      </c>
      <c r="CC29" s="231">
        <f t="shared" si="75"/>
        <v>12150</v>
      </c>
    </row>
    <row r="30" spans="1:99" s="3" customFormat="1" ht="15.75" thickBot="1" x14ac:dyDescent="0.3">
      <c r="B30" s="158">
        <v>12200</v>
      </c>
      <c r="C30" s="144">
        <f t="shared" si="74"/>
        <v>35.678200000000004</v>
      </c>
      <c r="D30" s="144">
        <f t="shared" si="22"/>
        <v>11.9604</v>
      </c>
      <c r="E30" s="144"/>
      <c r="F30" s="144">
        <f t="shared" si="23"/>
        <v>0</v>
      </c>
      <c r="G30" s="144">
        <f t="shared" si="7"/>
        <v>0</v>
      </c>
      <c r="H30" s="144">
        <f t="shared" si="8"/>
        <v>0</v>
      </c>
      <c r="I30" s="144">
        <f t="shared" si="9"/>
        <v>0</v>
      </c>
      <c r="J30" s="159">
        <f t="shared" si="10"/>
        <v>0</v>
      </c>
      <c r="K30" s="160">
        <f t="shared" si="11"/>
        <v>56.2</v>
      </c>
      <c r="L30" s="152">
        <f t="shared" si="86"/>
        <v>84</v>
      </c>
      <c r="M30" s="144">
        <f t="shared" si="87"/>
        <v>28</v>
      </c>
      <c r="N30" s="144"/>
      <c r="O30" s="144">
        <f t="shared" si="25"/>
        <v>0</v>
      </c>
      <c r="P30" s="144">
        <f t="shared" si="26"/>
        <v>0</v>
      </c>
      <c r="Q30" s="144">
        <f t="shared" si="27"/>
        <v>0</v>
      </c>
      <c r="R30" s="144">
        <f t="shared" si="28"/>
        <v>0</v>
      </c>
      <c r="S30" s="144">
        <f t="shared" si="29"/>
        <v>0</v>
      </c>
      <c r="T30" s="144">
        <f t="shared" si="83"/>
        <v>292</v>
      </c>
      <c r="U30" s="154"/>
      <c r="V30" s="150">
        <f>L28+L29+L30</f>
        <v>491</v>
      </c>
      <c r="W30" s="150">
        <f t="shared" ref="W30" si="90">M28+M29+M30</f>
        <v>89</v>
      </c>
      <c r="X30" s="150"/>
      <c r="Y30" s="150">
        <f t="shared" ref="Y30" si="91">O28+O29+O30</f>
        <v>0</v>
      </c>
      <c r="Z30" s="150">
        <f t="shared" ref="Z30" si="92">P28+P29+P30</f>
        <v>0</v>
      </c>
      <c r="AA30" s="150">
        <f t="shared" ref="AA30" si="93">Q28+Q29+Q30</f>
        <v>0</v>
      </c>
      <c r="AB30" s="150">
        <f t="shared" ref="AB30" si="94">R28+R29+R30</f>
        <v>0</v>
      </c>
      <c r="AC30" s="150">
        <f t="shared" ref="AC30" si="95">S28+S29+S30</f>
        <v>0</v>
      </c>
      <c r="AD30" s="150">
        <f t="shared" ref="AD30" si="96">T28+T29+T30</f>
        <v>1196</v>
      </c>
      <c r="AE30" s="153"/>
      <c r="AF30" s="158">
        <f t="shared" si="24"/>
        <v>12200</v>
      </c>
      <c r="AG30" s="144">
        <v>30.2971</v>
      </c>
      <c r="AH30" s="144">
        <v>5.3811</v>
      </c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>
        <v>10.84</v>
      </c>
      <c r="AY30" s="144">
        <v>1.1204000000000001</v>
      </c>
      <c r="AZ30" s="144"/>
      <c r="BA30" s="144"/>
      <c r="BB30" s="144"/>
      <c r="BC30" s="144"/>
      <c r="BD30" s="144"/>
      <c r="BE30" s="144"/>
      <c r="BF30" s="144"/>
      <c r="BG30" s="144"/>
      <c r="BH30" s="144"/>
      <c r="BI30" s="144"/>
      <c r="BJ30" s="144"/>
      <c r="BK30" s="144"/>
      <c r="BL30" s="144"/>
      <c r="BM30" s="144"/>
      <c r="BN30" s="144"/>
      <c r="BO30" s="144"/>
      <c r="BP30" s="144"/>
      <c r="BQ30" s="144"/>
      <c r="BR30" s="144"/>
      <c r="BS30" s="144"/>
      <c r="BT30" s="144"/>
      <c r="BU30" s="144"/>
      <c r="BV30" s="144"/>
      <c r="BW30" s="144"/>
      <c r="BX30" s="144"/>
      <c r="BY30" s="144"/>
      <c r="BZ30" s="144"/>
      <c r="CA30" s="144"/>
      <c r="CB30" s="144">
        <v>56.2</v>
      </c>
      <c r="CC30" s="231">
        <f t="shared" si="75"/>
        <v>12200</v>
      </c>
    </row>
    <row r="31" spans="1:99" x14ac:dyDescent="0.25">
      <c r="B31" s="155">
        <v>12250</v>
      </c>
      <c r="C31" s="147">
        <f t="shared" si="74"/>
        <v>74.592100000000002</v>
      </c>
      <c r="D31" s="147">
        <f t="shared" si="22"/>
        <v>33.297600000000003</v>
      </c>
      <c r="E31" s="147"/>
      <c r="F31" s="147">
        <f t="shared" si="23"/>
        <v>0</v>
      </c>
      <c r="G31" s="147">
        <f t="shared" si="7"/>
        <v>0</v>
      </c>
      <c r="H31" s="147">
        <f t="shared" si="8"/>
        <v>0</v>
      </c>
      <c r="I31" s="147">
        <f t="shared" si="9"/>
        <v>0</v>
      </c>
      <c r="J31" s="156">
        <f t="shared" si="10"/>
        <v>0</v>
      </c>
      <c r="K31" s="157">
        <f t="shared" si="11"/>
        <v>56.08</v>
      </c>
      <c r="L31" s="151">
        <f t="shared" si="86"/>
        <v>103</v>
      </c>
      <c r="M31" s="147">
        <f t="shared" si="87"/>
        <v>42</v>
      </c>
      <c r="N31" s="147"/>
      <c r="O31" s="147">
        <f t="shared" si="25"/>
        <v>0</v>
      </c>
      <c r="P31" s="147">
        <f t="shared" si="26"/>
        <v>0</v>
      </c>
      <c r="Q31" s="147">
        <f t="shared" si="27"/>
        <v>0</v>
      </c>
      <c r="R31" s="147">
        <f t="shared" si="28"/>
        <v>0</v>
      </c>
      <c r="S31" s="147">
        <f t="shared" si="29"/>
        <v>0</v>
      </c>
      <c r="T31" s="147">
        <f t="shared" si="83"/>
        <v>312</v>
      </c>
      <c r="U31" s="56"/>
      <c r="V31" s="146"/>
      <c r="W31" s="147"/>
      <c r="X31" s="147"/>
      <c r="Y31" s="147"/>
      <c r="Z31" s="147"/>
      <c r="AA31" s="147"/>
      <c r="AB31" s="147"/>
      <c r="AC31" s="147"/>
      <c r="AD31" s="148"/>
      <c r="AE31" s="55"/>
      <c r="AF31" s="155">
        <f t="shared" si="24"/>
        <v>12250</v>
      </c>
      <c r="AG31" s="147">
        <v>74.592100000000002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>
        <v>33.297600000000003</v>
      </c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  <c r="BI31" s="147"/>
      <c r="BJ31" s="147"/>
      <c r="BK31" s="147"/>
      <c r="BL31" s="147"/>
      <c r="BM31" s="147"/>
      <c r="BN31" s="147"/>
      <c r="BO31" s="147"/>
      <c r="BP31" s="147"/>
      <c r="BQ31" s="147"/>
      <c r="BR31" s="147"/>
      <c r="BS31" s="147"/>
      <c r="BT31" s="147"/>
      <c r="BU31" s="147"/>
      <c r="BV31" s="147"/>
      <c r="BW31" s="147"/>
      <c r="BX31" s="147"/>
      <c r="BY31" s="147"/>
      <c r="BZ31" s="147"/>
      <c r="CA31" s="147"/>
      <c r="CB31" s="147">
        <v>56.08</v>
      </c>
      <c r="CC31" s="231">
        <f t="shared" si="75"/>
        <v>12250</v>
      </c>
    </row>
    <row r="32" spans="1:99" x14ac:dyDescent="0.25">
      <c r="B32" s="57">
        <v>12300</v>
      </c>
      <c r="C32" s="58">
        <f t="shared" si="74"/>
        <v>92.1083</v>
      </c>
      <c r="D32" s="58">
        <f t="shared" si="22"/>
        <v>59.886899999999997</v>
      </c>
      <c r="E32" s="58"/>
      <c r="F32" s="58">
        <f t="shared" si="23"/>
        <v>0</v>
      </c>
      <c r="G32" s="58">
        <f t="shared" si="7"/>
        <v>0</v>
      </c>
      <c r="H32" s="58">
        <f t="shared" si="8"/>
        <v>0</v>
      </c>
      <c r="I32" s="58">
        <f t="shared" si="9"/>
        <v>0</v>
      </c>
      <c r="J32" s="51">
        <f t="shared" si="10"/>
        <v>0</v>
      </c>
      <c r="K32" s="99">
        <f t="shared" si="11"/>
        <v>46.8</v>
      </c>
      <c r="L32" s="105">
        <f t="shared" si="86"/>
        <v>155</v>
      </c>
      <c r="M32" s="58">
        <f t="shared" si="87"/>
        <v>87</v>
      </c>
      <c r="N32" s="58"/>
      <c r="O32" s="58">
        <f t="shared" si="25"/>
        <v>0</v>
      </c>
      <c r="P32" s="58">
        <f t="shared" si="26"/>
        <v>0</v>
      </c>
      <c r="Q32" s="58">
        <f t="shared" si="27"/>
        <v>0</v>
      </c>
      <c r="R32" s="58">
        <f t="shared" si="28"/>
        <v>0</v>
      </c>
      <c r="S32" s="58">
        <f t="shared" si="29"/>
        <v>0</v>
      </c>
      <c r="T32" s="58">
        <f t="shared" si="83"/>
        <v>286</v>
      </c>
      <c r="U32" s="56"/>
      <c r="V32" s="137"/>
      <c r="W32" s="58"/>
      <c r="X32" s="58"/>
      <c r="Y32" s="58"/>
      <c r="Z32" s="58"/>
      <c r="AA32" s="58"/>
      <c r="AB32" s="58"/>
      <c r="AC32" s="58"/>
      <c r="AD32" s="138"/>
      <c r="AE32" s="55"/>
      <c r="AF32" s="57">
        <f t="shared" si="24"/>
        <v>12300</v>
      </c>
      <c r="AG32" s="58">
        <v>92.1083</v>
      </c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>
        <v>59.886899999999997</v>
      </c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>
        <v>46.8</v>
      </c>
      <c r="CC32" s="231">
        <f t="shared" si="75"/>
        <v>12300</v>
      </c>
    </row>
    <row r="33" spans="1:94" s="3" customFormat="1" ht="15.75" thickBot="1" x14ac:dyDescent="0.3">
      <c r="A33"/>
      <c r="B33" s="227">
        <v>12350</v>
      </c>
      <c r="C33" s="223">
        <f t="shared" si="74"/>
        <v>76.344099999999997</v>
      </c>
      <c r="D33" s="223">
        <f t="shared" si="22"/>
        <v>65.112700000000004</v>
      </c>
      <c r="E33" s="223"/>
      <c r="F33" s="223">
        <f t="shared" si="23"/>
        <v>0</v>
      </c>
      <c r="G33" s="223">
        <f t="shared" si="7"/>
        <v>0</v>
      </c>
      <c r="H33" s="223">
        <f t="shared" si="8"/>
        <v>0</v>
      </c>
      <c r="I33" s="223">
        <f t="shared" si="9"/>
        <v>0</v>
      </c>
      <c r="J33" s="224">
        <f t="shared" si="10"/>
        <v>0</v>
      </c>
      <c r="K33" s="309">
        <f t="shared" si="11"/>
        <v>42.52</v>
      </c>
      <c r="L33" s="225">
        <f t="shared" si="86"/>
        <v>156</v>
      </c>
      <c r="M33" s="223">
        <f t="shared" si="87"/>
        <v>116</v>
      </c>
      <c r="N33" s="223"/>
      <c r="O33" s="223">
        <f t="shared" si="25"/>
        <v>0</v>
      </c>
      <c r="P33" s="223">
        <f t="shared" si="26"/>
        <v>0</v>
      </c>
      <c r="Q33" s="223">
        <f t="shared" si="27"/>
        <v>0</v>
      </c>
      <c r="R33" s="223">
        <f t="shared" si="28"/>
        <v>0</v>
      </c>
      <c r="S33" s="223">
        <f t="shared" si="29"/>
        <v>0</v>
      </c>
      <c r="T33" s="223">
        <f t="shared" si="83"/>
        <v>249</v>
      </c>
      <c r="U33" s="56"/>
      <c r="V33" s="310">
        <f>L31+L32+L33</f>
        <v>414</v>
      </c>
      <c r="W33" s="310">
        <f t="shared" ref="W33" si="97">M31+M32+M33</f>
        <v>245</v>
      </c>
      <c r="X33" s="310"/>
      <c r="Y33" s="310">
        <f t="shared" ref="Y33" si="98">O31+O32+O33</f>
        <v>0</v>
      </c>
      <c r="Z33" s="310">
        <f t="shared" ref="Z33" si="99">P31+P32+P33</f>
        <v>0</v>
      </c>
      <c r="AA33" s="310">
        <f t="shared" ref="AA33" si="100">Q31+Q32+Q33</f>
        <v>0</v>
      </c>
      <c r="AB33" s="310">
        <f t="shared" ref="AB33" si="101">R31+R32+R33</f>
        <v>0</v>
      </c>
      <c r="AC33" s="310">
        <f t="shared" ref="AC33" si="102">S31+S32+S33</f>
        <v>0</v>
      </c>
      <c r="AD33" s="310">
        <f t="shared" ref="AD33" si="103">T31+T32+T33</f>
        <v>847</v>
      </c>
      <c r="AE33" s="55"/>
      <c r="AF33" s="227">
        <f t="shared" si="24"/>
        <v>12350</v>
      </c>
      <c r="AG33" s="223">
        <v>76.344099999999997</v>
      </c>
      <c r="AH33" s="223"/>
      <c r="AI33" s="223"/>
      <c r="AJ33" s="223"/>
      <c r="AK33" s="223"/>
      <c r="AL33" s="223"/>
      <c r="AM33" s="223"/>
      <c r="AN33" s="223"/>
      <c r="AO33" s="223"/>
      <c r="AP33" s="223"/>
      <c r="AQ33" s="223"/>
      <c r="AR33" s="223"/>
      <c r="AS33" s="223"/>
      <c r="AT33" s="223"/>
      <c r="AU33" s="223"/>
      <c r="AV33" s="223"/>
      <c r="AW33" s="223"/>
      <c r="AX33" s="223">
        <v>65.112700000000004</v>
      </c>
      <c r="AY33" s="223"/>
      <c r="AZ33" s="223"/>
      <c r="BA33" s="223"/>
      <c r="BB33" s="223"/>
      <c r="BC33" s="223"/>
      <c r="BD33" s="223"/>
      <c r="BE33" s="223"/>
      <c r="BF33" s="223"/>
      <c r="BG33" s="223"/>
      <c r="BH33" s="223"/>
      <c r="BI33" s="223"/>
      <c r="BJ33" s="223"/>
      <c r="BK33" s="223"/>
      <c r="BL33" s="223"/>
      <c r="BM33" s="223"/>
      <c r="BN33" s="223"/>
      <c r="BO33" s="223"/>
      <c r="BP33" s="223"/>
      <c r="BQ33" s="223"/>
      <c r="BR33" s="223"/>
      <c r="BS33" s="223"/>
      <c r="BT33" s="223"/>
      <c r="BU33" s="223"/>
      <c r="BV33" s="223"/>
      <c r="BW33" s="223"/>
      <c r="BX33" s="223"/>
      <c r="BY33" s="223"/>
      <c r="BZ33" s="223"/>
      <c r="CA33" s="223"/>
      <c r="CB33" s="223">
        <v>42.52</v>
      </c>
      <c r="CC33" s="231">
        <f t="shared" si="75"/>
        <v>12350</v>
      </c>
      <c r="CD33"/>
      <c r="CE33"/>
      <c r="CF33"/>
      <c r="CG33"/>
      <c r="CH33"/>
      <c r="CI33"/>
      <c r="CJ33"/>
      <c r="CK33"/>
      <c r="CL33"/>
      <c r="CM33"/>
      <c r="CN33"/>
      <c r="CO33"/>
      <c r="CP33"/>
    </row>
    <row r="34" spans="1:94" s="80" customFormat="1" x14ac:dyDescent="0.25">
      <c r="A34" s="403" t="s">
        <v>47</v>
      </c>
      <c r="B34" s="471">
        <v>12369.22</v>
      </c>
      <c r="C34" s="404">
        <f t="shared" si="74"/>
        <v>65.467799999999997</v>
      </c>
      <c r="D34" s="404">
        <f t="shared" si="22"/>
        <v>0</v>
      </c>
      <c r="E34" s="404"/>
      <c r="F34" s="404">
        <f t="shared" si="23"/>
        <v>40.520099999999999</v>
      </c>
      <c r="G34" s="404">
        <f t="shared" si="7"/>
        <v>0</v>
      </c>
      <c r="H34" s="404">
        <f t="shared" si="8"/>
        <v>0</v>
      </c>
      <c r="I34" s="404">
        <f t="shared" si="9"/>
        <v>0</v>
      </c>
      <c r="J34" s="405">
        <f t="shared" si="10"/>
        <v>0</v>
      </c>
      <c r="K34" s="406">
        <f t="shared" si="11"/>
        <v>31</v>
      </c>
      <c r="L34" s="407">
        <f t="shared" ref="L34" si="104">ROUNDUP(((C33+C34)*0.5)*(B34-B33)/27,0)</f>
        <v>51</v>
      </c>
      <c r="M34" s="408">
        <f t="shared" ref="M34" si="105">ROUNDUP(((D33+D34)*0.5)*(B34-B33)/27,0)</f>
        <v>24</v>
      </c>
      <c r="N34" s="408"/>
      <c r="O34" s="408">
        <f>ROUNDUP(((F33+F34)*0.5)*(B34-B33)/27,0)</f>
        <v>15</v>
      </c>
      <c r="P34" s="408">
        <f t="shared" ref="P34" si="106">ROUNDUP(((G34+G33)*0.5)*(B34-B33)/27,0)</f>
        <v>0</v>
      </c>
      <c r="Q34" s="408">
        <f t="shared" ref="Q34" si="107">ROUNDUP(((H34+H33)*0.5)*(B34-B33)/27,0)</f>
        <v>0</v>
      </c>
      <c r="R34" s="408">
        <f t="shared" ref="R34" si="108">ROUNDUP(((I34+I33)*0.5)*(B34-B33)/9,0)</f>
        <v>0</v>
      </c>
      <c r="S34" s="408">
        <f t="shared" ref="S34" si="109">ROUNDUP(((J34+J33)*0.5)*(B34-B33)/9,0)</f>
        <v>0</v>
      </c>
      <c r="T34" s="408">
        <f t="shared" si="83"/>
        <v>79</v>
      </c>
      <c r="U34" s="409"/>
      <c r="V34" s="410"/>
      <c r="W34" s="408"/>
      <c r="X34" s="408"/>
      <c r="Y34" s="408"/>
      <c r="Z34" s="408"/>
      <c r="AA34" s="408"/>
      <c r="AB34" s="408"/>
      <c r="AC34" s="408"/>
      <c r="AD34" s="411"/>
      <c r="AE34" s="412" t="s">
        <v>47</v>
      </c>
      <c r="AF34" s="471">
        <f t="shared" si="24"/>
        <v>12369.22</v>
      </c>
      <c r="AG34" s="404"/>
      <c r="AH34" s="404"/>
      <c r="AI34" s="404">
        <v>65.467799999999997</v>
      </c>
      <c r="AJ34" s="404"/>
      <c r="AK34" s="404"/>
      <c r="AL34" s="404"/>
      <c r="AM34" s="404"/>
      <c r="AN34" s="404"/>
      <c r="AO34" s="404"/>
      <c r="AP34" s="404"/>
      <c r="AQ34" s="404"/>
      <c r="AR34" s="404"/>
      <c r="AS34" s="404"/>
      <c r="AT34" s="404"/>
      <c r="AU34" s="404"/>
      <c r="AV34" s="404"/>
      <c r="AW34" s="404"/>
      <c r="AX34" s="404"/>
      <c r="AY34" s="404"/>
      <c r="AZ34" s="404"/>
      <c r="BA34" s="404"/>
      <c r="BB34" s="404"/>
      <c r="BC34" s="404"/>
      <c r="BD34" s="404"/>
      <c r="BE34" s="404"/>
      <c r="BF34" s="404"/>
      <c r="BG34" s="404"/>
      <c r="BH34" s="404"/>
      <c r="BI34" s="404"/>
      <c r="BJ34" s="404"/>
      <c r="BK34" s="404"/>
      <c r="BL34" s="404"/>
      <c r="BM34" s="404">
        <v>40.520099999999999</v>
      </c>
      <c r="BN34" s="404"/>
      <c r="BO34" s="404"/>
      <c r="BP34" s="404"/>
      <c r="BQ34" s="404"/>
      <c r="BR34" s="404"/>
      <c r="BS34" s="404"/>
      <c r="BT34" s="404"/>
      <c r="BU34" s="404"/>
      <c r="BV34" s="404"/>
      <c r="BW34" s="404"/>
      <c r="BX34" s="404"/>
      <c r="BY34" s="404"/>
      <c r="BZ34" s="404"/>
      <c r="CA34" s="404"/>
      <c r="CB34" s="404">
        <v>31</v>
      </c>
      <c r="CC34" s="497">
        <f t="shared" si="75"/>
        <v>12369.22</v>
      </c>
      <c r="CD34" s="413" t="s">
        <v>53</v>
      </c>
      <c r="CE34" s="414"/>
      <c r="CF34" s="414"/>
      <c r="CG34" s="414"/>
      <c r="CH34" s="414"/>
      <c r="CI34" s="414"/>
      <c r="CJ34" s="414"/>
      <c r="CK34" s="414"/>
      <c r="CL34" s="414"/>
      <c r="CM34" s="414"/>
      <c r="CN34" s="414"/>
      <c r="CO34" s="414"/>
      <c r="CP34" s="415"/>
    </row>
    <row r="35" spans="1:94" s="80" customFormat="1" x14ac:dyDescent="0.25">
      <c r="A35" s="416" t="s">
        <v>46</v>
      </c>
      <c r="B35" s="472"/>
      <c r="C35" s="82">
        <f t="shared" si="74"/>
        <v>553.45960000000002</v>
      </c>
      <c r="D35" s="82">
        <f t="shared" si="22"/>
        <v>0</v>
      </c>
      <c r="E35" s="82"/>
      <c r="F35" s="82">
        <f t="shared" si="23"/>
        <v>907.65139999999997</v>
      </c>
      <c r="G35" s="82">
        <f t="shared" si="7"/>
        <v>0</v>
      </c>
      <c r="H35" s="82">
        <f t="shared" si="8"/>
        <v>0</v>
      </c>
      <c r="I35" s="82">
        <f t="shared" si="9"/>
        <v>0</v>
      </c>
      <c r="J35" s="83">
        <f t="shared" si="10"/>
        <v>0</v>
      </c>
      <c r="K35" s="101">
        <f t="shared" si="11"/>
        <v>131</v>
      </c>
      <c r="L35" s="107"/>
      <c r="M35" s="82"/>
      <c r="N35" s="82"/>
      <c r="O35" s="82"/>
      <c r="P35" s="82"/>
      <c r="Q35" s="82"/>
      <c r="R35" s="82"/>
      <c r="S35" s="82"/>
      <c r="T35" s="82"/>
      <c r="U35" s="84"/>
      <c r="V35" s="141"/>
      <c r="W35" s="82"/>
      <c r="X35" s="82"/>
      <c r="Y35" s="82"/>
      <c r="Z35" s="82"/>
      <c r="AA35" s="82"/>
      <c r="AB35" s="82"/>
      <c r="AC35" s="82"/>
      <c r="AD35" s="142"/>
      <c r="AE35" s="63" t="s">
        <v>46</v>
      </c>
      <c r="AF35" s="472"/>
      <c r="AG35" s="169">
        <v>475.5634</v>
      </c>
      <c r="AH35" s="169">
        <v>12.4284</v>
      </c>
      <c r="AI35" s="82">
        <v>65.467799999999997</v>
      </c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169">
        <v>475.5634</v>
      </c>
      <c r="BL35" s="169">
        <v>391.28739999999999</v>
      </c>
      <c r="BM35" s="82">
        <v>40.800600000000003</v>
      </c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169">
        <v>100</v>
      </c>
      <c r="CB35" s="169">
        <v>31</v>
      </c>
      <c r="CC35" s="447"/>
      <c r="CD35" s="62" t="s">
        <v>54</v>
      </c>
      <c r="CP35" s="417"/>
    </row>
    <row r="36" spans="1:94" x14ac:dyDescent="0.25">
      <c r="A36" s="418"/>
      <c r="B36" s="57">
        <v>12400</v>
      </c>
      <c r="C36" s="58">
        <f t="shared" si="74"/>
        <v>545.86329999999998</v>
      </c>
      <c r="D36" s="58">
        <f t="shared" si="22"/>
        <v>1.2113</v>
      </c>
      <c r="E36" s="58"/>
      <c r="F36" s="58">
        <f t="shared" si="23"/>
        <v>1290.4855</v>
      </c>
      <c r="G36" s="58">
        <f t="shared" si="7"/>
        <v>0</v>
      </c>
      <c r="H36" s="58">
        <f t="shared" si="8"/>
        <v>0</v>
      </c>
      <c r="I36" s="58">
        <f t="shared" si="9"/>
        <v>0</v>
      </c>
      <c r="J36" s="51">
        <f t="shared" si="10"/>
        <v>0</v>
      </c>
      <c r="K36" s="99">
        <f t="shared" si="11"/>
        <v>132.54</v>
      </c>
      <c r="L36" s="105">
        <f>ROUNDUP(((C35+C36)*0.5)*(B36-B34)/27,0)</f>
        <v>627</v>
      </c>
      <c r="M36" s="58">
        <f>ROUNDUP(((D35+D36)*0.5)*(B36-B34)/27,0)</f>
        <v>1</v>
      </c>
      <c r="N36" s="58"/>
      <c r="O36" s="58">
        <f>ROUNDUP(((F35+F36)*0.5)*(B36-B34)/27,0)</f>
        <v>1253</v>
      </c>
      <c r="P36" s="58">
        <f>ROUNDUP(((G36+G35)*0.5)*(B36-B34)/27,0)</f>
        <v>0</v>
      </c>
      <c r="Q36" s="58">
        <f>ROUNDUP(((H36+H35)*0.5)*(B36-B34)/27,0)</f>
        <v>0</v>
      </c>
      <c r="R36" s="58">
        <f>ROUNDUP(((I36+I35)*0.5)*(B36-B34)/9,0)</f>
        <v>0</v>
      </c>
      <c r="S36" s="58">
        <f>ROUNDUP(((J36+J35)*0.5)*(B36-B34)/9,0)</f>
        <v>0</v>
      </c>
      <c r="T36" s="58">
        <f>ROUNDUP(((K36+K35)*0.5)*(B36-B34)/9,0)</f>
        <v>451</v>
      </c>
      <c r="U36" s="56"/>
      <c r="V36" s="137"/>
      <c r="W36" s="58"/>
      <c r="X36" s="58"/>
      <c r="Y36" s="58"/>
      <c r="Z36" s="58"/>
      <c r="AA36" s="58"/>
      <c r="AB36" s="58"/>
      <c r="AC36" s="58"/>
      <c r="AD36" s="138"/>
      <c r="AE36" s="55"/>
      <c r="AF36" s="57">
        <f t="shared" si="24"/>
        <v>12400</v>
      </c>
      <c r="AG36" s="58">
        <v>494.541</v>
      </c>
      <c r="AH36" s="58">
        <v>11.488899999999999</v>
      </c>
      <c r="AI36" s="58">
        <v>39.833399999999997</v>
      </c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>
        <v>1.2113</v>
      </c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>
        <v>787.02880000000005</v>
      </c>
      <c r="BL36" s="58">
        <v>494.541</v>
      </c>
      <c r="BM36" s="58">
        <v>8.9156999999999993</v>
      </c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>
        <v>132.54</v>
      </c>
      <c r="CC36" s="231">
        <f t="shared" ref="CC36:CC67" si="110">B36</f>
        <v>12400</v>
      </c>
      <c r="CP36" s="208"/>
    </row>
    <row r="37" spans="1:94" ht="15.75" thickBot="1" x14ac:dyDescent="0.3">
      <c r="A37" s="419"/>
      <c r="B37" s="158">
        <v>12450</v>
      </c>
      <c r="C37" s="144">
        <f t="shared" si="74"/>
        <v>529.64840000000004</v>
      </c>
      <c r="D37" s="144">
        <f t="shared" si="22"/>
        <v>4.5087000000000002</v>
      </c>
      <c r="E37" s="144"/>
      <c r="F37" s="144">
        <f t="shared" si="23"/>
        <v>1882.2534000000001</v>
      </c>
      <c r="G37" s="144">
        <f t="shared" si="7"/>
        <v>0</v>
      </c>
      <c r="H37" s="144">
        <f t="shared" si="8"/>
        <v>0</v>
      </c>
      <c r="I37" s="144">
        <f t="shared" si="9"/>
        <v>0</v>
      </c>
      <c r="J37" s="159">
        <f t="shared" si="10"/>
        <v>0</v>
      </c>
      <c r="K37" s="160">
        <f t="shared" si="11"/>
        <v>136.37</v>
      </c>
      <c r="L37" s="152">
        <f t="shared" ref="L37:L53" si="111">ROUNDUP(((C36+C37)*0.5)*(B37-B36)/27,0)</f>
        <v>996</v>
      </c>
      <c r="M37" s="144">
        <f t="shared" ref="M37:M53" si="112">ROUNDUP(((D36+D37)*0.5)*(B37-B36)/27,0)</f>
        <v>6</v>
      </c>
      <c r="N37" s="144"/>
      <c r="O37" s="144">
        <f>ROUNDUP(((F36+F37)*0.5)*(B37-B36)/27,0)</f>
        <v>2938</v>
      </c>
      <c r="P37" s="144">
        <f t="shared" ref="P37:P53" si="113">ROUNDUP(((G37+G36)*0.5)*(B37-B36)/27,0)</f>
        <v>0</v>
      </c>
      <c r="Q37" s="144">
        <f t="shared" ref="Q37:Q53" si="114">ROUNDUP(((H37+H36)*0.5)*(B37-B36)/27,0)</f>
        <v>0</v>
      </c>
      <c r="R37" s="144">
        <f t="shared" ref="R37:R53" si="115">ROUNDUP(((I37+I36)*0.5)*(B37-B36)/9,0)</f>
        <v>0</v>
      </c>
      <c r="S37" s="144">
        <f t="shared" ref="S37:S53" si="116">ROUNDUP(((J37+J36)*0.5)*(B37-B36)/9,0)</f>
        <v>0</v>
      </c>
      <c r="T37" s="144">
        <f t="shared" ref="T37:T52" si="117">ROUNDUP(((K37+K36)*0.5)*(B37-B36)/9,0)</f>
        <v>747</v>
      </c>
      <c r="U37" s="154"/>
      <c r="V37" s="150">
        <f>L34+L35+L36+L37</f>
        <v>1674</v>
      </c>
      <c r="W37" s="150">
        <f>M34+M35+M36+M37</f>
        <v>31</v>
      </c>
      <c r="X37" s="150"/>
      <c r="Y37" s="150">
        <f>O34+O35+O36+O37</f>
        <v>4206</v>
      </c>
      <c r="Z37" s="150">
        <f>P34+P35+P36+P37</f>
        <v>0</v>
      </c>
      <c r="AA37" s="150">
        <f t="shared" ref="AA37:AD37" si="118">Q34+Q35+Q36+Q37</f>
        <v>0</v>
      </c>
      <c r="AB37" s="150">
        <f t="shared" si="118"/>
        <v>0</v>
      </c>
      <c r="AC37" s="150">
        <f t="shared" si="118"/>
        <v>0</v>
      </c>
      <c r="AD37" s="150">
        <f t="shared" si="118"/>
        <v>1277</v>
      </c>
      <c r="AE37" s="153"/>
      <c r="AF37" s="158">
        <f t="shared" si="24"/>
        <v>12450</v>
      </c>
      <c r="AG37" s="144">
        <v>481.2081</v>
      </c>
      <c r="AH37" s="144">
        <v>28.1889</v>
      </c>
      <c r="AI37" s="144">
        <v>20.2514</v>
      </c>
      <c r="AJ37" s="144"/>
      <c r="AK37" s="144"/>
      <c r="AL37" s="144"/>
      <c r="AM37" s="144"/>
      <c r="AN37" s="144"/>
      <c r="AO37" s="144"/>
      <c r="AP37" s="144"/>
      <c r="AQ37" s="144"/>
      <c r="AR37" s="144"/>
      <c r="AS37" s="144"/>
      <c r="AT37" s="144"/>
      <c r="AU37" s="144"/>
      <c r="AV37" s="144"/>
      <c r="AW37" s="144"/>
      <c r="AX37" s="144">
        <v>4.5087000000000002</v>
      </c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  <c r="BI37" s="144"/>
      <c r="BJ37" s="144"/>
      <c r="BK37" s="144">
        <v>1401.0453</v>
      </c>
      <c r="BL37" s="144">
        <v>481.2081</v>
      </c>
      <c r="BM37" s="144"/>
      <c r="BN37" s="144"/>
      <c r="BO37" s="144"/>
      <c r="BP37" s="144"/>
      <c r="BQ37" s="144"/>
      <c r="BR37" s="144"/>
      <c r="BS37" s="144"/>
      <c r="BT37" s="144"/>
      <c r="BU37" s="144"/>
      <c r="BV37" s="144"/>
      <c r="BW37" s="144"/>
      <c r="BX37" s="144"/>
      <c r="BY37" s="144"/>
      <c r="BZ37" s="144"/>
      <c r="CA37" s="144"/>
      <c r="CB37" s="144">
        <v>136.37</v>
      </c>
      <c r="CC37" s="420">
        <f t="shared" si="110"/>
        <v>12450</v>
      </c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421"/>
    </row>
    <row r="38" spans="1:94" s="219" customFormat="1" x14ac:dyDescent="0.25">
      <c r="B38" s="155">
        <v>12500</v>
      </c>
      <c r="C38" s="147">
        <f t="shared" si="74"/>
        <v>628.78069999999991</v>
      </c>
      <c r="D38" s="147">
        <f t="shared" si="22"/>
        <v>19.9527</v>
      </c>
      <c r="E38" s="147"/>
      <c r="F38" s="147">
        <f>BK38+BL38+BM38</f>
        <v>2608.4481000000001</v>
      </c>
      <c r="G38" s="147">
        <f t="shared" si="7"/>
        <v>0</v>
      </c>
      <c r="H38" s="147">
        <f t="shared" si="8"/>
        <v>0</v>
      </c>
      <c r="I38" s="147">
        <f t="shared" si="9"/>
        <v>0</v>
      </c>
      <c r="J38" s="156">
        <f t="shared" si="10"/>
        <v>0</v>
      </c>
      <c r="K38" s="157">
        <f t="shared" si="11"/>
        <v>133.51</v>
      </c>
      <c r="L38" s="151">
        <f t="shared" si="111"/>
        <v>1073</v>
      </c>
      <c r="M38" s="147">
        <f t="shared" si="112"/>
        <v>23</v>
      </c>
      <c r="N38" s="147"/>
      <c r="O38" s="147">
        <f>ROUNDUP(((F37+F38)*0.5)*(B38-B37)/27,0)</f>
        <v>4159</v>
      </c>
      <c r="P38" s="147">
        <f t="shared" si="113"/>
        <v>0</v>
      </c>
      <c r="Q38" s="147">
        <f t="shared" si="114"/>
        <v>0</v>
      </c>
      <c r="R38" s="147">
        <f t="shared" si="115"/>
        <v>0</v>
      </c>
      <c r="S38" s="147">
        <f t="shared" si="116"/>
        <v>0</v>
      </c>
      <c r="T38" s="147">
        <f t="shared" si="117"/>
        <v>750</v>
      </c>
      <c r="U38" s="400"/>
      <c r="AE38" s="401"/>
      <c r="AF38" s="155">
        <f t="shared" si="24"/>
        <v>12500</v>
      </c>
      <c r="AG38" s="147">
        <v>602.05229999999995</v>
      </c>
      <c r="AH38" s="147">
        <v>2.3107000000000002</v>
      </c>
      <c r="AI38" s="147">
        <v>24.4177</v>
      </c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>
        <v>19.9527</v>
      </c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  <c r="BI38" s="147"/>
      <c r="BJ38" s="147"/>
      <c r="BK38" s="147">
        <v>2006.3958</v>
      </c>
      <c r="BL38" s="147">
        <v>602.05229999999995</v>
      </c>
      <c r="BM38" s="147"/>
      <c r="BN38" s="147"/>
      <c r="BO38" s="147"/>
      <c r="BP38" s="147"/>
      <c r="BQ38" s="147"/>
      <c r="BR38" s="147"/>
      <c r="BS38" s="147"/>
      <c r="BT38" s="147"/>
      <c r="BU38" s="147"/>
      <c r="BV38" s="147"/>
      <c r="BW38" s="147"/>
      <c r="BX38" s="147"/>
      <c r="BY38" s="147"/>
      <c r="BZ38" s="147"/>
      <c r="CA38" s="147"/>
      <c r="CB38" s="147">
        <v>133.51</v>
      </c>
      <c r="CC38" s="422">
        <f t="shared" si="110"/>
        <v>12500</v>
      </c>
    </row>
    <row r="39" spans="1:94" x14ac:dyDescent="0.25">
      <c r="B39" s="155">
        <v>12550</v>
      </c>
      <c r="C39" s="147">
        <f t="shared" ref="C39:C52" si="119">AG39+AH39+AI39+AJ39+AK39+AL39+AM39</f>
        <v>712.55849999999998</v>
      </c>
      <c r="D39" s="147">
        <f t="shared" ref="D39:D52" si="120">AX39+AY39+AZ39+BA39+BB39+BC39</f>
        <v>31.476700000000001</v>
      </c>
      <c r="E39" s="147"/>
      <c r="F39" s="147">
        <f t="shared" ref="F39:F52" si="121">BK39+BL39+BM39</f>
        <v>3220.1882999999998</v>
      </c>
      <c r="G39" s="147">
        <f t="shared" si="7"/>
        <v>0</v>
      </c>
      <c r="H39" s="147">
        <f t="shared" si="8"/>
        <v>0</v>
      </c>
      <c r="I39" s="147">
        <f t="shared" si="9"/>
        <v>0</v>
      </c>
      <c r="J39" s="156">
        <f t="shared" si="10"/>
        <v>0</v>
      </c>
      <c r="K39" s="157">
        <f t="shared" si="11"/>
        <v>130.55000000000001</v>
      </c>
      <c r="L39" s="151">
        <f t="shared" si="111"/>
        <v>1242</v>
      </c>
      <c r="M39" s="147">
        <f t="shared" si="112"/>
        <v>48</v>
      </c>
      <c r="N39" s="147"/>
      <c r="O39" s="147">
        <f>ROUNDUP(((F38+F39)*0.5)*(B39-B38)/27,0)</f>
        <v>5397</v>
      </c>
      <c r="P39" s="147">
        <f t="shared" si="113"/>
        <v>0</v>
      </c>
      <c r="Q39" s="147">
        <f t="shared" si="114"/>
        <v>0</v>
      </c>
      <c r="R39" s="147">
        <f t="shared" si="115"/>
        <v>0</v>
      </c>
      <c r="S39" s="147">
        <f t="shared" si="116"/>
        <v>0</v>
      </c>
      <c r="T39" s="147">
        <f t="shared" si="117"/>
        <v>734</v>
      </c>
      <c r="U39" s="56"/>
      <c r="V39" s="146"/>
      <c r="W39" s="147"/>
      <c r="X39" s="147"/>
      <c r="Y39" s="147"/>
      <c r="Z39" s="147"/>
      <c r="AA39" s="147"/>
      <c r="AB39" s="147"/>
      <c r="AC39" s="147"/>
      <c r="AD39" s="148"/>
      <c r="AE39" s="55"/>
      <c r="AF39" s="155">
        <f t="shared" si="24"/>
        <v>12550</v>
      </c>
      <c r="AG39" s="147">
        <v>704.1549</v>
      </c>
      <c r="AH39" s="147">
        <v>8.4036000000000008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>
        <v>31.476700000000001</v>
      </c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  <c r="BI39" s="147"/>
      <c r="BJ39" s="147"/>
      <c r="BK39" s="147">
        <v>2516.0333999999998</v>
      </c>
      <c r="BL39" s="147">
        <v>704.1549</v>
      </c>
      <c r="BM39" s="147"/>
      <c r="BN39" s="147"/>
      <c r="BO39" s="147"/>
      <c r="BP39" s="147"/>
      <c r="BQ39" s="147"/>
      <c r="BR39" s="147"/>
      <c r="BS39" s="147"/>
      <c r="BT39" s="147"/>
      <c r="BU39" s="147"/>
      <c r="BV39" s="147"/>
      <c r="BW39" s="147"/>
      <c r="BX39" s="147"/>
      <c r="BY39" s="147"/>
      <c r="BZ39" s="147"/>
      <c r="CA39" s="147"/>
      <c r="CB39" s="147">
        <v>130.55000000000001</v>
      </c>
      <c r="CC39" s="231">
        <f t="shared" si="110"/>
        <v>12550</v>
      </c>
    </row>
    <row r="40" spans="1:94" s="3" customFormat="1" ht="15.75" thickBot="1" x14ac:dyDescent="0.3">
      <c r="B40" s="158">
        <v>12600</v>
      </c>
      <c r="C40" s="144">
        <f t="shared" si="119"/>
        <v>599.68590000000006</v>
      </c>
      <c r="D40" s="144">
        <f t="shared" si="120"/>
        <v>36.913499999999999</v>
      </c>
      <c r="E40" s="144"/>
      <c r="F40" s="144">
        <f t="shared" si="121"/>
        <v>3458.0633000000003</v>
      </c>
      <c r="G40" s="144">
        <f t="shared" si="7"/>
        <v>0</v>
      </c>
      <c r="H40" s="144">
        <f t="shared" si="8"/>
        <v>0</v>
      </c>
      <c r="I40" s="144">
        <f t="shared" si="9"/>
        <v>0</v>
      </c>
      <c r="J40" s="159">
        <f t="shared" si="10"/>
        <v>0</v>
      </c>
      <c r="K40" s="160">
        <f t="shared" si="11"/>
        <v>131.38999999999999</v>
      </c>
      <c r="L40" s="152">
        <f t="shared" si="111"/>
        <v>1216</v>
      </c>
      <c r="M40" s="144">
        <f t="shared" si="112"/>
        <v>64</v>
      </c>
      <c r="N40" s="144"/>
      <c r="O40" s="144">
        <f>ROUNDUP(((F39+F40)*0.5)*(B40-B39)/27,0)</f>
        <v>6184</v>
      </c>
      <c r="P40" s="144">
        <f t="shared" si="113"/>
        <v>0</v>
      </c>
      <c r="Q40" s="144">
        <f t="shared" si="114"/>
        <v>0</v>
      </c>
      <c r="R40" s="144">
        <f t="shared" si="115"/>
        <v>0</v>
      </c>
      <c r="S40" s="144">
        <f t="shared" si="116"/>
        <v>0</v>
      </c>
      <c r="T40" s="144">
        <f t="shared" si="117"/>
        <v>728</v>
      </c>
      <c r="U40" s="154"/>
      <c r="V40" s="150">
        <f>L39+L40+L38</f>
        <v>3531</v>
      </c>
      <c r="W40" s="150">
        <f>M39+M40+M38</f>
        <v>135</v>
      </c>
      <c r="X40" s="150"/>
      <c r="Y40" s="150">
        <f>O39+O40+O38</f>
        <v>15740</v>
      </c>
      <c r="Z40" s="150">
        <f t="shared" ref="Z40:AD40" si="122">P39+P40+P38</f>
        <v>0</v>
      </c>
      <c r="AA40" s="150">
        <f t="shared" si="122"/>
        <v>0</v>
      </c>
      <c r="AB40" s="150">
        <f t="shared" si="122"/>
        <v>0</v>
      </c>
      <c r="AC40" s="150">
        <f t="shared" si="122"/>
        <v>0</v>
      </c>
      <c r="AD40" s="150">
        <f t="shared" si="122"/>
        <v>2212</v>
      </c>
      <c r="AE40" s="153"/>
      <c r="AF40" s="158">
        <f t="shared" si="24"/>
        <v>12600</v>
      </c>
      <c r="AG40" s="144">
        <v>537.45630000000006</v>
      </c>
      <c r="AH40" s="144">
        <v>62.229599999999998</v>
      </c>
      <c r="AI40" s="144"/>
      <c r="AJ40" s="144"/>
      <c r="AK40" s="144"/>
      <c r="AL40" s="144"/>
      <c r="AM40" s="144"/>
      <c r="AN40" s="144"/>
      <c r="AO40" s="144"/>
      <c r="AP40" s="144"/>
      <c r="AQ40" s="144"/>
      <c r="AR40" s="144"/>
      <c r="AS40" s="144"/>
      <c r="AT40" s="144"/>
      <c r="AU40" s="144"/>
      <c r="AV40" s="144"/>
      <c r="AW40" s="144"/>
      <c r="AX40" s="144">
        <v>36.913499999999999</v>
      </c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  <c r="BI40" s="144"/>
      <c r="BJ40" s="144"/>
      <c r="BK40" s="144">
        <v>2858.3773999999999</v>
      </c>
      <c r="BL40" s="144">
        <v>537.45630000000006</v>
      </c>
      <c r="BM40" s="144">
        <v>62.229599999999998</v>
      </c>
      <c r="BN40" s="144"/>
      <c r="BO40" s="144"/>
      <c r="BP40" s="144"/>
      <c r="BQ40" s="144"/>
      <c r="BR40" s="144"/>
      <c r="BS40" s="144"/>
      <c r="BT40" s="144"/>
      <c r="BU40" s="144"/>
      <c r="BV40" s="144"/>
      <c r="BW40" s="144"/>
      <c r="BX40" s="144"/>
      <c r="BY40" s="144"/>
      <c r="BZ40" s="144"/>
      <c r="CA40" s="144"/>
      <c r="CB40" s="144">
        <v>131.38999999999999</v>
      </c>
      <c r="CC40" s="231">
        <f t="shared" si="110"/>
        <v>12600</v>
      </c>
    </row>
    <row r="41" spans="1:94" x14ac:dyDescent="0.25">
      <c r="B41" s="155">
        <v>12650</v>
      </c>
      <c r="C41" s="147">
        <f t="shared" si="119"/>
        <v>200.44499999999999</v>
      </c>
      <c r="D41" s="147">
        <f t="shared" si="120"/>
        <v>46.725900000000003</v>
      </c>
      <c r="E41" s="147"/>
      <c r="F41" s="147">
        <f t="shared" si="121"/>
        <v>3268.5070000000001</v>
      </c>
      <c r="G41" s="147">
        <f t="shared" si="7"/>
        <v>0</v>
      </c>
      <c r="H41" s="147">
        <f t="shared" si="8"/>
        <v>0</v>
      </c>
      <c r="I41" s="147">
        <f t="shared" si="9"/>
        <v>0</v>
      </c>
      <c r="J41" s="156">
        <f t="shared" si="10"/>
        <v>0</v>
      </c>
      <c r="K41" s="157">
        <f t="shared" si="11"/>
        <v>139.54</v>
      </c>
      <c r="L41" s="151">
        <f t="shared" si="111"/>
        <v>741</v>
      </c>
      <c r="M41" s="147">
        <f t="shared" si="112"/>
        <v>78</v>
      </c>
      <c r="N41" s="147"/>
      <c r="O41" s="147">
        <f t="shared" ref="O41:O53" si="123">ROUNDUP(((F40+F41)*0.5)*(B41-B40)/27,0)</f>
        <v>6229</v>
      </c>
      <c r="P41" s="147">
        <f t="shared" si="113"/>
        <v>0</v>
      </c>
      <c r="Q41" s="147">
        <f t="shared" si="114"/>
        <v>0</v>
      </c>
      <c r="R41" s="147">
        <f t="shared" si="115"/>
        <v>0</v>
      </c>
      <c r="S41" s="147">
        <f t="shared" si="116"/>
        <v>0</v>
      </c>
      <c r="T41" s="147">
        <f t="shared" si="117"/>
        <v>753</v>
      </c>
      <c r="U41" s="56"/>
      <c r="V41" s="146"/>
      <c r="W41" s="147"/>
      <c r="X41" s="147"/>
      <c r="Y41" s="147"/>
      <c r="Z41" s="147"/>
      <c r="AA41" s="147"/>
      <c r="AB41" s="147"/>
      <c r="AC41" s="147"/>
      <c r="AD41" s="148"/>
      <c r="AE41" s="55"/>
      <c r="AF41" s="155">
        <f t="shared" ref="AF41:AF49" si="124">B41</f>
        <v>12650</v>
      </c>
      <c r="AG41" s="147">
        <v>145.6902</v>
      </c>
      <c r="AH41" s="147">
        <v>54.754800000000003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>
        <v>44.379600000000003</v>
      </c>
      <c r="AY41" s="147">
        <v>2.3462999999999998</v>
      </c>
      <c r="AZ41" s="147"/>
      <c r="BA41" s="147"/>
      <c r="BB41" s="147"/>
      <c r="BC41" s="147"/>
      <c r="BD41" s="147"/>
      <c r="BE41" s="147"/>
      <c r="BF41" s="147"/>
      <c r="BG41" s="147"/>
      <c r="BH41" s="147"/>
      <c r="BI41" s="147"/>
      <c r="BJ41" s="147"/>
      <c r="BK41" s="147">
        <v>145.6902</v>
      </c>
      <c r="BL41" s="147">
        <v>54.754800000000003</v>
      </c>
      <c r="BM41" s="147">
        <v>3068.0619999999999</v>
      </c>
      <c r="BN41" s="147"/>
      <c r="BO41" s="147"/>
      <c r="BP41" s="147"/>
      <c r="BQ41" s="147"/>
      <c r="BR41" s="147"/>
      <c r="BS41" s="147"/>
      <c r="BT41" s="147"/>
      <c r="BU41" s="147"/>
      <c r="BV41" s="147"/>
      <c r="BW41" s="147"/>
      <c r="BX41" s="147"/>
      <c r="BY41" s="147"/>
      <c r="BZ41" s="147"/>
      <c r="CA41" s="147"/>
      <c r="CB41" s="147">
        <v>139.54</v>
      </c>
      <c r="CC41" s="231">
        <f t="shared" si="110"/>
        <v>12650</v>
      </c>
    </row>
    <row r="42" spans="1:94" x14ac:dyDescent="0.25">
      <c r="B42" s="57">
        <v>12700</v>
      </c>
      <c r="C42" s="58">
        <f t="shared" si="119"/>
        <v>0</v>
      </c>
      <c r="D42" s="58">
        <f t="shared" si="120"/>
        <v>57.357199999999999</v>
      </c>
      <c r="E42" s="58"/>
      <c r="F42" s="58">
        <f t="shared" si="121"/>
        <v>2923.3341999999998</v>
      </c>
      <c r="G42" s="58">
        <f t="shared" si="7"/>
        <v>0</v>
      </c>
      <c r="H42" s="58">
        <f t="shared" si="8"/>
        <v>0</v>
      </c>
      <c r="I42" s="58">
        <f t="shared" si="9"/>
        <v>0</v>
      </c>
      <c r="J42" s="51">
        <f t="shared" si="10"/>
        <v>0</v>
      </c>
      <c r="K42" s="99">
        <f t="shared" si="11"/>
        <v>174.37</v>
      </c>
      <c r="L42" s="105">
        <f t="shared" si="111"/>
        <v>186</v>
      </c>
      <c r="M42" s="58">
        <f t="shared" si="112"/>
        <v>97</v>
      </c>
      <c r="N42" s="58"/>
      <c r="O42" s="58">
        <f t="shared" si="123"/>
        <v>5734</v>
      </c>
      <c r="P42" s="58">
        <f t="shared" si="113"/>
        <v>0</v>
      </c>
      <c r="Q42" s="58">
        <f t="shared" si="114"/>
        <v>0</v>
      </c>
      <c r="R42" s="58">
        <f t="shared" si="115"/>
        <v>0</v>
      </c>
      <c r="S42" s="58">
        <f t="shared" si="116"/>
        <v>0</v>
      </c>
      <c r="T42" s="58">
        <f t="shared" si="117"/>
        <v>872</v>
      </c>
      <c r="U42" s="56"/>
      <c r="V42" s="137"/>
      <c r="W42" s="58"/>
      <c r="X42" s="58"/>
      <c r="Y42" s="58"/>
      <c r="Z42" s="58"/>
      <c r="AA42" s="58"/>
      <c r="AB42" s="58"/>
      <c r="AC42" s="58"/>
      <c r="AD42" s="138"/>
      <c r="AE42" s="55"/>
      <c r="AF42" s="57">
        <f t="shared" ref="AF42:AF48" si="125">B42</f>
        <v>12700</v>
      </c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>
        <v>53.8504</v>
      </c>
      <c r="AY42" s="58">
        <v>3.5068000000000001</v>
      </c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>
        <v>2923.3341999999998</v>
      </c>
      <c r="BL42" s="58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8"/>
      <c r="CA42" s="58"/>
      <c r="CB42" s="58">
        <v>174.37</v>
      </c>
      <c r="CC42" s="231">
        <f t="shared" si="110"/>
        <v>12700</v>
      </c>
    </row>
    <row r="43" spans="1:94" s="3" customFormat="1" ht="15.75" thickBot="1" x14ac:dyDescent="0.3">
      <c r="B43" s="158">
        <v>12750</v>
      </c>
      <c r="C43" s="144">
        <f t="shared" si="119"/>
        <v>0</v>
      </c>
      <c r="D43" s="144">
        <f t="shared" si="120"/>
        <v>70.079399999999993</v>
      </c>
      <c r="E43" s="144"/>
      <c r="F43" s="144">
        <f t="shared" si="121"/>
        <v>2236.4283</v>
      </c>
      <c r="G43" s="144">
        <f t="shared" si="7"/>
        <v>0</v>
      </c>
      <c r="H43" s="144">
        <f t="shared" si="8"/>
        <v>0</v>
      </c>
      <c r="I43" s="144">
        <f t="shared" si="9"/>
        <v>0</v>
      </c>
      <c r="J43" s="159">
        <f t="shared" si="10"/>
        <v>0</v>
      </c>
      <c r="K43" s="160">
        <f t="shared" si="11"/>
        <v>164.45</v>
      </c>
      <c r="L43" s="152">
        <f t="shared" si="111"/>
        <v>0</v>
      </c>
      <c r="M43" s="144">
        <f t="shared" si="112"/>
        <v>118</v>
      </c>
      <c r="N43" s="144"/>
      <c r="O43" s="144">
        <f t="shared" si="123"/>
        <v>4778</v>
      </c>
      <c r="P43" s="144">
        <f t="shared" si="113"/>
        <v>0</v>
      </c>
      <c r="Q43" s="144">
        <f t="shared" si="114"/>
        <v>0</v>
      </c>
      <c r="R43" s="144">
        <f t="shared" si="115"/>
        <v>0</v>
      </c>
      <c r="S43" s="144">
        <f t="shared" si="116"/>
        <v>0</v>
      </c>
      <c r="T43" s="144">
        <f t="shared" si="117"/>
        <v>942</v>
      </c>
      <c r="U43" s="154"/>
      <c r="V43" s="150">
        <f>L41+L42+L43</f>
        <v>927</v>
      </c>
      <c r="W43" s="150">
        <f t="shared" ref="W43" si="126">M41+M42+M43</f>
        <v>293</v>
      </c>
      <c r="X43" s="150"/>
      <c r="Y43" s="150">
        <f t="shared" ref="Y43" si="127">O41+O42+O43</f>
        <v>16741</v>
      </c>
      <c r="Z43" s="150">
        <f t="shared" ref="Z43" si="128">P41+P42+P43</f>
        <v>0</v>
      </c>
      <c r="AA43" s="150">
        <f t="shared" ref="AA43" si="129">Q41+Q42+Q43</f>
        <v>0</v>
      </c>
      <c r="AB43" s="150">
        <f t="shared" ref="AB43" si="130">R41+R42+R43</f>
        <v>0</v>
      </c>
      <c r="AC43" s="150">
        <f t="shared" ref="AC43" si="131">S41+S42+S43</f>
        <v>0</v>
      </c>
      <c r="AD43" s="150">
        <f t="shared" ref="AD43" si="132">T41+T42+T43</f>
        <v>2567</v>
      </c>
      <c r="AE43" s="153"/>
      <c r="AF43" s="158">
        <f t="shared" si="125"/>
        <v>12750</v>
      </c>
      <c r="AG43" s="144"/>
      <c r="AH43" s="144"/>
      <c r="AI43" s="144"/>
      <c r="AJ43" s="144"/>
      <c r="AK43" s="144"/>
      <c r="AL43" s="144"/>
      <c r="AM43" s="144"/>
      <c r="AN43" s="144"/>
      <c r="AO43" s="144"/>
      <c r="AP43" s="144"/>
      <c r="AQ43" s="144"/>
      <c r="AR43" s="144"/>
      <c r="AS43" s="144"/>
      <c r="AT43" s="144"/>
      <c r="AU43" s="144"/>
      <c r="AV43" s="144"/>
      <c r="AW43" s="144"/>
      <c r="AX43" s="144">
        <v>65.256299999999996</v>
      </c>
      <c r="AY43" s="144">
        <v>4.8231000000000002</v>
      </c>
      <c r="AZ43" s="144"/>
      <c r="BA43" s="144"/>
      <c r="BB43" s="144"/>
      <c r="BC43" s="144"/>
      <c r="BD43" s="144"/>
      <c r="BE43" s="144"/>
      <c r="BF43" s="144"/>
      <c r="BG43" s="144"/>
      <c r="BH43" s="144"/>
      <c r="BI43" s="144"/>
      <c r="BJ43" s="144"/>
      <c r="BK43" s="144">
        <v>2236.4283</v>
      </c>
      <c r="BL43" s="144"/>
      <c r="BM43" s="144"/>
      <c r="BN43" s="144"/>
      <c r="BO43" s="144"/>
      <c r="BP43" s="144"/>
      <c r="BQ43" s="144"/>
      <c r="BR43" s="144"/>
      <c r="BS43" s="144"/>
      <c r="BT43" s="144"/>
      <c r="BU43" s="144"/>
      <c r="BV43" s="144"/>
      <c r="BW43" s="144"/>
      <c r="BX43" s="144"/>
      <c r="BY43" s="144"/>
      <c r="BZ43" s="144"/>
      <c r="CA43" s="144"/>
      <c r="CB43" s="144">
        <v>164.45</v>
      </c>
      <c r="CC43" s="231">
        <f t="shared" si="110"/>
        <v>12750</v>
      </c>
    </row>
    <row r="44" spans="1:94" x14ac:dyDescent="0.25">
      <c r="B44" s="155">
        <v>12800</v>
      </c>
      <c r="C44" s="147">
        <f t="shared" si="119"/>
        <v>405.8347</v>
      </c>
      <c r="D44" s="147">
        <f t="shared" si="120"/>
        <v>84.318200000000004</v>
      </c>
      <c r="E44" s="147"/>
      <c r="F44" s="147">
        <f t="shared" si="121"/>
        <v>1279.0363</v>
      </c>
      <c r="G44" s="147">
        <f t="shared" si="7"/>
        <v>0</v>
      </c>
      <c r="H44" s="147">
        <f t="shared" si="8"/>
        <v>0</v>
      </c>
      <c r="I44" s="147">
        <f t="shared" si="9"/>
        <v>0</v>
      </c>
      <c r="J44" s="156">
        <f t="shared" si="10"/>
        <v>0</v>
      </c>
      <c r="K44" s="157">
        <f t="shared" si="11"/>
        <v>151.99</v>
      </c>
      <c r="L44" s="151">
        <f t="shared" si="111"/>
        <v>376</v>
      </c>
      <c r="M44" s="147">
        <f t="shared" si="112"/>
        <v>143</v>
      </c>
      <c r="N44" s="147"/>
      <c r="O44" s="147">
        <f t="shared" si="123"/>
        <v>3256</v>
      </c>
      <c r="P44" s="147">
        <f t="shared" si="113"/>
        <v>0</v>
      </c>
      <c r="Q44" s="147">
        <f t="shared" si="114"/>
        <v>0</v>
      </c>
      <c r="R44" s="147">
        <f t="shared" si="115"/>
        <v>0</v>
      </c>
      <c r="S44" s="147">
        <f t="shared" si="116"/>
        <v>0</v>
      </c>
      <c r="T44" s="147">
        <f t="shared" si="117"/>
        <v>879</v>
      </c>
      <c r="U44" s="56"/>
      <c r="V44" s="146"/>
      <c r="W44" s="147"/>
      <c r="X44" s="147"/>
      <c r="Y44" s="147"/>
      <c r="Z44" s="147"/>
      <c r="AA44" s="147"/>
      <c r="AB44" s="147"/>
      <c r="AC44" s="147"/>
      <c r="AD44" s="148"/>
      <c r="AE44" s="55"/>
      <c r="AF44" s="155">
        <f t="shared" si="125"/>
        <v>12800</v>
      </c>
      <c r="AG44" s="147">
        <v>405.8347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>
        <v>77.825000000000003</v>
      </c>
      <c r="AY44" s="147">
        <v>6.4931999999999999</v>
      </c>
      <c r="AZ44" s="147"/>
      <c r="BA44" s="147"/>
      <c r="BB44" s="147"/>
      <c r="BC44" s="147"/>
      <c r="BD44" s="147"/>
      <c r="BE44" s="147"/>
      <c r="BF44" s="147"/>
      <c r="BG44" s="147"/>
      <c r="BH44" s="147"/>
      <c r="BI44" s="147"/>
      <c r="BJ44" s="147"/>
      <c r="BK44" s="147">
        <v>1279.0363</v>
      </c>
      <c r="BL44" s="147"/>
      <c r="BM44" s="147"/>
      <c r="BN44" s="147"/>
      <c r="BO44" s="147"/>
      <c r="BP44" s="147"/>
      <c r="BQ44" s="147"/>
      <c r="BR44" s="147"/>
      <c r="BS44" s="147"/>
      <c r="BT44" s="147"/>
      <c r="BU44" s="147"/>
      <c r="BV44" s="147"/>
      <c r="BW44" s="147"/>
      <c r="BX44" s="147"/>
      <c r="BY44" s="147"/>
      <c r="BZ44" s="147"/>
      <c r="CA44" s="147"/>
      <c r="CB44" s="147">
        <v>151.99</v>
      </c>
      <c r="CC44" s="231">
        <f t="shared" si="110"/>
        <v>12800</v>
      </c>
    </row>
    <row r="45" spans="1:94" x14ac:dyDescent="0.25">
      <c r="B45" s="57">
        <v>12850</v>
      </c>
      <c r="C45" s="58">
        <f t="shared" si="119"/>
        <v>819.15679999999998</v>
      </c>
      <c r="D45" s="58">
        <f t="shared" si="120"/>
        <v>87.771299999999997</v>
      </c>
      <c r="E45" s="58"/>
      <c r="F45" s="58">
        <f t="shared" si="121"/>
        <v>790.13369999999998</v>
      </c>
      <c r="G45" s="58">
        <f t="shared" si="7"/>
        <v>0</v>
      </c>
      <c r="H45" s="58">
        <f t="shared" si="8"/>
        <v>0</v>
      </c>
      <c r="I45" s="58">
        <f t="shared" si="9"/>
        <v>0</v>
      </c>
      <c r="J45" s="51">
        <f t="shared" si="10"/>
        <v>0</v>
      </c>
      <c r="K45" s="99">
        <f t="shared" si="11"/>
        <v>132.38</v>
      </c>
      <c r="L45" s="105">
        <f t="shared" si="111"/>
        <v>1135</v>
      </c>
      <c r="M45" s="58">
        <f t="shared" si="112"/>
        <v>160</v>
      </c>
      <c r="N45" s="58"/>
      <c r="O45" s="58">
        <f t="shared" si="123"/>
        <v>1916</v>
      </c>
      <c r="P45" s="58">
        <f t="shared" si="113"/>
        <v>0</v>
      </c>
      <c r="Q45" s="58">
        <f t="shared" si="114"/>
        <v>0</v>
      </c>
      <c r="R45" s="58">
        <f t="shared" si="115"/>
        <v>0</v>
      </c>
      <c r="S45" s="58">
        <f t="shared" si="116"/>
        <v>0</v>
      </c>
      <c r="T45" s="58">
        <f t="shared" si="117"/>
        <v>790</v>
      </c>
      <c r="U45" s="56"/>
      <c r="V45" s="137"/>
      <c r="W45" s="58"/>
      <c r="X45" s="58"/>
      <c r="Y45" s="58"/>
      <c r="Z45" s="58"/>
      <c r="AA45" s="58"/>
      <c r="AB45" s="58"/>
      <c r="AC45" s="58"/>
      <c r="AD45" s="138"/>
      <c r="AE45" s="55"/>
      <c r="AF45" s="57">
        <f t="shared" si="125"/>
        <v>12850</v>
      </c>
      <c r="AG45" s="58">
        <v>819.15679999999998</v>
      </c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>
        <v>87.771299999999997</v>
      </c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>
        <v>790.13369999999998</v>
      </c>
      <c r="BL45" s="58"/>
      <c r="BM45" s="58"/>
      <c r="BN45" s="58"/>
      <c r="BO45" s="58"/>
      <c r="BP45" s="58"/>
      <c r="BQ45" s="58"/>
      <c r="BR45" s="58"/>
      <c r="BS45" s="58"/>
      <c r="BT45" s="58"/>
      <c r="BU45" s="58"/>
      <c r="BV45" s="58"/>
      <c r="BW45" s="58"/>
      <c r="BX45" s="58"/>
      <c r="BY45" s="58"/>
      <c r="BZ45" s="58"/>
      <c r="CA45" s="58"/>
      <c r="CB45" s="58">
        <v>132.38</v>
      </c>
      <c r="CC45" s="231">
        <f t="shared" si="110"/>
        <v>12850</v>
      </c>
    </row>
    <row r="46" spans="1:94" s="3" customFormat="1" ht="15.75" thickBot="1" x14ac:dyDescent="0.3">
      <c r="B46" s="158">
        <v>12900</v>
      </c>
      <c r="C46" s="144">
        <f t="shared" si="119"/>
        <v>218.00739999999999</v>
      </c>
      <c r="D46" s="144">
        <f t="shared" si="120"/>
        <v>90.462900000000005</v>
      </c>
      <c r="E46" s="144"/>
      <c r="F46" s="144">
        <f t="shared" si="121"/>
        <v>491.74939999999998</v>
      </c>
      <c r="G46" s="144">
        <f t="shared" si="7"/>
        <v>0</v>
      </c>
      <c r="H46" s="144">
        <f t="shared" si="8"/>
        <v>0</v>
      </c>
      <c r="I46" s="144">
        <f t="shared" si="9"/>
        <v>0</v>
      </c>
      <c r="J46" s="159">
        <f t="shared" si="10"/>
        <v>0</v>
      </c>
      <c r="K46" s="160">
        <f t="shared" si="11"/>
        <v>89.38</v>
      </c>
      <c r="L46" s="152">
        <f t="shared" si="111"/>
        <v>961</v>
      </c>
      <c r="M46" s="144">
        <f t="shared" si="112"/>
        <v>166</v>
      </c>
      <c r="N46" s="144"/>
      <c r="O46" s="144">
        <f t="shared" si="123"/>
        <v>1187</v>
      </c>
      <c r="P46" s="144">
        <f t="shared" si="113"/>
        <v>0</v>
      </c>
      <c r="Q46" s="144">
        <f t="shared" si="114"/>
        <v>0</v>
      </c>
      <c r="R46" s="144">
        <f t="shared" si="115"/>
        <v>0</v>
      </c>
      <c r="S46" s="144">
        <f t="shared" si="116"/>
        <v>0</v>
      </c>
      <c r="T46" s="144">
        <f t="shared" si="117"/>
        <v>616</v>
      </c>
      <c r="U46" s="154"/>
      <c r="V46" s="150">
        <f>L44+L45+L46</f>
        <v>2472</v>
      </c>
      <c r="W46" s="150">
        <f t="shared" ref="W46" si="133">M44+M45+M46</f>
        <v>469</v>
      </c>
      <c r="X46" s="150"/>
      <c r="Y46" s="150">
        <f t="shared" ref="Y46" si="134">O44+O45+O46</f>
        <v>6359</v>
      </c>
      <c r="Z46" s="150">
        <f t="shared" ref="Z46" si="135">P44+P45+P46</f>
        <v>0</v>
      </c>
      <c r="AA46" s="150">
        <f t="shared" ref="AA46" si="136">Q44+Q45+Q46</f>
        <v>0</v>
      </c>
      <c r="AB46" s="150">
        <f t="shared" ref="AB46" si="137">R44+R45+R46</f>
        <v>0</v>
      </c>
      <c r="AC46" s="150">
        <f t="shared" ref="AC46" si="138">S44+S45+S46</f>
        <v>0</v>
      </c>
      <c r="AD46" s="150">
        <f t="shared" ref="AD46" si="139">T44+T45+T46</f>
        <v>2285</v>
      </c>
      <c r="AE46" s="153"/>
      <c r="AF46" s="158">
        <f t="shared" si="125"/>
        <v>12900</v>
      </c>
      <c r="AG46" s="144">
        <v>218.00739999999999</v>
      </c>
      <c r="AH46" s="144"/>
      <c r="AI46" s="144"/>
      <c r="AJ46" s="144"/>
      <c r="AK46" s="144"/>
      <c r="AL46" s="144"/>
      <c r="AM46" s="144"/>
      <c r="AN46" s="144"/>
      <c r="AO46" s="144"/>
      <c r="AP46" s="144"/>
      <c r="AQ46" s="144"/>
      <c r="AR46" s="144"/>
      <c r="AS46" s="144"/>
      <c r="AT46" s="144"/>
      <c r="AU46" s="144"/>
      <c r="AV46" s="144"/>
      <c r="AW46" s="144"/>
      <c r="AX46" s="144">
        <v>90.462900000000005</v>
      </c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  <c r="BI46" s="144"/>
      <c r="BJ46" s="144"/>
      <c r="BK46" s="144">
        <v>491.74939999999998</v>
      </c>
      <c r="BL46" s="144"/>
      <c r="BM46" s="144"/>
      <c r="BN46" s="144"/>
      <c r="BO46" s="144"/>
      <c r="BP46" s="144"/>
      <c r="BQ46" s="144"/>
      <c r="BR46" s="144"/>
      <c r="BS46" s="144"/>
      <c r="BT46" s="144"/>
      <c r="BU46" s="144"/>
      <c r="BV46" s="144"/>
      <c r="BW46" s="144"/>
      <c r="BX46" s="144"/>
      <c r="BY46" s="144"/>
      <c r="BZ46" s="144"/>
      <c r="CA46" s="144"/>
      <c r="CB46" s="144">
        <v>89.38</v>
      </c>
      <c r="CC46" s="231">
        <f t="shared" si="110"/>
        <v>12900</v>
      </c>
    </row>
    <row r="47" spans="1:94" x14ac:dyDescent="0.25">
      <c r="B47" s="155">
        <v>12950</v>
      </c>
      <c r="C47" s="147">
        <f t="shared" si="119"/>
        <v>449.07859999999999</v>
      </c>
      <c r="D47" s="147">
        <f t="shared" si="120"/>
        <v>88.864099999999993</v>
      </c>
      <c r="E47" s="147"/>
      <c r="F47" s="147">
        <f t="shared" si="121"/>
        <v>214.9931</v>
      </c>
      <c r="G47" s="147">
        <f t="shared" si="7"/>
        <v>0</v>
      </c>
      <c r="H47" s="147">
        <f t="shared" si="8"/>
        <v>0</v>
      </c>
      <c r="I47" s="147">
        <f t="shared" si="9"/>
        <v>0</v>
      </c>
      <c r="J47" s="156">
        <f t="shared" si="10"/>
        <v>0</v>
      </c>
      <c r="K47" s="157">
        <f t="shared" si="11"/>
        <v>102.83</v>
      </c>
      <c r="L47" s="151">
        <f t="shared" si="111"/>
        <v>618</v>
      </c>
      <c r="M47" s="147">
        <f t="shared" si="112"/>
        <v>167</v>
      </c>
      <c r="N47" s="147"/>
      <c r="O47" s="147">
        <f t="shared" si="123"/>
        <v>655</v>
      </c>
      <c r="P47" s="147">
        <f t="shared" si="113"/>
        <v>0</v>
      </c>
      <c r="Q47" s="147">
        <f t="shared" si="114"/>
        <v>0</v>
      </c>
      <c r="R47" s="147">
        <f t="shared" si="115"/>
        <v>0</v>
      </c>
      <c r="S47" s="147">
        <f t="shared" si="116"/>
        <v>0</v>
      </c>
      <c r="T47" s="147">
        <f t="shared" si="117"/>
        <v>534</v>
      </c>
      <c r="U47" s="56"/>
      <c r="V47" s="146"/>
      <c r="W47" s="147"/>
      <c r="X47" s="147"/>
      <c r="Y47" s="147"/>
      <c r="Z47" s="147"/>
      <c r="AA47" s="147"/>
      <c r="AB47" s="147"/>
      <c r="AC47" s="147"/>
      <c r="AD47" s="148"/>
      <c r="AE47" s="55"/>
      <c r="AF47" s="155">
        <f t="shared" si="125"/>
        <v>12950</v>
      </c>
      <c r="AG47" s="147">
        <v>449.07859999999999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>
        <v>88.864099999999993</v>
      </c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  <c r="BI47" s="147"/>
      <c r="BJ47" s="147"/>
      <c r="BK47" s="147">
        <v>214.9931</v>
      </c>
      <c r="BL47" s="147"/>
      <c r="BM47" s="147"/>
      <c r="BN47" s="147"/>
      <c r="BO47" s="147"/>
      <c r="BP47" s="147"/>
      <c r="BQ47" s="147"/>
      <c r="BR47" s="147"/>
      <c r="BS47" s="147"/>
      <c r="BT47" s="147"/>
      <c r="BU47" s="147"/>
      <c r="BV47" s="147"/>
      <c r="BW47" s="147"/>
      <c r="BX47" s="147"/>
      <c r="BY47" s="147"/>
      <c r="BZ47" s="147"/>
      <c r="CA47" s="147"/>
      <c r="CB47" s="147">
        <v>102.83</v>
      </c>
      <c r="CC47" s="231">
        <f t="shared" si="110"/>
        <v>12950</v>
      </c>
    </row>
    <row r="48" spans="1:94" x14ac:dyDescent="0.25">
      <c r="B48" s="57">
        <v>13000</v>
      </c>
      <c r="C48" s="58">
        <f t="shared" si="119"/>
        <v>642.16039999999998</v>
      </c>
      <c r="D48" s="58">
        <f t="shared" si="120"/>
        <v>74.517300000000006</v>
      </c>
      <c r="E48" s="58"/>
      <c r="F48" s="58">
        <f t="shared" si="121"/>
        <v>57.723199999999999</v>
      </c>
      <c r="G48" s="58">
        <f t="shared" si="7"/>
        <v>0</v>
      </c>
      <c r="H48" s="58">
        <f t="shared" si="8"/>
        <v>0</v>
      </c>
      <c r="I48" s="58">
        <f t="shared" si="9"/>
        <v>0</v>
      </c>
      <c r="J48" s="51">
        <f t="shared" si="10"/>
        <v>0</v>
      </c>
      <c r="K48" s="99">
        <f t="shared" si="11"/>
        <v>86.71</v>
      </c>
      <c r="L48" s="105">
        <f t="shared" si="111"/>
        <v>1011</v>
      </c>
      <c r="M48" s="58">
        <f t="shared" si="112"/>
        <v>152</v>
      </c>
      <c r="N48" s="58"/>
      <c r="O48" s="58">
        <f t="shared" si="123"/>
        <v>253</v>
      </c>
      <c r="P48" s="58">
        <f t="shared" si="113"/>
        <v>0</v>
      </c>
      <c r="Q48" s="58">
        <f t="shared" si="114"/>
        <v>0</v>
      </c>
      <c r="R48" s="58">
        <f t="shared" si="115"/>
        <v>0</v>
      </c>
      <c r="S48" s="58">
        <f t="shared" si="116"/>
        <v>0</v>
      </c>
      <c r="T48" s="58">
        <f t="shared" si="117"/>
        <v>527</v>
      </c>
      <c r="U48" s="56"/>
      <c r="V48" s="137"/>
      <c r="W48" s="58"/>
      <c r="X48" s="58"/>
      <c r="Y48" s="58"/>
      <c r="Z48" s="58"/>
      <c r="AA48" s="58"/>
      <c r="AB48" s="58"/>
      <c r="AC48" s="58"/>
      <c r="AD48" s="138"/>
      <c r="AE48" s="55"/>
      <c r="AF48" s="57">
        <f t="shared" si="125"/>
        <v>13000</v>
      </c>
      <c r="AG48" s="58">
        <v>642.16039999999998</v>
      </c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>
        <v>74.517300000000006</v>
      </c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>
        <v>57.723199999999999</v>
      </c>
      <c r="BL48" s="58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8"/>
      <c r="CA48" s="58"/>
      <c r="CB48" s="58">
        <v>86.71</v>
      </c>
      <c r="CC48" s="231">
        <f t="shared" si="110"/>
        <v>13000</v>
      </c>
    </row>
    <row r="49" spans="1:81" s="3" customFormat="1" ht="15.75" thickBot="1" x14ac:dyDescent="0.3">
      <c r="B49" s="158">
        <v>13050</v>
      </c>
      <c r="C49" s="144">
        <f t="shared" si="119"/>
        <v>973.59529999999995</v>
      </c>
      <c r="D49" s="144">
        <f t="shared" si="120"/>
        <v>33.047400000000003</v>
      </c>
      <c r="E49" s="144"/>
      <c r="F49" s="144">
        <f t="shared" si="121"/>
        <v>0</v>
      </c>
      <c r="G49" s="144">
        <f t="shared" si="7"/>
        <v>0</v>
      </c>
      <c r="H49" s="144">
        <f t="shared" si="8"/>
        <v>0</v>
      </c>
      <c r="I49" s="144">
        <f t="shared" si="9"/>
        <v>0</v>
      </c>
      <c r="J49" s="159">
        <f t="shared" si="10"/>
        <v>0</v>
      </c>
      <c r="K49" s="160">
        <f t="shared" si="11"/>
        <v>93.93</v>
      </c>
      <c r="L49" s="152">
        <f t="shared" si="111"/>
        <v>1497</v>
      </c>
      <c r="M49" s="144">
        <f t="shared" si="112"/>
        <v>100</v>
      </c>
      <c r="N49" s="144"/>
      <c r="O49" s="144">
        <f t="shared" si="123"/>
        <v>54</v>
      </c>
      <c r="P49" s="144">
        <f t="shared" si="113"/>
        <v>0</v>
      </c>
      <c r="Q49" s="144">
        <f t="shared" si="114"/>
        <v>0</v>
      </c>
      <c r="R49" s="144">
        <f t="shared" si="115"/>
        <v>0</v>
      </c>
      <c r="S49" s="144">
        <f t="shared" si="116"/>
        <v>0</v>
      </c>
      <c r="T49" s="144">
        <f t="shared" si="117"/>
        <v>502</v>
      </c>
      <c r="U49" s="154"/>
      <c r="V49" s="150">
        <f>L47+L48+L49</f>
        <v>3126</v>
      </c>
      <c r="W49" s="150">
        <f t="shared" ref="W49" si="140">M47+M48+M49</f>
        <v>419</v>
      </c>
      <c r="X49" s="150"/>
      <c r="Y49" s="150">
        <f t="shared" ref="Y49" si="141">O47+O48+O49</f>
        <v>962</v>
      </c>
      <c r="Z49" s="150">
        <f t="shared" ref="Z49" si="142">P47+P48+P49</f>
        <v>0</v>
      </c>
      <c r="AA49" s="150">
        <f t="shared" ref="AA49" si="143">Q47+Q48+Q49</f>
        <v>0</v>
      </c>
      <c r="AB49" s="150">
        <f t="shared" ref="AB49" si="144">R47+R48+R49</f>
        <v>0</v>
      </c>
      <c r="AC49" s="150">
        <f t="shared" ref="AC49" si="145">S47+S48+S49</f>
        <v>0</v>
      </c>
      <c r="AD49" s="150">
        <f t="shared" ref="AD49" si="146">T47+T48+T49</f>
        <v>1563</v>
      </c>
      <c r="AE49" s="153"/>
      <c r="AF49" s="158">
        <f t="shared" si="124"/>
        <v>13050</v>
      </c>
      <c r="AG49" s="144">
        <v>973.59529999999995</v>
      </c>
      <c r="AH49" s="144"/>
      <c r="AI49" s="144"/>
      <c r="AJ49" s="144"/>
      <c r="AK49" s="144"/>
      <c r="AL49" s="144"/>
      <c r="AM49" s="144"/>
      <c r="AN49" s="144"/>
      <c r="AO49" s="144"/>
      <c r="AP49" s="144"/>
      <c r="AQ49" s="144"/>
      <c r="AR49" s="144"/>
      <c r="AS49" s="144"/>
      <c r="AT49" s="144"/>
      <c r="AU49" s="144"/>
      <c r="AV49" s="144"/>
      <c r="AW49" s="144"/>
      <c r="AX49" s="144">
        <v>33.047400000000003</v>
      </c>
      <c r="AY49" s="144"/>
      <c r="AZ49" s="144"/>
      <c r="BA49" s="144"/>
      <c r="BB49" s="144"/>
      <c r="BC49" s="144"/>
      <c r="BD49" s="144"/>
      <c r="BE49" s="144"/>
      <c r="BF49" s="144"/>
      <c r="BG49" s="144"/>
      <c r="BH49" s="144"/>
      <c r="BI49" s="144"/>
      <c r="BJ49" s="144"/>
      <c r="BK49" s="144"/>
      <c r="BL49" s="144"/>
      <c r="BM49" s="144"/>
      <c r="BN49" s="144"/>
      <c r="BO49" s="144"/>
      <c r="BP49" s="144"/>
      <c r="BQ49" s="144"/>
      <c r="BR49" s="144"/>
      <c r="BS49" s="144"/>
      <c r="BT49" s="144"/>
      <c r="BU49" s="144"/>
      <c r="BV49" s="144"/>
      <c r="BW49" s="144"/>
      <c r="BX49" s="144"/>
      <c r="BY49" s="144"/>
      <c r="BZ49" s="144"/>
      <c r="CA49" s="144"/>
      <c r="CB49" s="144">
        <v>93.93</v>
      </c>
      <c r="CC49" s="231">
        <f t="shared" si="110"/>
        <v>13050</v>
      </c>
    </row>
    <row r="50" spans="1:81" x14ac:dyDescent="0.25">
      <c r="B50" s="155">
        <v>13100</v>
      </c>
      <c r="C50" s="147">
        <f t="shared" si="119"/>
        <v>1508.1314</v>
      </c>
      <c r="D50" s="147">
        <f t="shared" si="120"/>
        <v>0</v>
      </c>
      <c r="E50" s="147"/>
      <c r="F50" s="147">
        <f t="shared" si="121"/>
        <v>0</v>
      </c>
      <c r="G50" s="147">
        <f t="shared" si="7"/>
        <v>0</v>
      </c>
      <c r="H50" s="147">
        <f t="shared" si="8"/>
        <v>0</v>
      </c>
      <c r="I50" s="147">
        <f t="shared" si="9"/>
        <v>0</v>
      </c>
      <c r="J50" s="156">
        <f t="shared" si="10"/>
        <v>0</v>
      </c>
      <c r="K50" s="157">
        <f t="shared" si="11"/>
        <v>91.5</v>
      </c>
      <c r="L50" s="151">
        <f>ROUNDUP(((C49+C50)*0.5)*(B50-B49)/27,0)</f>
        <v>2298</v>
      </c>
      <c r="M50" s="147">
        <f t="shared" si="112"/>
        <v>31</v>
      </c>
      <c r="N50" s="147"/>
      <c r="O50" s="147">
        <f t="shared" si="123"/>
        <v>0</v>
      </c>
      <c r="P50" s="147">
        <f t="shared" si="113"/>
        <v>0</v>
      </c>
      <c r="Q50" s="147">
        <f t="shared" si="114"/>
        <v>0</v>
      </c>
      <c r="R50" s="147">
        <f t="shared" si="115"/>
        <v>0</v>
      </c>
      <c r="S50" s="147">
        <f t="shared" si="116"/>
        <v>0</v>
      </c>
      <c r="T50" s="147">
        <f t="shared" si="117"/>
        <v>516</v>
      </c>
      <c r="U50" s="56"/>
      <c r="V50" s="146"/>
      <c r="W50" s="147"/>
      <c r="X50" s="147"/>
      <c r="Y50" s="147"/>
      <c r="Z50" s="147"/>
      <c r="AA50" s="147"/>
      <c r="AB50" s="147"/>
      <c r="AC50" s="147"/>
      <c r="AD50" s="148"/>
      <c r="AE50" s="55"/>
      <c r="AF50" s="155">
        <f t="shared" si="24"/>
        <v>13100</v>
      </c>
      <c r="AG50" s="147">
        <v>1508.1314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  <c r="BI50" s="147"/>
      <c r="BJ50" s="147"/>
      <c r="BK50" s="147"/>
      <c r="BL50" s="147"/>
      <c r="BM50" s="147"/>
      <c r="BN50" s="147"/>
      <c r="BO50" s="147"/>
      <c r="BP50" s="147"/>
      <c r="BQ50" s="147"/>
      <c r="BR50" s="147"/>
      <c r="BS50" s="147"/>
      <c r="BT50" s="147"/>
      <c r="BU50" s="147"/>
      <c r="BV50" s="147"/>
      <c r="BW50" s="147"/>
      <c r="BX50" s="147"/>
      <c r="BY50" s="147"/>
      <c r="BZ50" s="147"/>
      <c r="CA50" s="147"/>
      <c r="CB50" s="147">
        <v>91.5</v>
      </c>
      <c r="CC50" s="231">
        <f t="shared" si="110"/>
        <v>13100</v>
      </c>
    </row>
    <row r="51" spans="1:81" x14ac:dyDescent="0.25">
      <c r="B51" s="57">
        <v>13150</v>
      </c>
      <c r="C51" s="58">
        <f t="shared" si="119"/>
        <v>1783.9061999999999</v>
      </c>
      <c r="D51" s="58">
        <f t="shared" si="120"/>
        <v>0</v>
      </c>
      <c r="E51" s="58"/>
      <c r="F51" s="58">
        <f t="shared" si="121"/>
        <v>0</v>
      </c>
      <c r="G51" s="58">
        <f t="shared" si="7"/>
        <v>0</v>
      </c>
      <c r="H51" s="58">
        <f t="shared" si="8"/>
        <v>0</v>
      </c>
      <c r="I51" s="58">
        <f t="shared" si="9"/>
        <v>0</v>
      </c>
      <c r="J51" s="51">
        <f t="shared" si="10"/>
        <v>0</v>
      </c>
      <c r="K51" s="99">
        <f t="shared" si="11"/>
        <v>100.55</v>
      </c>
      <c r="L51" s="105">
        <f t="shared" si="111"/>
        <v>3049</v>
      </c>
      <c r="M51" s="58">
        <f t="shared" si="112"/>
        <v>0</v>
      </c>
      <c r="N51" s="58"/>
      <c r="O51" s="58">
        <f t="shared" si="123"/>
        <v>0</v>
      </c>
      <c r="P51" s="58">
        <f t="shared" si="113"/>
        <v>0</v>
      </c>
      <c r="Q51" s="58">
        <f t="shared" si="114"/>
        <v>0</v>
      </c>
      <c r="R51" s="58">
        <f t="shared" si="115"/>
        <v>0</v>
      </c>
      <c r="S51" s="58">
        <f t="shared" si="116"/>
        <v>0</v>
      </c>
      <c r="T51" s="58">
        <f t="shared" si="117"/>
        <v>534</v>
      </c>
      <c r="U51" s="56"/>
      <c r="V51" s="137"/>
      <c r="W51" s="58"/>
      <c r="X51" s="58"/>
      <c r="Y51" s="58"/>
      <c r="Z51" s="58"/>
      <c r="AA51" s="58"/>
      <c r="AB51" s="58"/>
      <c r="AC51" s="58"/>
      <c r="AD51" s="138"/>
      <c r="AE51" s="55"/>
      <c r="AF51" s="57">
        <f t="shared" ref="AF51:AF52" si="147">B51</f>
        <v>13150</v>
      </c>
      <c r="AG51" s="58">
        <v>1783.9061999999999</v>
      </c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58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8"/>
      <c r="CA51" s="58"/>
      <c r="CB51" s="58">
        <v>100.55</v>
      </c>
      <c r="CC51" s="231">
        <f t="shared" si="110"/>
        <v>13150</v>
      </c>
    </row>
    <row r="52" spans="1:81" s="3" customFormat="1" ht="15.75" thickBot="1" x14ac:dyDescent="0.3">
      <c r="B52" s="158">
        <v>13200</v>
      </c>
      <c r="C52" s="144">
        <f t="shared" si="119"/>
        <v>2143.4449</v>
      </c>
      <c r="D52" s="144">
        <f t="shared" si="120"/>
        <v>0</v>
      </c>
      <c r="E52" s="144"/>
      <c r="F52" s="144">
        <f t="shared" si="121"/>
        <v>0</v>
      </c>
      <c r="G52" s="144">
        <f t="shared" si="7"/>
        <v>0</v>
      </c>
      <c r="H52" s="144">
        <f t="shared" si="8"/>
        <v>0</v>
      </c>
      <c r="I52" s="144">
        <f t="shared" si="9"/>
        <v>0</v>
      </c>
      <c r="J52" s="159">
        <f t="shared" si="10"/>
        <v>0</v>
      </c>
      <c r="K52" s="160">
        <f t="shared" si="11"/>
        <v>129.30000000000001</v>
      </c>
      <c r="L52" s="152">
        <f t="shared" si="111"/>
        <v>3637</v>
      </c>
      <c r="M52" s="144">
        <f t="shared" si="112"/>
        <v>0</v>
      </c>
      <c r="N52" s="144"/>
      <c r="O52" s="144">
        <f t="shared" si="123"/>
        <v>0</v>
      </c>
      <c r="P52" s="144">
        <f t="shared" si="113"/>
        <v>0</v>
      </c>
      <c r="Q52" s="144">
        <f t="shared" si="114"/>
        <v>0</v>
      </c>
      <c r="R52" s="144">
        <f t="shared" si="115"/>
        <v>0</v>
      </c>
      <c r="S52" s="144">
        <f t="shared" si="116"/>
        <v>0</v>
      </c>
      <c r="T52" s="144">
        <f t="shared" si="117"/>
        <v>639</v>
      </c>
      <c r="U52" s="154"/>
      <c r="V52" s="150">
        <f>L50+L51+L52</f>
        <v>8984</v>
      </c>
      <c r="W52" s="150">
        <f t="shared" ref="W52" si="148">M50+M51+M52</f>
        <v>31</v>
      </c>
      <c r="X52" s="150"/>
      <c r="Y52" s="150">
        <f t="shared" ref="Y52" si="149">O50+O51+O52</f>
        <v>0</v>
      </c>
      <c r="Z52" s="150">
        <f t="shared" ref="Z52" si="150">P50+P51+P52</f>
        <v>0</v>
      </c>
      <c r="AA52" s="150">
        <f t="shared" ref="AA52" si="151">Q50+Q51+Q52</f>
        <v>0</v>
      </c>
      <c r="AB52" s="150">
        <f t="shared" ref="AB52" si="152">R50+R51+R52</f>
        <v>0</v>
      </c>
      <c r="AC52" s="150">
        <f t="shared" ref="AC52" si="153">S50+S51+S52</f>
        <v>0</v>
      </c>
      <c r="AD52" s="150">
        <f t="shared" ref="AD52" si="154">T50+T51+T52</f>
        <v>1689</v>
      </c>
      <c r="AE52" s="153"/>
      <c r="AF52" s="158">
        <f t="shared" si="147"/>
        <v>13200</v>
      </c>
      <c r="AG52" s="144">
        <v>2143.4449</v>
      </c>
      <c r="AH52" s="144"/>
      <c r="AI52" s="144"/>
      <c r="AJ52" s="144"/>
      <c r="AK52" s="144"/>
      <c r="AL52" s="144"/>
      <c r="AM52" s="144"/>
      <c r="AN52" s="144"/>
      <c r="AO52" s="144"/>
      <c r="AP52" s="144"/>
      <c r="AQ52" s="144"/>
      <c r="AR52" s="144"/>
      <c r="AS52" s="144"/>
      <c r="AT52" s="144"/>
      <c r="AU52" s="144"/>
      <c r="AV52" s="144"/>
      <c r="AW52" s="144"/>
      <c r="AX52" s="144"/>
      <c r="AY52" s="144"/>
      <c r="AZ52" s="144"/>
      <c r="BA52" s="144"/>
      <c r="BB52" s="144"/>
      <c r="BC52" s="144"/>
      <c r="BD52" s="144"/>
      <c r="BE52" s="144"/>
      <c r="BF52" s="144"/>
      <c r="BG52" s="144"/>
      <c r="BH52" s="144"/>
      <c r="BI52" s="144"/>
      <c r="BJ52" s="144"/>
      <c r="BK52" s="144"/>
      <c r="BL52" s="144"/>
      <c r="BM52" s="144"/>
      <c r="BN52" s="144"/>
      <c r="BO52" s="144"/>
      <c r="BP52" s="144"/>
      <c r="BQ52" s="144"/>
      <c r="BR52" s="144"/>
      <c r="BS52" s="144"/>
      <c r="BT52" s="144"/>
      <c r="BU52" s="144"/>
      <c r="BV52" s="144"/>
      <c r="BW52" s="144"/>
      <c r="BX52" s="144"/>
      <c r="BY52" s="144"/>
      <c r="BZ52" s="144"/>
      <c r="CA52" s="144"/>
      <c r="CB52" s="144">
        <v>129.30000000000001</v>
      </c>
      <c r="CC52" s="231">
        <f t="shared" si="110"/>
        <v>13200</v>
      </c>
    </row>
    <row r="53" spans="1:81" s="80" customFormat="1" x14ac:dyDescent="0.25">
      <c r="A53" s="449" t="s">
        <v>38</v>
      </c>
      <c r="B53" s="132">
        <v>13243.48</v>
      </c>
      <c r="C53" s="169">
        <f t="shared" ref="C53:C88" si="155">AG53+AH53+AI53+AJ53+AK53+AL53+AM53</f>
        <v>2406.1087000000002</v>
      </c>
      <c r="D53" s="169">
        <f t="shared" si="22"/>
        <v>0</v>
      </c>
      <c r="E53" s="169"/>
      <c r="F53" s="169">
        <f t="shared" si="23"/>
        <v>0</v>
      </c>
      <c r="G53" s="169">
        <f t="shared" si="7"/>
        <v>0</v>
      </c>
      <c r="H53" s="169">
        <f t="shared" si="8"/>
        <v>0</v>
      </c>
      <c r="I53" s="169">
        <f t="shared" si="9"/>
        <v>0</v>
      </c>
      <c r="J53" s="170">
        <f t="shared" si="10"/>
        <v>0</v>
      </c>
      <c r="K53" s="171">
        <f t="shared" si="11"/>
        <v>148.83000000000001</v>
      </c>
      <c r="L53" s="164">
        <f t="shared" si="111"/>
        <v>3664</v>
      </c>
      <c r="M53" s="161">
        <f t="shared" si="112"/>
        <v>0</v>
      </c>
      <c r="N53" s="161"/>
      <c r="O53" s="161">
        <f t="shared" si="123"/>
        <v>0</v>
      </c>
      <c r="P53" s="161">
        <f t="shared" si="113"/>
        <v>0</v>
      </c>
      <c r="Q53" s="161">
        <f t="shared" si="114"/>
        <v>0</v>
      </c>
      <c r="R53" s="161">
        <f t="shared" si="115"/>
        <v>0</v>
      </c>
      <c r="S53" s="161">
        <f t="shared" si="116"/>
        <v>0</v>
      </c>
      <c r="T53" s="59">
        <f>ROUNDUP(((K53+K52)*0.5)*(B53-B52)/9,0)</f>
        <v>672</v>
      </c>
      <c r="U53" s="84"/>
      <c r="V53" s="165"/>
      <c r="W53" s="161"/>
      <c r="X53" s="161"/>
      <c r="Y53" s="161"/>
      <c r="Z53" s="161"/>
      <c r="AA53" s="161"/>
      <c r="AB53" s="161"/>
      <c r="AC53" s="161"/>
      <c r="AD53" s="166"/>
      <c r="AE53" s="85"/>
      <c r="AF53" s="132">
        <f t="shared" si="24"/>
        <v>13243.48</v>
      </c>
      <c r="AG53" s="169">
        <v>2406.1087000000002</v>
      </c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  <c r="CB53" s="169">
        <v>148.83000000000001</v>
      </c>
      <c r="CC53" s="231">
        <f t="shared" si="110"/>
        <v>13243.48</v>
      </c>
    </row>
    <row r="54" spans="1:81" s="80" customFormat="1" x14ac:dyDescent="0.25">
      <c r="A54" s="449"/>
      <c r="B54" s="81">
        <v>13570.46</v>
      </c>
      <c r="C54" s="82">
        <f t="shared" si="155"/>
        <v>387.0335</v>
      </c>
      <c r="D54" s="82">
        <f t="shared" si="22"/>
        <v>0</v>
      </c>
      <c r="E54" s="82">
        <f>BH54+BJ54+BI54</f>
        <v>4663.7577000000001</v>
      </c>
      <c r="F54" s="82">
        <f t="shared" si="23"/>
        <v>0</v>
      </c>
      <c r="G54" s="82">
        <f t="shared" si="7"/>
        <v>0</v>
      </c>
      <c r="H54" s="82">
        <f t="shared" si="8"/>
        <v>0</v>
      </c>
      <c r="I54" s="82">
        <f t="shared" si="9"/>
        <v>0</v>
      </c>
      <c r="J54" s="83">
        <f t="shared" si="10"/>
        <v>0</v>
      </c>
      <c r="K54" s="101">
        <f t="shared" si="11"/>
        <v>173.05</v>
      </c>
      <c r="L54" s="107"/>
      <c r="M54" s="82"/>
      <c r="N54" s="82">
        <f>ROUNDUP(((E53+E54)*0.5)*(B54-13456)/27,0)</f>
        <v>9886</v>
      </c>
      <c r="O54" s="82"/>
      <c r="P54" s="82"/>
      <c r="Q54" s="82"/>
      <c r="R54" s="82"/>
      <c r="S54" s="82"/>
      <c r="T54" s="82"/>
      <c r="U54" s="84"/>
      <c r="V54" s="141"/>
      <c r="W54" s="82"/>
      <c r="X54" s="82"/>
      <c r="Y54" s="82"/>
      <c r="Z54" s="82"/>
      <c r="AA54" s="82"/>
      <c r="AB54" s="82"/>
      <c r="AC54" s="82"/>
      <c r="AD54" s="142"/>
      <c r="AE54" s="85"/>
      <c r="AF54" s="81">
        <f t="shared" si="24"/>
        <v>13570.46</v>
      </c>
      <c r="AG54" s="82">
        <v>387.0335</v>
      </c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>
        <v>387.0335</v>
      </c>
      <c r="BI54" s="82"/>
      <c r="BJ54" s="82">
        <v>4276.7241999999997</v>
      </c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>
        <v>173.05</v>
      </c>
      <c r="CC54" s="231">
        <f t="shared" si="110"/>
        <v>13570.46</v>
      </c>
    </row>
    <row r="55" spans="1:81" s="3" customFormat="1" ht="15.75" thickBot="1" x14ac:dyDescent="0.3">
      <c r="B55" s="158">
        <v>13600</v>
      </c>
      <c r="C55" s="144">
        <f t="shared" si="155"/>
        <v>837.95770000000005</v>
      </c>
      <c r="D55" s="144">
        <f t="shared" si="22"/>
        <v>0</v>
      </c>
      <c r="E55" s="144">
        <f t="shared" ref="E55:E118" si="156">BH55+BJ55+BI55</f>
        <v>4600.8478000000005</v>
      </c>
      <c r="F55" s="144">
        <f t="shared" si="23"/>
        <v>0</v>
      </c>
      <c r="G55" s="144">
        <f t="shared" si="7"/>
        <v>0</v>
      </c>
      <c r="H55" s="144">
        <f t="shared" si="8"/>
        <v>0</v>
      </c>
      <c r="I55" s="144">
        <f t="shared" si="9"/>
        <v>0</v>
      </c>
      <c r="J55" s="159">
        <f t="shared" si="10"/>
        <v>0</v>
      </c>
      <c r="K55" s="160">
        <f t="shared" si="11"/>
        <v>167.9</v>
      </c>
      <c r="L55" s="152">
        <f>ROUNDUP(((C54+C55)*0.5)*(B55-B54)/27,0)</f>
        <v>671</v>
      </c>
      <c r="M55" s="144">
        <f>ROUNDUP(((D54+D55)*0.5)*(B55-B54)/27,0)</f>
        <v>0</v>
      </c>
      <c r="N55" s="144">
        <f>ROUNDUP(((E54+E55)*0.5)*(B55-B54)/27,0)</f>
        <v>5069</v>
      </c>
      <c r="O55" s="144">
        <f>ROUNDUP(((F54+F55)*0.5)*(B55-B54)/27,0)</f>
        <v>0</v>
      </c>
      <c r="P55" s="144">
        <f>ROUNDUP(((G55+G54)*0.5)*(B55-B54)/27,0)</f>
        <v>0</v>
      </c>
      <c r="Q55" s="144">
        <f>ROUNDUP(((H55+H54)*0.5)*(B55-B54)/27,0)</f>
        <v>0</v>
      </c>
      <c r="R55" s="144">
        <f>ROUNDUP(((I55+I54)*0.5)*(B55-B54)/9,0)</f>
        <v>0</v>
      </c>
      <c r="S55" s="144">
        <f>ROUNDUP(((J55+J54)*0.5)*(B55-B54)/9,0)</f>
        <v>0</v>
      </c>
      <c r="T55" s="144">
        <f>ROUNDUP(((K55+K54)*0.5)*(B55-B54)/9,0)</f>
        <v>560</v>
      </c>
      <c r="U55" s="154"/>
      <c r="V55" s="150">
        <f>L53+L54+L55</f>
        <v>4335</v>
      </c>
      <c r="W55" s="150">
        <f>M53+M54+M55</f>
        <v>0</v>
      </c>
      <c r="X55" s="150">
        <f>N53+N54+N55</f>
        <v>14955</v>
      </c>
      <c r="Y55" s="150">
        <f t="shared" ref="Y55" si="157">O53+O54+O55</f>
        <v>0</v>
      </c>
      <c r="Z55" s="150">
        <f t="shared" ref="Z55" si="158">P53+P54+P55</f>
        <v>0</v>
      </c>
      <c r="AA55" s="150">
        <f t="shared" ref="AA55" si="159">Q53+Q54+Q55</f>
        <v>0</v>
      </c>
      <c r="AB55" s="150">
        <f t="shared" ref="AB55" si="160">R53+R54+R55</f>
        <v>0</v>
      </c>
      <c r="AC55" s="150">
        <f t="shared" ref="AC55" si="161">S53+S54+S55</f>
        <v>0</v>
      </c>
      <c r="AD55" s="150">
        <f t="shared" ref="AD55" si="162">T53+T54+T55</f>
        <v>1232</v>
      </c>
      <c r="AE55" s="153"/>
      <c r="AF55" s="158">
        <f t="shared" si="24"/>
        <v>13600</v>
      </c>
      <c r="AG55" s="144">
        <v>837.95770000000005</v>
      </c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44"/>
      <c r="AT55" s="144"/>
      <c r="AU55" s="144"/>
      <c r="AV55" s="144"/>
      <c r="AW55" s="144"/>
      <c r="AX55" s="144"/>
      <c r="AY55" s="144"/>
      <c r="AZ55" s="144"/>
      <c r="BA55" s="144"/>
      <c r="BB55" s="144"/>
      <c r="BC55" s="144"/>
      <c r="BD55" s="144"/>
      <c r="BE55" s="144"/>
      <c r="BF55" s="144"/>
      <c r="BG55" s="144"/>
      <c r="BH55" s="144">
        <v>837.95770000000005</v>
      </c>
      <c r="BI55" s="144"/>
      <c r="BJ55" s="144">
        <v>3762.8901000000001</v>
      </c>
      <c r="BK55" s="144"/>
      <c r="BL55" s="144"/>
      <c r="BM55" s="144"/>
      <c r="BN55" s="144"/>
      <c r="BO55" s="144"/>
      <c r="BP55" s="144"/>
      <c r="BQ55" s="144"/>
      <c r="BR55" s="144"/>
      <c r="BS55" s="144"/>
      <c r="BT55" s="144"/>
      <c r="BU55" s="144"/>
      <c r="BV55" s="144"/>
      <c r="BW55" s="144"/>
      <c r="BX55" s="144"/>
      <c r="BY55" s="144"/>
      <c r="BZ55" s="144"/>
      <c r="CA55" s="144"/>
      <c r="CB55" s="144">
        <v>167.9</v>
      </c>
      <c r="CC55" s="231">
        <f t="shared" si="110"/>
        <v>13600</v>
      </c>
    </row>
    <row r="56" spans="1:81" x14ac:dyDescent="0.25">
      <c r="B56" s="155">
        <v>13650</v>
      </c>
      <c r="C56" s="147">
        <f t="shared" si="155"/>
        <v>0</v>
      </c>
      <c r="D56" s="147">
        <f t="shared" si="22"/>
        <v>287.70190000000002</v>
      </c>
      <c r="E56" s="147">
        <f t="shared" si="156"/>
        <v>0</v>
      </c>
      <c r="F56" s="147">
        <f t="shared" si="23"/>
        <v>3938.1604000000002</v>
      </c>
      <c r="G56" s="147">
        <f t="shared" si="7"/>
        <v>0</v>
      </c>
      <c r="H56" s="147">
        <f t="shared" si="8"/>
        <v>0</v>
      </c>
      <c r="I56" s="147">
        <f t="shared" si="9"/>
        <v>0</v>
      </c>
      <c r="J56" s="156">
        <f t="shared" si="10"/>
        <v>0</v>
      </c>
      <c r="K56" s="157">
        <f t="shared" si="11"/>
        <v>209.26</v>
      </c>
      <c r="L56" s="151">
        <f t="shared" ref="L56:L99" si="163">ROUNDUP(((C55+C56)*0.5)*(B56-B55)/27,0)</f>
        <v>776</v>
      </c>
      <c r="M56" s="147">
        <f t="shared" ref="M56:M99" si="164">ROUNDUP(((D55+D56)*0.5)*(B56-B55)/27,0)</f>
        <v>267</v>
      </c>
      <c r="N56" s="274">
        <f>ROUNDUP(((E55+E56)*0.5)*(13625-B55)/27,0)</f>
        <v>2131</v>
      </c>
      <c r="O56" s="147">
        <f t="shared" si="25"/>
        <v>3647</v>
      </c>
      <c r="P56" s="147">
        <f t="shared" ref="P56:P99" si="165">ROUNDUP(((G56+G55)*0.5)*(B56-B55)/27,0)</f>
        <v>0</v>
      </c>
      <c r="Q56" s="147">
        <f t="shared" ref="Q56:Q99" si="166">ROUNDUP(((H56+H55)*0.5)*(B56-B55)/27,0)</f>
        <v>0</v>
      </c>
      <c r="R56" s="147">
        <f t="shared" ref="R56:R99" si="167">ROUNDUP(((I56+I55)*0.5)*(B56-B55)/9,0)</f>
        <v>0</v>
      </c>
      <c r="S56" s="147">
        <f t="shared" ref="S56:S99" si="168">ROUNDUP(((J56+J55)*0.5)*(B56-B55)/9,0)</f>
        <v>0</v>
      </c>
      <c r="T56" s="147">
        <f t="shared" ref="T56:T100" si="169">ROUNDUP(((K56+K55)*0.5)*(B56-B55)/9,0)</f>
        <v>1048</v>
      </c>
      <c r="V56" s="146"/>
      <c r="W56" s="147"/>
      <c r="X56" s="147"/>
      <c r="Y56" s="147"/>
      <c r="Z56" s="147"/>
      <c r="AA56" s="147"/>
      <c r="AB56" s="147"/>
      <c r="AC56" s="147"/>
      <c r="AD56" s="148"/>
      <c r="AF56" s="155">
        <f t="shared" si="24"/>
        <v>13650</v>
      </c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>
        <v>287.70190000000002</v>
      </c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>
        <v>3938.1604000000002</v>
      </c>
      <c r="BL56" s="78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8"/>
      <c r="CA56" s="78"/>
      <c r="CB56" s="78">
        <v>209.26</v>
      </c>
      <c r="CC56" s="231">
        <f t="shared" si="110"/>
        <v>13650</v>
      </c>
    </row>
    <row r="57" spans="1:81" x14ac:dyDescent="0.25">
      <c r="B57" s="57">
        <v>13700</v>
      </c>
      <c r="C57" s="58">
        <f t="shared" si="155"/>
        <v>0</v>
      </c>
      <c r="D57" s="58">
        <f t="shared" si="22"/>
        <v>305.11880000000002</v>
      </c>
      <c r="E57" s="58">
        <f t="shared" si="156"/>
        <v>0</v>
      </c>
      <c r="F57" s="58">
        <f t="shared" si="23"/>
        <v>3987.2426</v>
      </c>
      <c r="G57" s="58">
        <f t="shared" si="7"/>
        <v>0</v>
      </c>
      <c r="H57" s="58">
        <f t="shared" si="8"/>
        <v>0</v>
      </c>
      <c r="I57" s="58">
        <f t="shared" si="9"/>
        <v>0</v>
      </c>
      <c r="J57" s="51">
        <f t="shared" si="10"/>
        <v>0</v>
      </c>
      <c r="K57" s="99">
        <f t="shared" si="11"/>
        <v>209.79</v>
      </c>
      <c r="L57" s="105">
        <f t="shared" si="163"/>
        <v>0</v>
      </c>
      <c r="M57" s="58">
        <f t="shared" si="164"/>
        <v>549</v>
      </c>
      <c r="N57" s="147"/>
      <c r="O57" s="58">
        <f t="shared" si="25"/>
        <v>7339</v>
      </c>
      <c r="P57" s="58">
        <f t="shared" si="165"/>
        <v>0</v>
      </c>
      <c r="Q57" s="58">
        <f t="shared" si="166"/>
        <v>0</v>
      </c>
      <c r="R57" s="58">
        <f t="shared" si="167"/>
        <v>0</v>
      </c>
      <c r="S57" s="58">
        <f t="shared" si="168"/>
        <v>0</v>
      </c>
      <c r="T57" s="58">
        <f t="shared" si="169"/>
        <v>1165</v>
      </c>
      <c r="V57" s="137"/>
      <c r="W57" s="58"/>
      <c r="X57" s="58"/>
      <c r="Y57" s="58"/>
      <c r="Z57" s="58"/>
      <c r="AA57" s="58"/>
      <c r="AB57" s="58"/>
      <c r="AC57" s="58"/>
      <c r="AD57" s="138"/>
      <c r="AF57" s="57">
        <f t="shared" si="24"/>
        <v>13700</v>
      </c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>
        <v>305.11880000000002</v>
      </c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>
        <v>3987.2426</v>
      </c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>
        <v>209.79</v>
      </c>
      <c r="CC57" s="231">
        <f t="shared" si="110"/>
        <v>13700</v>
      </c>
    </row>
    <row r="58" spans="1:81" s="3" customFormat="1" ht="15.75" thickBot="1" x14ac:dyDescent="0.3">
      <c r="B58" s="158">
        <v>13750</v>
      </c>
      <c r="C58" s="144">
        <f t="shared" si="155"/>
        <v>0</v>
      </c>
      <c r="D58" s="144">
        <f t="shared" si="22"/>
        <v>321.3295</v>
      </c>
      <c r="E58" s="144">
        <f t="shared" si="156"/>
        <v>0</v>
      </c>
      <c r="F58" s="144">
        <f t="shared" si="23"/>
        <v>4085.7615999999998</v>
      </c>
      <c r="G58" s="144">
        <f t="shared" si="7"/>
        <v>0</v>
      </c>
      <c r="H58" s="144">
        <f t="shared" si="8"/>
        <v>0</v>
      </c>
      <c r="I58" s="144">
        <f t="shared" si="9"/>
        <v>0</v>
      </c>
      <c r="J58" s="159">
        <f t="shared" si="10"/>
        <v>0</v>
      </c>
      <c r="K58" s="160">
        <f t="shared" si="11"/>
        <v>211.32</v>
      </c>
      <c r="L58" s="152">
        <f t="shared" si="163"/>
        <v>0</v>
      </c>
      <c r="M58" s="144">
        <f t="shared" si="164"/>
        <v>581</v>
      </c>
      <c r="N58" s="144"/>
      <c r="O58" s="144">
        <f t="shared" si="25"/>
        <v>7476</v>
      </c>
      <c r="P58" s="144">
        <f t="shared" si="165"/>
        <v>0</v>
      </c>
      <c r="Q58" s="144">
        <f t="shared" si="166"/>
        <v>0</v>
      </c>
      <c r="R58" s="144">
        <f t="shared" si="167"/>
        <v>0</v>
      </c>
      <c r="S58" s="144">
        <f t="shared" si="168"/>
        <v>0</v>
      </c>
      <c r="T58" s="144">
        <f t="shared" si="169"/>
        <v>1170</v>
      </c>
      <c r="V58" s="150">
        <f>L56+L57+L58</f>
        <v>776</v>
      </c>
      <c r="W58" s="150">
        <f t="shared" ref="W58" si="170">M56+M57+M58</f>
        <v>1397</v>
      </c>
      <c r="X58" s="150">
        <f>N56+N57+N58</f>
        <v>2131</v>
      </c>
      <c r="Y58" s="150">
        <f t="shared" ref="Y58" si="171">O56+O57+O58</f>
        <v>18462</v>
      </c>
      <c r="Z58" s="150">
        <f t="shared" ref="Z58" si="172">P56+P57+P58</f>
        <v>0</v>
      </c>
      <c r="AA58" s="150">
        <f t="shared" ref="AA58" si="173">Q56+Q57+Q58</f>
        <v>0</v>
      </c>
      <c r="AB58" s="150">
        <f t="shared" ref="AB58" si="174">R56+R57+R58</f>
        <v>0</v>
      </c>
      <c r="AC58" s="150">
        <f t="shared" ref="AC58" si="175">S56+S57+S58</f>
        <v>0</v>
      </c>
      <c r="AD58" s="150">
        <f t="shared" ref="AD58" si="176">T56+T57+T58</f>
        <v>3383</v>
      </c>
      <c r="AF58" s="158">
        <f t="shared" si="24"/>
        <v>13750</v>
      </c>
      <c r="AG58" s="149"/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>
        <v>321.3295</v>
      </c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  <c r="BI58" s="149"/>
      <c r="BJ58" s="149"/>
      <c r="BK58" s="149">
        <v>4085.7615999999998</v>
      </c>
      <c r="BL58" s="149"/>
      <c r="BM58" s="149"/>
      <c r="BN58" s="149"/>
      <c r="BO58" s="149"/>
      <c r="BP58" s="149"/>
      <c r="BQ58" s="149"/>
      <c r="BR58" s="149"/>
      <c r="BS58" s="149"/>
      <c r="BT58" s="149"/>
      <c r="BU58" s="149"/>
      <c r="BV58" s="149"/>
      <c r="BW58" s="149"/>
      <c r="BX58" s="149"/>
      <c r="BY58" s="149"/>
      <c r="BZ58" s="149"/>
      <c r="CA58" s="149"/>
      <c r="CB58" s="149">
        <v>211.32</v>
      </c>
      <c r="CC58" s="231">
        <f t="shared" si="110"/>
        <v>13750</v>
      </c>
    </row>
    <row r="59" spans="1:81" x14ac:dyDescent="0.25">
      <c r="B59" s="155">
        <v>13800</v>
      </c>
      <c r="C59" s="147">
        <f t="shared" si="155"/>
        <v>0</v>
      </c>
      <c r="D59" s="147">
        <f t="shared" si="22"/>
        <v>337.77370000000002</v>
      </c>
      <c r="E59" s="147">
        <f t="shared" si="156"/>
        <v>0</v>
      </c>
      <c r="F59" s="147">
        <f t="shared" si="23"/>
        <v>4020.6421999999998</v>
      </c>
      <c r="G59" s="147">
        <f t="shared" si="7"/>
        <v>0</v>
      </c>
      <c r="H59" s="147">
        <f t="shared" si="8"/>
        <v>0</v>
      </c>
      <c r="I59" s="147">
        <f t="shared" si="9"/>
        <v>0</v>
      </c>
      <c r="J59" s="156">
        <f t="shared" si="10"/>
        <v>0</v>
      </c>
      <c r="K59" s="157">
        <f t="shared" si="11"/>
        <v>210.22</v>
      </c>
      <c r="L59" s="151">
        <f t="shared" si="163"/>
        <v>0</v>
      </c>
      <c r="M59" s="147">
        <f t="shared" si="164"/>
        <v>611</v>
      </c>
      <c r="N59" s="147"/>
      <c r="O59" s="147">
        <f t="shared" si="25"/>
        <v>7506</v>
      </c>
      <c r="P59" s="147">
        <f t="shared" si="165"/>
        <v>0</v>
      </c>
      <c r="Q59" s="147">
        <f t="shared" si="166"/>
        <v>0</v>
      </c>
      <c r="R59" s="147">
        <f t="shared" si="167"/>
        <v>0</v>
      </c>
      <c r="S59" s="147">
        <f t="shared" si="168"/>
        <v>0</v>
      </c>
      <c r="T59" s="147">
        <f t="shared" si="169"/>
        <v>1171</v>
      </c>
      <c r="V59" s="146"/>
      <c r="W59" s="147"/>
      <c r="X59" s="147"/>
      <c r="Y59" s="147"/>
      <c r="Z59" s="147"/>
      <c r="AA59" s="147"/>
      <c r="AB59" s="147"/>
      <c r="AC59" s="147"/>
      <c r="AD59" s="148"/>
      <c r="AF59" s="155">
        <f t="shared" si="24"/>
        <v>13800</v>
      </c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>
        <v>337.77370000000002</v>
      </c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>
        <v>4020.6421999999998</v>
      </c>
      <c r="BL59" s="78"/>
      <c r="BM59" s="78"/>
      <c r="BN59" s="78"/>
      <c r="BO59" s="78"/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78"/>
      <c r="CA59" s="78"/>
      <c r="CB59" s="78">
        <v>210.22</v>
      </c>
      <c r="CC59" s="231">
        <f t="shared" si="110"/>
        <v>13800</v>
      </c>
    </row>
    <row r="60" spans="1:81" x14ac:dyDescent="0.25">
      <c r="B60" s="57">
        <v>13850</v>
      </c>
      <c r="C60" s="58">
        <f t="shared" si="155"/>
        <v>0</v>
      </c>
      <c r="D60" s="58">
        <f t="shared" si="22"/>
        <v>354.45159999999998</v>
      </c>
      <c r="E60" s="58">
        <f t="shared" si="156"/>
        <v>0</v>
      </c>
      <c r="F60" s="58">
        <f t="shared" si="23"/>
        <v>3931.9447</v>
      </c>
      <c r="G60" s="58">
        <f t="shared" si="7"/>
        <v>0</v>
      </c>
      <c r="H60" s="58">
        <f t="shared" si="8"/>
        <v>0</v>
      </c>
      <c r="I60" s="58">
        <f t="shared" si="9"/>
        <v>0</v>
      </c>
      <c r="J60" s="51">
        <f t="shared" si="10"/>
        <v>0</v>
      </c>
      <c r="K60" s="99">
        <f t="shared" si="11"/>
        <v>208.94</v>
      </c>
      <c r="L60" s="105">
        <f t="shared" si="163"/>
        <v>0</v>
      </c>
      <c r="M60" s="58">
        <f t="shared" si="164"/>
        <v>641</v>
      </c>
      <c r="N60" s="58"/>
      <c r="O60" s="58">
        <f t="shared" si="25"/>
        <v>7364</v>
      </c>
      <c r="P60" s="58">
        <f t="shared" si="165"/>
        <v>0</v>
      </c>
      <c r="Q60" s="58">
        <f t="shared" si="166"/>
        <v>0</v>
      </c>
      <c r="R60" s="58">
        <f t="shared" si="167"/>
        <v>0</v>
      </c>
      <c r="S60" s="58">
        <f t="shared" si="168"/>
        <v>0</v>
      </c>
      <c r="T60" s="58">
        <f t="shared" si="169"/>
        <v>1165</v>
      </c>
      <c r="V60" s="137"/>
      <c r="W60" s="58"/>
      <c r="X60" s="58"/>
      <c r="Y60" s="58"/>
      <c r="Z60" s="58"/>
      <c r="AA60" s="58"/>
      <c r="AB60" s="58"/>
      <c r="AC60" s="58"/>
      <c r="AD60" s="138"/>
      <c r="AF60" s="57">
        <f t="shared" si="24"/>
        <v>13850</v>
      </c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>
        <v>354.45159999999998</v>
      </c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>
        <v>3931.9447</v>
      </c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49"/>
      <c r="CA60" s="49"/>
      <c r="CB60" s="49">
        <v>208.94</v>
      </c>
      <c r="CC60" s="231">
        <f t="shared" si="110"/>
        <v>13850</v>
      </c>
    </row>
    <row r="61" spans="1:81" s="3" customFormat="1" ht="15.75" thickBot="1" x14ac:dyDescent="0.3">
      <c r="B61" s="158">
        <v>13900</v>
      </c>
      <c r="C61" s="144">
        <f t="shared" si="155"/>
        <v>0</v>
      </c>
      <c r="D61" s="144">
        <f t="shared" si="22"/>
        <v>371.36309999999997</v>
      </c>
      <c r="E61" s="144">
        <f t="shared" si="156"/>
        <v>0</v>
      </c>
      <c r="F61" s="144">
        <f t="shared" si="23"/>
        <v>3725.9960000000001</v>
      </c>
      <c r="G61" s="144">
        <f t="shared" si="7"/>
        <v>0</v>
      </c>
      <c r="H61" s="144">
        <f t="shared" si="8"/>
        <v>0</v>
      </c>
      <c r="I61" s="144">
        <f t="shared" si="9"/>
        <v>0</v>
      </c>
      <c r="J61" s="159">
        <f t="shared" si="10"/>
        <v>0</v>
      </c>
      <c r="K61" s="160">
        <f t="shared" si="11"/>
        <v>204</v>
      </c>
      <c r="L61" s="152">
        <f t="shared" si="163"/>
        <v>0</v>
      </c>
      <c r="M61" s="144">
        <f t="shared" si="164"/>
        <v>673</v>
      </c>
      <c r="N61" s="144"/>
      <c r="O61" s="144">
        <f t="shared" si="25"/>
        <v>7091</v>
      </c>
      <c r="P61" s="144">
        <f t="shared" si="165"/>
        <v>0</v>
      </c>
      <c r="Q61" s="144">
        <f t="shared" si="166"/>
        <v>0</v>
      </c>
      <c r="R61" s="144">
        <f t="shared" si="167"/>
        <v>0</v>
      </c>
      <c r="S61" s="144">
        <f t="shared" si="168"/>
        <v>0</v>
      </c>
      <c r="T61" s="144">
        <f t="shared" si="169"/>
        <v>1148</v>
      </c>
      <c r="V61" s="150">
        <f>L59+L60+L61</f>
        <v>0</v>
      </c>
      <c r="W61" s="150">
        <f t="shared" ref="W61" si="177">M59+M60+M61</f>
        <v>1925</v>
      </c>
      <c r="X61" s="150"/>
      <c r="Y61" s="150">
        <f t="shared" ref="Y61" si="178">O59+O60+O61</f>
        <v>21961</v>
      </c>
      <c r="Z61" s="150">
        <f t="shared" ref="Z61" si="179">P59+P60+P61</f>
        <v>0</v>
      </c>
      <c r="AA61" s="150">
        <f t="shared" ref="AA61" si="180">Q59+Q60+Q61</f>
        <v>0</v>
      </c>
      <c r="AB61" s="150">
        <f t="shared" ref="AB61" si="181">R59+R60+R61</f>
        <v>0</v>
      </c>
      <c r="AC61" s="150">
        <f t="shared" ref="AC61" si="182">S59+S60+S61</f>
        <v>0</v>
      </c>
      <c r="AD61" s="150">
        <f t="shared" ref="AD61" si="183">T59+T60+T61</f>
        <v>3484</v>
      </c>
      <c r="AF61" s="158">
        <f t="shared" si="24"/>
        <v>13900</v>
      </c>
      <c r="AG61" s="149"/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>
        <v>371.36309999999997</v>
      </c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  <c r="BI61" s="149"/>
      <c r="BJ61" s="149"/>
      <c r="BK61" s="149">
        <v>3725.9960000000001</v>
      </c>
      <c r="BL61" s="149"/>
      <c r="BM61" s="149"/>
      <c r="BN61" s="149"/>
      <c r="BO61" s="149"/>
      <c r="BP61" s="149"/>
      <c r="BQ61" s="149"/>
      <c r="BR61" s="149"/>
      <c r="BS61" s="149"/>
      <c r="BT61" s="149"/>
      <c r="BU61" s="149"/>
      <c r="BV61" s="149"/>
      <c r="BW61" s="149"/>
      <c r="BX61" s="149"/>
      <c r="BY61" s="149"/>
      <c r="BZ61" s="149"/>
      <c r="CA61" s="149">
        <v>106</v>
      </c>
      <c r="CB61" s="149">
        <v>98</v>
      </c>
      <c r="CC61" s="231">
        <f t="shared" si="110"/>
        <v>13900</v>
      </c>
    </row>
    <row r="62" spans="1:81" x14ac:dyDescent="0.25">
      <c r="B62" s="155">
        <v>13950</v>
      </c>
      <c r="C62" s="147">
        <f t="shared" si="155"/>
        <v>0</v>
      </c>
      <c r="D62" s="147">
        <f t="shared" si="22"/>
        <v>388.50810000000001</v>
      </c>
      <c r="E62" s="147">
        <f t="shared" si="156"/>
        <v>0</v>
      </c>
      <c r="F62" s="147">
        <f t="shared" si="23"/>
        <v>3688.3748000000001</v>
      </c>
      <c r="G62" s="147">
        <f t="shared" si="7"/>
        <v>0</v>
      </c>
      <c r="H62" s="147">
        <f t="shared" si="8"/>
        <v>0</v>
      </c>
      <c r="I62" s="147">
        <f t="shared" si="9"/>
        <v>0</v>
      </c>
      <c r="J62" s="156">
        <f t="shared" si="10"/>
        <v>0</v>
      </c>
      <c r="K62" s="157">
        <f t="shared" si="11"/>
        <v>198.49</v>
      </c>
      <c r="L62" s="151">
        <f t="shared" si="163"/>
        <v>0</v>
      </c>
      <c r="M62" s="147">
        <f t="shared" si="164"/>
        <v>704</v>
      </c>
      <c r="N62" s="147"/>
      <c r="O62" s="147">
        <f t="shared" si="25"/>
        <v>6866</v>
      </c>
      <c r="P62" s="147">
        <f t="shared" si="165"/>
        <v>0</v>
      </c>
      <c r="Q62" s="147">
        <f t="shared" si="166"/>
        <v>0</v>
      </c>
      <c r="R62" s="147">
        <f t="shared" si="167"/>
        <v>0</v>
      </c>
      <c r="S62" s="147">
        <f t="shared" si="168"/>
        <v>0</v>
      </c>
      <c r="T62" s="147">
        <f t="shared" si="169"/>
        <v>1119</v>
      </c>
      <c r="V62" s="146"/>
      <c r="W62" s="147"/>
      <c r="X62" s="147"/>
      <c r="Y62" s="147"/>
      <c r="Z62" s="147"/>
      <c r="AA62" s="147"/>
      <c r="AB62" s="147"/>
      <c r="AC62" s="147"/>
      <c r="AD62" s="148"/>
      <c r="AF62" s="155">
        <f t="shared" si="24"/>
        <v>13950</v>
      </c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>
        <v>388.50810000000001</v>
      </c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>
        <v>3688.3748000000001</v>
      </c>
      <c r="BL62" s="78"/>
      <c r="BM62" s="78"/>
      <c r="BN62" s="78"/>
      <c r="BO62" s="78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78"/>
      <c r="CA62" s="78"/>
      <c r="CB62" s="78">
        <v>198.49</v>
      </c>
      <c r="CC62" s="231">
        <f t="shared" si="110"/>
        <v>13950</v>
      </c>
    </row>
    <row r="63" spans="1:81" x14ac:dyDescent="0.25">
      <c r="B63" s="57">
        <v>14000</v>
      </c>
      <c r="C63" s="58">
        <f t="shared" si="155"/>
        <v>0</v>
      </c>
      <c r="D63" s="58">
        <f t="shared" si="22"/>
        <v>405.88670000000002</v>
      </c>
      <c r="E63" s="58">
        <f t="shared" si="156"/>
        <v>0</v>
      </c>
      <c r="F63" s="58">
        <f t="shared" si="23"/>
        <v>3446.2782999999999</v>
      </c>
      <c r="G63" s="58">
        <f t="shared" si="7"/>
        <v>0</v>
      </c>
      <c r="H63" s="58">
        <f t="shared" si="8"/>
        <v>0</v>
      </c>
      <c r="I63" s="58">
        <f t="shared" si="9"/>
        <v>0</v>
      </c>
      <c r="J63" s="51">
        <f t="shared" si="10"/>
        <v>0</v>
      </c>
      <c r="K63" s="99">
        <f t="shared" si="11"/>
        <v>193.15</v>
      </c>
      <c r="L63" s="105">
        <f t="shared" si="163"/>
        <v>0</v>
      </c>
      <c r="M63" s="58">
        <f t="shared" si="164"/>
        <v>736</v>
      </c>
      <c r="N63" s="58"/>
      <c r="O63" s="58">
        <f t="shared" si="25"/>
        <v>6607</v>
      </c>
      <c r="P63" s="58">
        <f t="shared" si="165"/>
        <v>0</v>
      </c>
      <c r="Q63" s="58">
        <f t="shared" si="166"/>
        <v>0</v>
      </c>
      <c r="R63" s="58">
        <f t="shared" si="167"/>
        <v>0</v>
      </c>
      <c r="S63" s="58">
        <f t="shared" si="168"/>
        <v>0</v>
      </c>
      <c r="T63" s="58">
        <f t="shared" si="169"/>
        <v>1088</v>
      </c>
      <c r="V63" s="137"/>
      <c r="W63" s="58"/>
      <c r="X63" s="58"/>
      <c r="Y63" s="58"/>
      <c r="Z63" s="58"/>
      <c r="AA63" s="58"/>
      <c r="AB63" s="58"/>
      <c r="AC63" s="58"/>
      <c r="AD63" s="138"/>
      <c r="AF63" s="57">
        <f t="shared" si="24"/>
        <v>14000</v>
      </c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>
        <v>405.88670000000002</v>
      </c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>
        <v>3446.2782999999999</v>
      </c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  <c r="BW63" s="49"/>
      <c r="BX63" s="49"/>
      <c r="BY63" s="49"/>
      <c r="BZ63" s="49"/>
      <c r="CA63" s="49"/>
      <c r="CB63" s="49">
        <v>193.15</v>
      </c>
      <c r="CC63" s="231">
        <f t="shared" si="110"/>
        <v>14000</v>
      </c>
    </row>
    <row r="64" spans="1:81" s="3" customFormat="1" ht="15.75" thickBot="1" x14ac:dyDescent="0.3">
      <c r="B64" s="158">
        <v>14050</v>
      </c>
      <c r="C64" s="144">
        <f t="shared" si="155"/>
        <v>0</v>
      </c>
      <c r="D64" s="144">
        <f t="shared" si="22"/>
        <v>423.49889999999999</v>
      </c>
      <c r="E64" s="144">
        <f t="shared" si="156"/>
        <v>0</v>
      </c>
      <c r="F64" s="144">
        <f t="shared" si="23"/>
        <v>3123.9967000000001</v>
      </c>
      <c r="G64" s="144">
        <f t="shared" si="7"/>
        <v>0</v>
      </c>
      <c r="H64" s="144">
        <f t="shared" si="8"/>
        <v>0</v>
      </c>
      <c r="I64" s="144">
        <f t="shared" si="9"/>
        <v>0</v>
      </c>
      <c r="J64" s="159">
        <f t="shared" si="10"/>
        <v>0</v>
      </c>
      <c r="K64" s="160">
        <f t="shared" si="11"/>
        <v>190.8</v>
      </c>
      <c r="L64" s="152">
        <f t="shared" si="163"/>
        <v>0</v>
      </c>
      <c r="M64" s="144">
        <f t="shared" si="164"/>
        <v>768</v>
      </c>
      <c r="N64" s="144"/>
      <c r="O64" s="144">
        <f t="shared" si="25"/>
        <v>6084</v>
      </c>
      <c r="P64" s="144">
        <f t="shared" si="165"/>
        <v>0</v>
      </c>
      <c r="Q64" s="144">
        <f t="shared" si="166"/>
        <v>0</v>
      </c>
      <c r="R64" s="144">
        <f t="shared" si="167"/>
        <v>0</v>
      </c>
      <c r="S64" s="144">
        <f t="shared" si="168"/>
        <v>0</v>
      </c>
      <c r="T64" s="144">
        <f t="shared" si="169"/>
        <v>1067</v>
      </c>
      <c r="V64" s="150">
        <f>L62+L63+L64</f>
        <v>0</v>
      </c>
      <c r="W64" s="150">
        <f t="shared" ref="W64" si="184">M62+M63+M64</f>
        <v>2208</v>
      </c>
      <c r="X64" s="150"/>
      <c r="Y64" s="150">
        <f t="shared" ref="Y64" si="185">O62+O63+O64</f>
        <v>19557</v>
      </c>
      <c r="Z64" s="150">
        <f t="shared" ref="Z64" si="186">P62+P63+P64</f>
        <v>0</v>
      </c>
      <c r="AA64" s="150">
        <f t="shared" ref="AA64" si="187">Q62+Q63+Q64</f>
        <v>0</v>
      </c>
      <c r="AB64" s="150">
        <f t="shared" ref="AB64" si="188">R62+R63+R64</f>
        <v>0</v>
      </c>
      <c r="AC64" s="150">
        <f t="shared" ref="AC64" si="189">S62+S63+S64</f>
        <v>0</v>
      </c>
      <c r="AD64" s="150">
        <f t="shared" ref="AD64" si="190">T62+T63+T64</f>
        <v>3274</v>
      </c>
      <c r="AF64" s="158">
        <f t="shared" si="24"/>
        <v>14050</v>
      </c>
      <c r="AG64" s="149"/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>
        <v>423.49889999999999</v>
      </c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  <c r="BI64" s="149"/>
      <c r="BJ64" s="149"/>
      <c r="BK64" s="149">
        <v>3123.9967000000001</v>
      </c>
      <c r="BL64" s="149"/>
      <c r="BM64" s="149"/>
      <c r="BN64" s="149"/>
      <c r="BO64" s="149"/>
      <c r="BP64" s="149"/>
      <c r="BQ64" s="149"/>
      <c r="BR64" s="149"/>
      <c r="BS64" s="149"/>
      <c r="BT64" s="149"/>
      <c r="BU64" s="149"/>
      <c r="BV64" s="149"/>
      <c r="BW64" s="149"/>
      <c r="BX64" s="149"/>
      <c r="BY64" s="149"/>
      <c r="BZ64" s="149"/>
      <c r="CA64" s="149"/>
      <c r="CB64" s="149">
        <v>190.8</v>
      </c>
      <c r="CC64" s="231">
        <f t="shared" si="110"/>
        <v>14050</v>
      </c>
    </row>
    <row r="65" spans="2:81" x14ac:dyDescent="0.25">
      <c r="B65" s="155">
        <v>14100</v>
      </c>
      <c r="C65" s="147">
        <f t="shared" si="155"/>
        <v>0</v>
      </c>
      <c r="D65" s="147">
        <f t="shared" si="22"/>
        <v>441.34469999999999</v>
      </c>
      <c r="E65" s="147">
        <f t="shared" si="156"/>
        <v>0</v>
      </c>
      <c r="F65" s="147">
        <f t="shared" si="23"/>
        <v>2934.8247999999999</v>
      </c>
      <c r="G65" s="147">
        <f t="shared" si="7"/>
        <v>0</v>
      </c>
      <c r="H65" s="147">
        <f t="shared" si="8"/>
        <v>0</v>
      </c>
      <c r="I65" s="147">
        <f t="shared" si="9"/>
        <v>0</v>
      </c>
      <c r="J65" s="156">
        <f t="shared" si="10"/>
        <v>0</v>
      </c>
      <c r="K65" s="157">
        <f t="shared" si="11"/>
        <v>185.47</v>
      </c>
      <c r="L65" s="151">
        <f t="shared" si="163"/>
        <v>0</v>
      </c>
      <c r="M65" s="147">
        <f t="shared" si="164"/>
        <v>801</v>
      </c>
      <c r="N65" s="147"/>
      <c r="O65" s="147">
        <f t="shared" si="25"/>
        <v>5611</v>
      </c>
      <c r="P65" s="147">
        <f t="shared" si="165"/>
        <v>0</v>
      </c>
      <c r="Q65" s="147">
        <f t="shared" si="166"/>
        <v>0</v>
      </c>
      <c r="R65" s="147">
        <f t="shared" si="167"/>
        <v>0</v>
      </c>
      <c r="S65" s="147">
        <f t="shared" si="168"/>
        <v>0</v>
      </c>
      <c r="T65" s="147">
        <f t="shared" si="169"/>
        <v>1046</v>
      </c>
      <c r="V65" s="146"/>
      <c r="W65" s="147"/>
      <c r="X65" s="147"/>
      <c r="Y65" s="147"/>
      <c r="Z65" s="147"/>
      <c r="AA65" s="147"/>
      <c r="AB65" s="147"/>
      <c r="AC65" s="147"/>
      <c r="AD65" s="148"/>
      <c r="AF65" s="155">
        <f t="shared" si="24"/>
        <v>14100</v>
      </c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>
        <v>441.34469999999999</v>
      </c>
      <c r="AY65" s="78"/>
      <c r="AZ65" s="78"/>
      <c r="BA65" s="78"/>
      <c r="BB65" s="78"/>
      <c r="BC65" s="78"/>
      <c r="BD65" s="78"/>
      <c r="BE65" s="78"/>
      <c r="BF65" s="78"/>
      <c r="BG65" s="78"/>
      <c r="BH65" s="78"/>
      <c r="BI65" s="78"/>
      <c r="BJ65" s="78"/>
      <c r="BK65" s="78">
        <v>2934.8247999999999</v>
      </c>
      <c r="BL65" s="78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8"/>
      <c r="CA65" s="78"/>
      <c r="CB65" s="78">
        <v>185.47</v>
      </c>
      <c r="CC65" s="231">
        <f t="shared" si="110"/>
        <v>14100</v>
      </c>
    </row>
    <row r="66" spans="2:81" x14ac:dyDescent="0.25">
      <c r="B66" s="57">
        <v>14150</v>
      </c>
      <c r="C66" s="58">
        <f t="shared" si="155"/>
        <v>0</v>
      </c>
      <c r="D66" s="58">
        <f t="shared" si="22"/>
        <v>459.42410000000001</v>
      </c>
      <c r="E66" s="58">
        <f t="shared" si="156"/>
        <v>0</v>
      </c>
      <c r="F66" s="58">
        <f t="shared" si="23"/>
        <v>2833.7312999999999</v>
      </c>
      <c r="G66" s="58">
        <f t="shared" si="7"/>
        <v>0</v>
      </c>
      <c r="H66" s="58">
        <f t="shared" si="8"/>
        <v>0</v>
      </c>
      <c r="I66" s="58">
        <f t="shared" si="9"/>
        <v>0</v>
      </c>
      <c r="J66" s="51">
        <f t="shared" si="10"/>
        <v>0</v>
      </c>
      <c r="K66" s="99">
        <f t="shared" si="11"/>
        <v>177.78</v>
      </c>
      <c r="L66" s="105">
        <f t="shared" si="163"/>
        <v>0</v>
      </c>
      <c r="M66" s="58">
        <f t="shared" si="164"/>
        <v>835</v>
      </c>
      <c r="N66" s="58"/>
      <c r="O66" s="58">
        <f>ROUNDUP(((F65+F66)*0.5)*(B66-B65)/27,0)</f>
        <v>5342</v>
      </c>
      <c r="P66" s="58">
        <f t="shared" si="165"/>
        <v>0</v>
      </c>
      <c r="Q66" s="58">
        <f t="shared" si="166"/>
        <v>0</v>
      </c>
      <c r="R66" s="58">
        <f t="shared" si="167"/>
        <v>0</v>
      </c>
      <c r="S66" s="58">
        <f t="shared" si="168"/>
        <v>0</v>
      </c>
      <c r="T66" s="58">
        <f t="shared" si="169"/>
        <v>1010</v>
      </c>
      <c r="V66" s="137"/>
      <c r="W66" s="58"/>
      <c r="X66" s="58"/>
      <c r="Y66" s="58"/>
      <c r="Z66" s="58"/>
      <c r="AA66" s="58"/>
      <c r="AB66" s="58"/>
      <c r="AC66" s="58"/>
      <c r="AD66" s="138"/>
      <c r="AF66" s="57">
        <f t="shared" si="24"/>
        <v>14150</v>
      </c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>
        <v>459.42410000000001</v>
      </c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>
        <v>2833.7312999999999</v>
      </c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49"/>
      <c r="CA66" s="49"/>
      <c r="CB66" s="49">
        <v>177.78</v>
      </c>
      <c r="CC66" s="231">
        <f t="shared" si="110"/>
        <v>14150</v>
      </c>
    </row>
    <row r="67" spans="2:81" s="3" customFormat="1" ht="15.75" thickBot="1" x14ac:dyDescent="0.3">
      <c r="B67" s="158">
        <v>14200</v>
      </c>
      <c r="C67" s="144">
        <f t="shared" si="155"/>
        <v>0</v>
      </c>
      <c r="D67" s="144">
        <f t="shared" si="22"/>
        <v>477.7371</v>
      </c>
      <c r="E67" s="144">
        <f t="shared" si="156"/>
        <v>0</v>
      </c>
      <c r="F67" s="144">
        <f t="shared" si="23"/>
        <v>2583.8220999999999</v>
      </c>
      <c r="G67" s="144">
        <f t="shared" si="7"/>
        <v>0</v>
      </c>
      <c r="H67" s="144">
        <f t="shared" si="8"/>
        <v>0</v>
      </c>
      <c r="I67" s="144">
        <f t="shared" si="9"/>
        <v>0</v>
      </c>
      <c r="J67" s="159">
        <f t="shared" si="10"/>
        <v>0</v>
      </c>
      <c r="K67" s="160">
        <f t="shared" si="11"/>
        <v>170.9</v>
      </c>
      <c r="L67" s="152">
        <f t="shared" si="163"/>
        <v>0</v>
      </c>
      <c r="M67" s="144">
        <f t="shared" si="164"/>
        <v>868</v>
      </c>
      <c r="N67" s="144"/>
      <c r="O67" s="144">
        <f>ROUNDUP(((F66+F67)*0.5)*(B67-B66)/27,0)</f>
        <v>5017</v>
      </c>
      <c r="P67" s="144">
        <f t="shared" si="165"/>
        <v>0</v>
      </c>
      <c r="Q67" s="144">
        <f t="shared" si="166"/>
        <v>0</v>
      </c>
      <c r="R67" s="144">
        <f t="shared" si="167"/>
        <v>0</v>
      </c>
      <c r="S67" s="144">
        <f t="shared" si="168"/>
        <v>0</v>
      </c>
      <c r="T67" s="144">
        <f t="shared" si="169"/>
        <v>969</v>
      </c>
      <c r="V67" s="150">
        <f>L65+L66+L67</f>
        <v>0</v>
      </c>
      <c r="W67" s="150">
        <f t="shared" ref="W67" si="191">M65+M66+M67</f>
        <v>2504</v>
      </c>
      <c r="X67" s="150"/>
      <c r="Y67" s="150">
        <f t="shared" ref="Y67" si="192">O65+O66+O67</f>
        <v>15970</v>
      </c>
      <c r="Z67" s="150">
        <f t="shared" ref="Z67" si="193">P65+P66+P67</f>
        <v>0</v>
      </c>
      <c r="AA67" s="150">
        <f t="shared" ref="AA67" si="194">Q65+Q66+Q67</f>
        <v>0</v>
      </c>
      <c r="AB67" s="150">
        <f t="shared" ref="AB67" si="195">R65+R66+R67</f>
        <v>0</v>
      </c>
      <c r="AC67" s="150">
        <f t="shared" ref="AC67" si="196">S65+S66+S67</f>
        <v>0</v>
      </c>
      <c r="AD67" s="150">
        <f t="shared" ref="AD67" si="197">T65+T66+T67</f>
        <v>3025</v>
      </c>
      <c r="AF67" s="158">
        <f t="shared" si="24"/>
        <v>14200</v>
      </c>
      <c r="AG67" s="149"/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>
        <v>477.7371</v>
      </c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  <c r="BI67" s="149"/>
      <c r="BJ67" s="149"/>
      <c r="BK67" s="149">
        <v>2583.8220999999999</v>
      </c>
      <c r="BL67" s="149"/>
      <c r="BM67" s="149"/>
      <c r="BN67" s="149"/>
      <c r="BO67" s="149"/>
      <c r="BP67" s="149"/>
      <c r="BQ67" s="149"/>
      <c r="BR67" s="149"/>
      <c r="BS67" s="149"/>
      <c r="BT67" s="149"/>
      <c r="BU67" s="149"/>
      <c r="BV67" s="149"/>
      <c r="BW67" s="149"/>
      <c r="BX67" s="149"/>
      <c r="BY67" s="149"/>
      <c r="BZ67" s="149"/>
      <c r="CA67" s="149"/>
      <c r="CB67" s="149">
        <v>170.9</v>
      </c>
      <c r="CC67" s="231">
        <f t="shared" si="110"/>
        <v>14200</v>
      </c>
    </row>
    <row r="68" spans="2:81" x14ac:dyDescent="0.25">
      <c r="B68" s="155">
        <v>14250</v>
      </c>
      <c r="C68" s="147">
        <f t="shared" si="155"/>
        <v>0</v>
      </c>
      <c r="D68" s="147">
        <f t="shared" si="22"/>
        <v>496.28359999999998</v>
      </c>
      <c r="E68" s="147">
        <f t="shared" si="156"/>
        <v>0</v>
      </c>
      <c r="F68" s="147">
        <f t="shared" si="23"/>
        <v>2206.4811</v>
      </c>
      <c r="G68" s="147">
        <f t="shared" si="7"/>
        <v>0</v>
      </c>
      <c r="H68" s="147">
        <f t="shared" si="8"/>
        <v>0</v>
      </c>
      <c r="I68" s="147">
        <f t="shared" si="9"/>
        <v>0</v>
      </c>
      <c r="J68" s="156">
        <f t="shared" si="10"/>
        <v>0</v>
      </c>
      <c r="K68" s="157">
        <f t="shared" si="11"/>
        <v>161.75</v>
      </c>
      <c r="L68" s="151">
        <f t="shared" si="163"/>
        <v>0</v>
      </c>
      <c r="M68" s="147">
        <f t="shared" si="164"/>
        <v>902</v>
      </c>
      <c r="N68" s="147"/>
      <c r="O68" s="147">
        <f t="shared" si="25"/>
        <v>4436</v>
      </c>
      <c r="P68" s="147">
        <f t="shared" si="165"/>
        <v>0</v>
      </c>
      <c r="Q68" s="147">
        <f t="shared" si="166"/>
        <v>0</v>
      </c>
      <c r="R68" s="147">
        <f t="shared" si="167"/>
        <v>0</v>
      </c>
      <c r="S68" s="147">
        <f t="shared" si="168"/>
        <v>0</v>
      </c>
      <c r="T68" s="147">
        <f t="shared" si="169"/>
        <v>925</v>
      </c>
      <c r="V68" s="146"/>
      <c r="W68" s="147"/>
      <c r="X68" s="147"/>
      <c r="Y68" s="147"/>
      <c r="Z68" s="147"/>
      <c r="AA68" s="147"/>
      <c r="AB68" s="147"/>
      <c r="AC68" s="147"/>
      <c r="AD68" s="148"/>
      <c r="AF68" s="155">
        <f t="shared" si="24"/>
        <v>14250</v>
      </c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>
        <v>496.28359999999998</v>
      </c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>
        <v>2206.4811</v>
      </c>
      <c r="BL68" s="78"/>
      <c r="BM68" s="78"/>
      <c r="BN68" s="78"/>
      <c r="BO68" s="78"/>
      <c r="BP68" s="78"/>
      <c r="BQ68" s="78"/>
      <c r="BR68" s="78"/>
      <c r="BS68" s="78"/>
      <c r="BT68" s="78"/>
      <c r="BU68" s="78"/>
      <c r="BV68" s="78"/>
      <c r="BW68" s="78"/>
      <c r="BX68" s="78"/>
      <c r="BY68" s="78"/>
      <c r="BZ68" s="78"/>
      <c r="CA68" s="78"/>
      <c r="CB68" s="78">
        <v>161.75</v>
      </c>
      <c r="CC68" s="231">
        <f t="shared" ref="CC68:CC101" si="198">B68</f>
        <v>14250</v>
      </c>
    </row>
    <row r="69" spans="2:81" x14ac:dyDescent="0.25">
      <c r="B69" s="57">
        <v>14300</v>
      </c>
      <c r="C69" s="58">
        <f t="shared" si="155"/>
        <v>0</v>
      </c>
      <c r="D69" s="58">
        <f t="shared" si="22"/>
        <v>515.06380000000001</v>
      </c>
      <c r="E69" s="58">
        <f t="shared" si="156"/>
        <v>0</v>
      </c>
      <c r="F69" s="58">
        <f t="shared" si="23"/>
        <v>1686.9204999999999</v>
      </c>
      <c r="G69" s="58">
        <f t="shared" si="7"/>
        <v>0</v>
      </c>
      <c r="H69" s="58">
        <f t="shared" si="8"/>
        <v>0</v>
      </c>
      <c r="I69" s="58">
        <f t="shared" si="9"/>
        <v>0</v>
      </c>
      <c r="J69" s="51">
        <f t="shared" si="10"/>
        <v>0</v>
      </c>
      <c r="K69" s="99">
        <f t="shared" si="11"/>
        <v>145.22999999999999</v>
      </c>
      <c r="L69" s="105">
        <f t="shared" si="163"/>
        <v>0</v>
      </c>
      <c r="M69" s="58">
        <f t="shared" si="164"/>
        <v>937</v>
      </c>
      <c r="N69" s="58"/>
      <c r="O69" s="58">
        <f t="shared" si="25"/>
        <v>3606</v>
      </c>
      <c r="P69" s="58">
        <f t="shared" si="165"/>
        <v>0</v>
      </c>
      <c r="Q69" s="58">
        <f t="shared" si="166"/>
        <v>0</v>
      </c>
      <c r="R69" s="58">
        <f t="shared" si="167"/>
        <v>0</v>
      </c>
      <c r="S69" s="58">
        <f t="shared" si="168"/>
        <v>0</v>
      </c>
      <c r="T69" s="58">
        <f t="shared" si="169"/>
        <v>853</v>
      </c>
      <c r="V69" s="137"/>
      <c r="W69" s="58"/>
      <c r="X69" s="58"/>
      <c r="Y69" s="58"/>
      <c r="Z69" s="58"/>
      <c r="AA69" s="58"/>
      <c r="AB69" s="58"/>
      <c r="AC69" s="58"/>
      <c r="AD69" s="138"/>
      <c r="AF69" s="57">
        <f t="shared" si="24"/>
        <v>14300</v>
      </c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>
        <v>515.06380000000001</v>
      </c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>
        <v>1686.9204999999999</v>
      </c>
      <c r="BL69" s="49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49"/>
      <c r="CA69" s="49"/>
      <c r="CB69" s="49">
        <v>145.22999999999999</v>
      </c>
      <c r="CC69" s="231">
        <f t="shared" si="198"/>
        <v>14300</v>
      </c>
    </row>
    <row r="70" spans="2:81" s="3" customFormat="1" ht="15.75" thickBot="1" x14ac:dyDescent="0.3">
      <c r="B70" s="158">
        <v>14350</v>
      </c>
      <c r="C70" s="144">
        <f t="shared" si="155"/>
        <v>0</v>
      </c>
      <c r="D70" s="144">
        <f t="shared" si="22"/>
        <v>534.07749999999999</v>
      </c>
      <c r="E70" s="144">
        <f t="shared" si="156"/>
        <v>0</v>
      </c>
      <c r="F70" s="144">
        <f t="shared" si="23"/>
        <v>1403.1104</v>
      </c>
      <c r="G70" s="144">
        <f t="shared" si="7"/>
        <v>0</v>
      </c>
      <c r="H70" s="144">
        <f t="shared" si="8"/>
        <v>0</v>
      </c>
      <c r="I70" s="144">
        <f t="shared" si="9"/>
        <v>0</v>
      </c>
      <c r="J70" s="159">
        <f t="shared" si="10"/>
        <v>0</v>
      </c>
      <c r="K70" s="160">
        <f t="shared" si="11"/>
        <v>136.75</v>
      </c>
      <c r="L70" s="152">
        <f t="shared" si="163"/>
        <v>0</v>
      </c>
      <c r="M70" s="144">
        <f t="shared" si="164"/>
        <v>972</v>
      </c>
      <c r="N70" s="144"/>
      <c r="O70" s="144">
        <f t="shared" si="25"/>
        <v>2862</v>
      </c>
      <c r="P70" s="144">
        <f t="shared" si="165"/>
        <v>0</v>
      </c>
      <c r="Q70" s="144">
        <f t="shared" si="166"/>
        <v>0</v>
      </c>
      <c r="R70" s="144">
        <f t="shared" si="167"/>
        <v>0</v>
      </c>
      <c r="S70" s="144">
        <f t="shared" si="168"/>
        <v>0</v>
      </c>
      <c r="T70" s="144">
        <f t="shared" si="169"/>
        <v>784</v>
      </c>
      <c r="V70" s="150">
        <f>L68+L69+L70</f>
        <v>0</v>
      </c>
      <c r="W70" s="150">
        <f>M68+M69+M70</f>
        <v>2811</v>
      </c>
      <c r="X70" s="150"/>
      <c r="Y70" s="150">
        <f t="shared" ref="Y70" si="199">O68+O69+O70</f>
        <v>10904</v>
      </c>
      <c r="Z70" s="150">
        <f t="shared" ref="Z70" si="200">P68+P69+P70</f>
        <v>0</v>
      </c>
      <c r="AA70" s="150">
        <f t="shared" ref="AA70" si="201">Q68+Q69+Q70</f>
        <v>0</v>
      </c>
      <c r="AB70" s="150">
        <f t="shared" ref="AB70" si="202">R68+R69+R70</f>
        <v>0</v>
      </c>
      <c r="AC70" s="150">
        <f t="shared" ref="AC70" si="203">S68+S69+S70</f>
        <v>0</v>
      </c>
      <c r="AD70" s="150">
        <f t="shared" ref="AD70" si="204">T68+T69+T70</f>
        <v>2562</v>
      </c>
      <c r="AF70" s="158">
        <f t="shared" si="24"/>
        <v>14350</v>
      </c>
      <c r="AG70" s="149"/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>
        <v>534.07749999999999</v>
      </c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  <c r="BI70" s="149"/>
      <c r="BJ70" s="149"/>
      <c r="BK70" s="149">
        <v>1403.1104</v>
      </c>
      <c r="BL70" s="149"/>
      <c r="BM70" s="149"/>
      <c r="BN70" s="149"/>
      <c r="BO70" s="149"/>
      <c r="BP70" s="149"/>
      <c r="BQ70" s="149"/>
      <c r="BR70" s="149"/>
      <c r="BS70" s="149"/>
      <c r="BT70" s="149"/>
      <c r="BU70" s="149"/>
      <c r="BV70" s="149"/>
      <c r="BW70" s="149"/>
      <c r="BX70" s="149"/>
      <c r="BY70" s="149"/>
      <c r="BZ70" s="149"/>
      <c r="CA70" s="149"/>
      <c r="CB70" s="149">
        <v>136.75</v>
      </c>
      <c r="CC70" s="231">
        <f t="shared" si="198"/>
        <v>14350</v>
      </c>
    </row>
    <row r="71" spans="2:81" x14ac:dyDescent="0.25">
      <c r="B71" s="155">
        <v>14400</v>
      </c>
      <c r="C71" s="147">
        <f t="shared" si="155"/>
        <v>0</v>
      </c>
      <c r="D71" s="147">
        <f t="shared" si="22"/>
        <v>580.70339999999999</v>
      </c>
      <c r="E71" s="147">
        <f t="shared" si="156"/>
        <v>0</v>
      </c>
      <c r="F71" s="147">
        <f t="shared" si="23"/>
        <v>1185.5935999999999</v>
      </c>
      <c r="G71" s="147">
        <f t="shared" si="7"/>
        <v>0</v>
      </c>
      <c r="H71" s="147">
        <f t="shared" si="8"/>
        <v>0</v>
      </c>
      <c r="I71" s="147">
        <f t="shared" si="9"/>
        <v>0</v>
      </c>
      <c r="J71" s="156">
        <f t="shared" si="10"/>
        <v>0</v>
      </c>
      <c r="K71" s="157">
        <f t="shared" si="11"/>
        <v>133.81</v>
      </c>
      <c r="L71" s="151">
        <f t="shared" si="163"/>
        <v>0</v>
      </c>
      <c r="M71" s="147">
        <f t="shared" si="164"/>
        <v>1033</v>
      </c>
      <c r="N71" s="147"/>
      <c r="O71" s="147">
        <f t="shared" si="25"/>
        <v>2397</v>
      </c>
      <c r="P71" s="147">
        <f t="shared" si="165"/>
        <v>0</v>
      </c>
      <c r="Q71" s="147">
        <f t="shared" si="166"/>
        <v>0</v>
      </c>
      <c r="R71" s="147">
        <f t="shared" si="167"/>
        <v>0</v>
      </c>
      <c r="S71" s="147">
        <f t="shared" si="168"/>
        <v>0</v>
      </c>
      <c r="T71" s="147">
        <f t="shared" si="169"/>
        <v>752</v>
      </c>
      <c r="V71" s="146"/>
      <c r="W71" s="147"/>
      <c r="X71" s="147"/>
      <c r="Y71" s="147"/>
      <c r="Z71" s="147"/>
      <c r="AA71" s="147"/>
      <c r="AB71" s="147"/>
      <c r="AC71" s="147"/>
      <c r="AD71" s="148"/>
      <c r="AF71" s="155">
        <f t="shared" si="24"/>
        <v>14400</v>
      </c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>
        <v>580.70339999999999</v>
      </c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>
        <v>1185.5935999999999</v>
      </c>
      <c r="BL71" s="78"/>
      <c r="BM71" s="78"/>
      <c r="BN71" s="78"/>
      <c r="BO71" s="78"/>
      <c r="BP71" s="78"/>
      <c r="BQ71" s="78"/>
      <c r="BR71" s="78"/>
      <c r="BS71" s="78"/>
      <c r="BT71" s="78"/>
      <c r="BU71" s="78"/>
      <c r="BV71" s="78"/>
      <c r="BW71" s="78"/>
      <c r="BX71" s="78"/>
      <c r="BY71" s="78"/>
      <c r="BZ71" s="78"/>
      <c r="CA71" s="78"/>
      <c r="CB71" s="78">
        <v>133.81</v>
      </c>
      <c r="CC71" s="231">
        <f t="shared" si="198"/>
        <v>14400</v>
      </c>
    </row>
    <row r="72" spans="2:81" x14ac:dyDescent="0.25">
      <c r="B72" s="57">
        <v>14450</v>
      </c>
      <c r="C72" s="58">
        <f t="shared" si="155"/>
        <v>0</v>
      </c>
      <c r="D72" s="58">
        <f t="shared" si="22"/>
        <v>602.18849999999998</v>
      </c>
      <c r="E72" s="58">
        <f t="shared" si="156"/>
        <v>0</v>
      </c>
      <c r="F72" s="58">
        <f t="shared" si="23"/>
        <v>952.0367</v>
      </c>
      <c r="G72" s="58">
        <f t="shared" si="7"/>
        <v>0</v>
      </c>
      <c r="H72" s="58">
        <f t="shared" si="8"/>
        <v>0</v>
      </c>
      <c r="I72" s="58">
        <f t="shared" si="9"/>
        <v>0</v>
      </c>
      <c r="J72" s="51">
        <f t="shared" si="10"/>
        <v>0</v>
      </c>
      <c r="K72" s="99">
        <f t="shared" si="11"/>
        <v>123.8</v>
      </c>
      <c r="L72" s="105">
        <f t="shared" si="163"/>
        <v>0</v>
      </c>
      <c r="M72" s="58">
        <f t="shared" si="164"/>
        <v>1096</v>
      </c>
      <c r="N72" s="58"/>
      <c r="O72" s="58">
        <f t="shared" si="25"/>
        <v>1980</v>
      </c>
      <c r="P72" s="58">
        <f t="shared" si="165"/>
        <v>0</v>
      </c>
      <c r="Q72" s="58">
        <f t="shared" si="166"/>
        <v>0</v>
      </c>
      <c r="R72" s="58">
        <f t="shared" si="167"/>
        <v>0</v>
      </c>
      <c r="S72" s="58">
        <f t="shared" si="168"/>
        <v>0</v>
      </c>
      <c r="T72" s="58">
        <f t="shared" si="169"/>
        <v>716</v>
      </c>
      <c r="V72" s="137"/>
      <c r="W72" s="58"/>
      <c r="X72" s="58"/>
      <c r="Y72" s="58"/>
      <c r="Z72" s="58"/>
      <c r="AA72" s="58"/>
      <c r="AB72" s="58"/>
      <c r="AC72" s="58"/>
      <c r="AD72" s="138"/>
      <c r="AF72" s="57">
        <f t="shared" si="24"/>
        <v>14450</v>
      </c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>
        <v>602.18849999999998</v>
      </c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49">
        <v>952.0367</v>
      </c>
      <c r="BL72" s="49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49"/>
      <c r="CA72" s="49"/>
      <c r="CB72" s="49">
        <v>123.8</v>
      </c>
      <c r="CC72" s="231">
        <f t="shared" si="198"/>
        <v>14450</v>
      </c>
    </row>
    <row r="73" spans="2:81" s="3" customFormat="1" ht="15.75" thickBot="1" x14ac:dyDescent="0.3">
      <c r="B73" s="158">
        <v>14500</v>
      </c>
      <c r="C73" s="144">
        <f t="shared" si="155"/>
        <v>0</v>
      </c>
      <c r="D73" s="144">
        <f t="shared" si="22"/>
        <v>643.25450000000001</v>
      </c>
      <c r="E73" s="144">
        <f t="shared" si="156"/>
        <v>0</v>
      </c>
      <c r="F73" s="144">
        <f t="shared" si="23"/>
        <v>838.59050000000002</v>
      </c>
      <c r="G73" s="144">
        <f t="shared" ref="G73:G136" si="205">BN73+BO73+BP73</f>
        <v>0</v>
      </c>
      <c r="H73" s="144">
        <f t="shared" ref="H73:H136" si="206">BQ73+BR73+BS73</f>
        <v>0</v>
      </c>
      <c r="I73" s="144">
        <f t="shared" ref="I73:I136" si="207">BT73+BU73+BV73</f>
        <v>0</v>
      </c>
      <c r="J73" s="159">
        <f t="shared" ref="J73:J136" si="208">BW73+BX73+BY73</f>
        <v>0</v>
      </c>
      <c r="K73" s="160">
        <f t="shared" ref="K73:K136" si="209">BZ73+CA73+CB73</f>
        <v>121.86</v>
      </c>
      <c r="L73" s="152">
        <f t="shared" si="163"/>
        <v>0</v>
      </c>
      <c r="M73" s="144">
        <f t="shared" si="164"/>
        <v>1154</v>
      </c>
      <c r="N73" s="144"/>
      <c r="O73" s="144">
        <f t="shared" si="25"/>
        <v>1658</v>
      </c>
      <c r="P73" s="144">
        <f t="shared" si="165"/>
        <v>0</v>
      </c>
      <c r="Q73" s="144">
        <f t="shared" si="166"/>
        <v>0</v>
      </c>
      <c r="R73" s="144">
        <f t="shared" si="167"/>
        <v>0</v>
      </c>
      <c r="S73" s="144">
        <f t="shared" si="168"/>
        <v>0</v>
      </c>
      <c r="T73" s="144">
        <f t="shared" si="169"/>
        <v>683</v>
      </c>
      <c r="V73" s="150">
        <f>L71+L72+L73</f>
        <v>0</v>
      </c>
      <c r="W73" s="150">
        <f t="shared" ref="W73" si="210">M71+M72+M73</f>
        <v>3283</v>
      </c>
      <c r="X73" s="150"/>
      <c r="Y73" s="150">
        <f t="shared" ref="Y73" si="211">O71+O72+O73</f>
        <v>6035</v>
      </c>
      <c r="Z73" s="150">
        <f t="shared" ref="Z73" si="212">P71+P72+P73</f>
        <v>0</v>
      </c>
      <c r="AA73" s="150">
        <f t="shared" ref="AA73" si="213">Q71+Q72+Q73</f>
        <v>0</v>
      </c>
      <c r="AB73" s="150">
        <f t="shared" ref="AB73" si="214">R71+R72+R73</f>
        <v>0</v>
      </c>
      <c r="AC73" s="150">
        <f t="shared" ref="AC73" si="215">S71+S72+S73</f>
        <v>0</v>
      </c>
      <c r="AD73" s="150">
        <f t="shared" ref="AD73" si="216">T71+T72+T73</f>
        <v>2151</v>
      </c>
      <c r="AF73" s="158">
        <f t="shared" si="24"/>
        <v>14500</v>
      </c>
      <c r="AG73" s="149"/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>
        <v>643.25450000000001</v>
      </c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  <c r="BI73" s="149"/>
      <c r="BJ73" s="149"/>
      <c r="BK73" s="149">
        <v>838.59050000000002</v>
      </c>
      <c r="BL73" s="149"/>
      <c r="BM73" s="149"/>
      <c r="BN73" s="149"/>
      <c r="BO73" s="149"/>
      <c r="BP73" s="149"/>
      <c r="BQ73" s="149"/>
      <c r="BR73" s="149"/>
      <c r="BS73" s="149"/>
      <c r="BT73" s="149"/>
      <c r="BU73" s="149"/>
      <c r="BV73" s="149"/>
      <c r="BW73" s="149"/>
      <c r="BX73" s="149"/>
      <c r="BY73" s="149"/>
      <c r="BZ73" s="149"/>
      <c r="CA73" s="149"/>
      <c r="CB73" s="149">
        <v>121.86</v>
      </c>
      <c r="CC73" s="231">
        <f t="shared" si="198"/>
        <v>14500</v>
      </c>
    </row>
    <row r="74" spans="2:81" x14ac:dyDescent="0.25">
      <c r="B74" s="155">
        <v>14550</v>
      </c>
      <c r="C74" s="147">
        <f t="shared" si="155"/>
        <v>0</v>
      </c>
      <c r="D74" s="147">
        <f t="shared" si="22"/>
        <v>665.46389999999997</v>
      </c>
      <c r="E74" s="147">
        <f t="shared" si="156"/>
        <v>0</v>
      </c>
      <c r="F74" s="147">
        <f t="shared" si="23"/>
        <v>738.53769999999997</v>
      </c>
      <c r="G74" s="147">
        <f t="shared" si="205"/>
        <v>0</v>
      </c>
      <c r="H74" s="147">
        <f t="shared" si="206"/>
        <v>0</v>
      </c>
      <c r="I74" s="147">
        <f t="shared" si="207"/>
        <v>0</v>
      </c>
      <c r="J74" s="156">
        <f t="shared" si="208"/>
        <v>0</v>
      </c>
      <c r="K74" s="157">
        <f t="shared" si="209"/>
        <v>119.26</v>
      </c>
      <c r="L74" s="151">
        <f t="shared" si="163"/>
        <v>0</v>
      </c>
      <c r="M74" s="147">
        <f t="shared" si="164"/>
        <v>1212</v>
      </c>
      <c r="N74" s="147"/>
      <c r="O74" s="147">
        <f t="shared" si="25"/>
        <v>1461</v>
      </c>
      <c r="P74" s="147">
        <f t="shared" si="165"/>
        <v>0</v>
      </c>
      <c r="Q74" s="147">
        <f t="shared" si="166"/>
        <v>0</v>
      </c>
      <c r="R74" s="147">
        <f t="shared" si="167"/>
        <v>0</v>
      </c>
      <c r="S74" s="147">
        <f t="shared" si="168"/>
        <v>0</v>
      </c>
      <c r="T74" s="147">
        <f t="shared" si="169"/>
        <v>670</v>
      </c>
      <c r="V74" s="146"/>
      <c r="W74" s="147"/>
      <c r="X74" s="147"/>
      <c r="Y74" s="147"/>
      <c r="Z74" s="147"/>
      <c r="AA74" s="147"/>
      <c r="AB74" s="147"/>
      <c r="AC74" s="147"/>
      <c r="AD74" s="148"/>
      <c r="AF74" s="155">
        <f t="shared" si="24"/>
        <v>14550</v>
      </c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>
        <v>665.46389999999997</v>
      </c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>
        <v>738.53769999999997</v>
      </c>
      <c r="BL74" s="78"/>
      <c r="BM74" s="78"/>
      <c r="BN74" s="78"/>
      <c r="BO74" s="78"/>
      <c r="BP74" s="78"/>
      <c r="BQ74" s="78"/>
      <c r="BR74" s="78"/>
      <c r="BS74" s="78"/>
      <c r="BT74" s="78"/>
      <c r="BU74" s="78"/>
      <c r="BV74" s="78"/>
      <c r="BW74" s="78"/>
      <c r="BX74" s="78"/>
      <c r="BY74" s="78"/>
      <c r="BZ74" s="78"/>
      <c r="CA74" s="78"/>
      <c r="CB74" s="78">
        <v>119.26</v>
      </c>
      <c r="CC74" s="231">
        <f t="shared" si="198"/>
        <v>14550</v>
      </c>
    </row>
    <row r="75" spans="2:81" x14ac:dyDescent="0.25">
      <c r="B75" s="57">
        <v>14600</v>
      </c>
      <c r="C75" s="58">
        <f t="shared" si="155"/>
        <v>0</v>
      </c>
      <c r="D75" s="58">
        <f t="shared" si="22"/>
        <v>687.27340000000004</v>
      </c>
      <c r="E75" s="58">
        <f t="shared" si="156"/>
        <v>0</v>
      </c>
      <c r="F75" s="58">
        <f t="shared" si="23"/>
        <v>675.13800000000003</v>
      </c>
      <c r="G75" s="58">
        <f t="shared" si="205"/>
        <v>0</v>
      </c>
      <c r="H75" s="58">
        <f t="shared" si="206"/>
        <v>0</v>
      </c>
      <c r="I75" s="58">
        <f t="shared" si="207"/>
        <v>0</v>
      </c>
      <c r="J75" s="51">
        <f t="shared" si="208"/>
        <v>0</v>
      </c>
      <c r="K75" s="99">
        <f t="shared" si="209"/>
        <v>115.95</v>
      </c>
      <c r="L75" s="105">
        <f t="shared" si="163"/>
        <v>0</v>
      </c>
      <c r="M75" s="58">
        <f t="shared" si="164"/>
        <v>1253</v>
      </c>
      <c r="N75" s="58"/>
      <c r="O75" s="58">
        <f t="shared" si="25"/>
        <v>1309</v>
      </c>
      <c r="P75" s="58">
        <f t="shared" si="165"/>
        <v>0</v>
      </c>
      <c r="Q75" s="58">
        <f t="shared" si="166"/>
        <v>0</v>
      </c>
      <c r="R75" s="58">
        <f t="shared" si="167"/>
        <v>0</v>
      </c>
      <c r="S75" s="58">
        <f t="shared" si="168"/>
        <v>0</v>
      </c>
      <c r="T75" s="58">
        <f t="shared" si="169"/>
        <v>654</v>
      </c>
      <c r="V75" s="137"/>
      <c r="W75" s="58"/>
      <c r="X75" s="58"/>
      <c r="Y75" s="58"/>
      <c r="Z75" s="58"/>
      <c r="AA75" s="58"/>
      <c r="AB75" s="58"/>
      <c r="AC75" s="58"/>
      <c r="AD75" s="138"/>
      <c r="AF75" s="57">
        <f t="shared" si="24"/>
        <v>14600</v>
      </c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>
        <v>687.27340000000004</v>
      </c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49"/>
      <c r="BJ75" s="49"/>
      <c r="BK75" s="49">
        <v>675.13800000000003</v>
      </c>
      <c r="BL75" s="49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49"/>
      <c r="CA75" s="49"/>
      <c r="CB75" s="49">
        <v>115.95</v>
      </c>
      <c r="CC75" s="231">
        <f t="shared" si="198"/>
        <v>14600</v>
      </c>
    </row>
    <row r="76" spans="2:81" s="3" customFormat="1" ht="15.75" thickBot="1" x14ac:dyDescent="0.3">
      <c r="B76" s="158">
        <v>14650</v>
      </c>
      <c r="C76" s="144">
        <f t="shared" si="155"/>
        <v>38.059899999999999</v>
      </c>
      <c r="D76" s="144">
        <f t="shared" si="22"/>
        <v>709.31640000000004</v>
      </c>
      <c r="E76" s="144">
        <f t="shared" si="156"/>
        <v>0</v>
      </c>
      <c r="F76" s="144">
        <f t="shared" si="23"/>
        <v>616.84900000000005</v>
      </c>
      <c r="G76" s="144">
        <f t="shared" si="205"/>
        <v>0</v>
      </c>
      <c r="H76" s="144">
        <f t="shared" si="206"/>
        <v>0</v>
      </c>
      <c r="I76" s="144">
        <f t="shared" si="207"/>
        <v>0</v>
      </c>
      <c r="J76" s="159">
        <f t="shared" si="208"/>
        <v>0</v>
      </c>
      <c r="K76" s="160">
        <f t="shared" si="209"/>
        <v>157.41</v>
      </c>
      <c r="L76" s="152">
        <f t="shared" si="163"/>
        <v>36</v>
      </c>
      <c r="M76" s="144">
        <f t="shared" si="164"/>
        <v>1294</v>
      </c>
      <c r="N76" s="144"/>
      <c r="O76" s="144">
        <f t="shared" si="25"/>
        <v>1197</v>
      </c>
      <c r="P76" s="144">
        <f t="shared" si="165"/>
        <v>0</v>
      </c>
      <c r="Q76" s="144">
        <f t="shared" si="166"/>
        <v>0</v>
      </c>
      <c r="R76" s="144">
        <f t="shared" si="167"/>
        <v>0</v>
      </c>
      <c r="S76" s="144">
        <f t="shared" si="168"/>
        <v>0</v>
      </c>
      <c r="T76" s="144">
        <f t="shared" si="169"/>
        <v>760</v>
      </c>
      <c r="V76" s="150">
        <f>L74+L75+L76</f>
        <v>36</v>
      </c>
      <c r="W76" s="150">
        <f t="shared" ref="W76" si="217">M74+M75+M76</f>
        <v>3759</v>
      </c>
      <c r="X76" s="150"/>
      <c r="Y76" s="150">
        <f t="shared" ref="Y76" si="218">O74+O75+O76</f>
        <v>3967</v>
      </c>
      <c r="Z76" s="150">
        <f t="shared" ref="Z76" si="219">P74+P75+P76</f>
        <v>0</v>
      </c>
      <c r="AA76" s="150">
        <f t="shared" ref="AA76" si="220">Q74+Q75+Q76</f>
        <v>0</v>
      </c>
      <c r="AB76" s="150">
        <f t="shared" ref="AB76" si="221">R74+R75+R76</f>
        <v>0</v>
      </c>
      <c r="AC76" s="150">
        <f t="shared" ref="AC76" si="222">S74+S75+S76</f>
        <v>0</v>
      </c>
      <c r="AD76" s="150">
        <f t="shared" ref="AD76" si="223">T74+T75+T76</f>
        <v>2084</v>
      </c>
      <c r="AF76" s="158">
        <f t="shared" si="24"/>
        <v>14650</v>
      </c>
      <c r="AG76" s="149">
        <v>38.059899999999999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>
        <v>709.31640000000004</v>
      </c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  <c r="BI76" s="149"/>
      <c r="BJ76" s="149"/>
      <c r="BK76" s="149">
        <v>616.84900000000005</v>
      </c>
      <c r="BL76" s="149"/>
      <c r="BM76" s="149"/>
      <c r="BN76" s="149"/>
      <c r="BO76" s="149"/>
      <c r="BP76" s="149"/>
      <c r="BQ76" s="149"/>
      <c r="BR76" s="149"/>
      <c r="BS76" s="149"/>
      <c r="BT76" s="149"/>
      <c r="BU76" s="149"/>
      <c r="BV76" s="149"/>
      <c r="BW76" s="149"/>
      <c r="BX76" s="149"/>
      <c r="BY76" s="149"/>
      <c r="BZ76" s="149"/>
      <c r="CA76" s="149"/>
      <c r="CB76" s="149">
        <v>157.41</v>
      </c>
      <c r="CC76" s="231">
        <f t="shared" si="198"/>
        <v>14650</v>
      </c>
    </row>
    <row r="77" spans="2:81" x14ac:dyDescent="0.25">
      <c r="B77" s="155">
        <v>14700</v>
      </c>
      <c r="C77" s="147">
        <f t="shared" si="155"/>
        <v>29.512699999999999</v>
      </c>
      <c r="D77" s="147">
        <f t="shared" si="22"/>
        <v>730.93259999999998</v>
      </c>
      <c r="E77" s="147">
        <f t="shared" si="156"/>
        <v>0</v>
      </c>
      <c r="F77" s="147">
        <f t="shared" si="23"/>
        <v>503.05020000000002</v>
      </c>
      <c r="G77" s="147">
        <f t="shared" si="205"/>
        <v>0</v>
      </c>
      <c r="H77" s="147">
        <f t="shared" si="206"/>
        <v>0</v>
      </c>
      <c r="I77" s="147">
        <f t="shared" si="207"/>
        <v>0</v>
      </c>
      <c r="J77" s="156">
        <f t="shared" si="208"/>
        <v>0</v>
      </c>
      <c r="K77" s="157">
        <f t="shared" si="209"/>
        <v>134.56</v>
      </c>
      <c r="L77" s="151">
        <f t="shared" si="163"/>
        <v>63</v>
      </c>
      <c r="M77" s="147">
        <f t="shared" si="164"/>
        <v>1334</v>
      </c>
      <c r="N77" s="147"/>
      <c r="O77" s="147">
        <f t="shared" si="25"/>
        <v>1037</v>
      </c>
      <c r="P77" s="147">
        <f t="shared" si="165"/>
        <v>0</v>
      </c>
      <c r="Q77" s="147">
        <f t="shared" si="166"/>
        <v>0</v>
      </c>
      <c r="R77" s="147">
        <f t="shared" si="167"/>
        <v>0</v>
      </c>
      <c r="S77" s="147">
        <f t="shared" si="168"/>
        <v>0</v>
      </c>
      <c r="T77" s="147">
        <f t="shared" si="169"/>
        <v>812</v>
      </c>
      <c r="V77" s="146"/>
      <c r="W77" s="147"/>
      <c r="X77" s="147"/>
      <c r="Y77" s="147"/>
      <c r="Z77" s="147"/>
      <c r="AA77" s="147"/>
      <c r="AB77" s="147"/>
      <c r="AC77" s="147"/>
      <c r="AD77" s="148"/>
      <c r="AF77" s="155">
        <f t="shared" si="24"/>
        <v>14700</v>
      </c>
      <c r="AG77" s="78">
        <v>29.512699999999999</v>
      </c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>
        <v>730.93259999999998</v>
      </c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>
        <v>503.05020000000002</v>
      </c>
      <c r="BL77" s="78"/>
      <c r="BM77" s="78"/>
      <c r="BN77" s="78"/>
      <c r="BO77" s="78"/>
      <c r="BP77" s="78"/>
      <c r="BQ77" s="78"/>
      <c r="BR77" s="78"/>
      <c r="BS77" s="78"/>
      <c r="BT77" s="78"/>
      <c r="BU77" s="78"/>
      <c r="BV77" s="78"/>
      <c r="BW77" s="78"/>
      <c r="BX77" s="78"/>
      <c r="BY77" s="78"/>
      <c r="BZ77" s="78"/>
      <c r="CA77" s="78"/>
      <c r="CB77" s="78">
        <v>134.56</v>
      </c>
      <c r="CC77" s="231">
        <f t="shared" si="198"/>
        <v>14700</v>
      </c>
    </row>
    <row r="78" spans="2:81" x14ac:dyDescent="0.25">
      <c r="B78" s="57">
        <v>14750</v>
      </c>
      <c r="C78" s="58">
        <f t="shared" si="155"/>
        <v>16.893999999999998</v>
      </c>
      <c r="D78" s="58">
        <f t="shared" si="22"/>
        <v>754.10379999999998</v>
      </c>
      <c r="E78" s="58">
        <f t="shared" si="156"/>
        <v>0</v>
      </c>
      <c r="F78" s="58">
        <f t="shared" si="23"/>
        <v>378.29559999999998</v>
      </c>
      <c r="G78" s="58">
        <f t="shared" si="205"/>
        <v>0</v>
      </c>
      <c r="H78" s="58">
        <f t="shared" si="206"/>
        <v>0</v>
      </c>
      <c r="I78" s="58">
        <f t="shared" si="207"/>
        <v>0</v>
      </c>
      <c r="J78" s="51">
        <f t="shared" si="208"/>
        <v>0</v>
      </c>
      <c r="K78" s="99">
        <f t="shared" si="209"/>
        <v>126.53</v>
      </c>
      <c r="L78" s="105">
        <f t="shared" si="163"/>
        <v>43</v>
      </c>
      <c r="M78" s="58">
        <f t="shared" si="164"/>
        <v>1376</v>
      </c>
      <c r="N78" s="58"/>
      <c r="O78" s="58">
        <f t="shared" si="25"/>
        <v>817</v>
      </c>
      <c r="P78" s="58">
        <f t="shared" si="165"/>
        <v>0</v>
      </c>
      <c r="Q78" s="58">
        <f t="shared" si="166"/>
        <v>0</v>
      </c>
      <c r="R78" s="58">
        <f t="shared" si="167"/>
        <v>0</v>
      </c>
      <c r="S78" s="58">
        <f t="shared" si="168"/>
        <v>0</v>
      </c>
      <c r="T78" s="58">
        <f t="shared" si="169"/>
        <v>726</v>
      </c>
      <c r="V78" s="137"/>
      <c r="W78" s="58"/>
      <c r="X78" s="58"/>
      <c r="Y78" s="58"/>
      <c r="Z78" s="58"/>
      <c r="AA78" s="58"/>
      <c r="AB78" s="58"/>
      <c r="AC78" s="58"/>
      <c r="AD78" s="138"/>
      <c r="AF78" s="57">
        <f t="shared" si="24"/>
        <v>14750</v>
      </c>
      <c r="AG78" s="49">
        <v>16.893999999999998</v>
      </c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>
        <v>754.10379999999998</v>
      </c>
      <c r="AY78" s="49"/>
      <c r="AZ78" s="49"/>
      <c r="BA78" s="49"/>
      <c r="BB78" s="49"/>
      <c r="BC78" s="49"/>
      <c r="BD78" s="49"/>
      <c r="BE78" s="49"/>
      <c r="BF78" s="49"/>
      <c r="BG78" s="49"/>
      <c r="BH78" s="49"/>
      <c r="BI78" s="49"/>
      <c r="BJ78" s="49"/>
      <c r="BK78" s="49">
        <v>378.29559999999998</v>
      </c>
      <c r="BL78" s="49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49"/>
      <c r="CA78" s="49"/>
      <c r="CB78" s="49">
        <v>126.53</v>
      </c>
      <c r="CC78" s="231">
        <f t="shared" si="198"/>
        <v>14750</v>
      </c>
    </row>
    <row r="79" spans="2:81" s="3" customFormat="1" ht="15.75" thickBot="1" x14ac:dyDescent="0.3">
      <c r="B79" s="158">
        <v>14800</v>
      </c>
      <c r="C79" s="144">
        <f t="shared" si="155"/>
        <v>9.8506</v>
      </c>
      <c r="D79" s="144">
        <f t="shared" si="22"/>
        <v>774.99919999999997</v>
      </c>
      <c r="E79" s="144">
        <f t="shared" si="156"/>
        <v>0</v>
      </c>
      <c r="F79" s="144">
        <f t="shared" si="23"/>
        <v>244.95439999999999</v>
      </c>
      <c r="G79" s="144">
        <f t="shared" si="205"/>
        <v>0</v>
      </c>
      <c r="H79" s="144">
        <f t="shared" si="206"/>
        <v>0</v>
      </c>
      <c r="I79" s="144">
        <f t="shared" si="207"/>
        <v>0</v>
      </c>
      <c r="J79" s="159">
        <f t="shared" si="208"/>
        <v>0</v>
      </c>
      <c r="K79" s="160">
        <f t="shared" si="209"/>
        <v>125.88</v>
      </c>
      <c r="L79" s="152">
        <f t="shared" si="163"/>
        <v>25</v>
      </c>
      <c r="M79" s="144">
        <f t="shared" si="164"/>
        <v>1416</v>
      </c>
      <c r="N79" s="144"/>
      <c r="O79" s="144">
        <f t="shared" si="25"/>
        <v>578</v>
      </c>
      <c r="P79" s="144">
        <f t="shared" si="165"/>
        <v>0</v>
      </c>
      <c r="Q79" s="144">
        <f t="shared" si="166"/>
        <v>0</v>
      </c>
      <c r="R79" s="144">
        <f t="shared" si="167"/>
        <v>0</v>
      </c>
      <c r="S79" s="144">
        <f t="shared" si="168"/>
        <v>0</v>
      </c>
      <c r="T79" s="144">
        <f t="shared" si="169"/>
        <v>702</v>
      </c>
      <c r="V79" s="150">
        <f>L77+L78+L79</f>
        <v>131</v>
      </c>
      <c r="W79" s="150">
        <f t="shared" ref="W79" si="224">M77+M78+M79</f>
        <v>4126</v>
      </c>
      <c r="X79" s="150"/>
      <c r="Y79" s="150">
        <f t="shared" ref="Y79" si="225">O77+O78+O79</f>
        <v>2432</v>
      </c>
      <c r="Z79" s="150">
        <f t="shared" ref="Z79" si="226">P77+P78+P79</f>
        <v>0</v>
      </c>
      <c r="AA79" s="150">
        <f t="shared" ref="AA79" si="227">Q77+Q78+Q79</f>
        <v>0</v>
      </c>
      <c r="AB79" s="150">
        <f t="shared" ref="AB79" si="228">R77+R78+R79</f>
        <v>0</v>
      </c>
      <c r="AC79" s="150">
        <f t="shared" ref="AC79" si="229">S77+S78+S79</f>
        <v>0</v>
      </c>
      <c r="AD79" s="150">
        <f t="shared" ref="AD79" si="230">T77+T78+T79</f>
        <v>2240</v>
      </c>
      <c r="AF79" s="158">
        <f t="shared" si="24"/>
        <v>14800</v>
      </c>
      <c r="AG79" s="149">
        <v>9.8506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>
        <v>774.99919999999997</v>
      </c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  <c r="BI79" s="149"/>
      <c r="BJ79" s="149"/>
      <c r="BK79" s="149">
        <v>244.95439999999999</v>
      </c>
      <c r="BL79" s="149"/>
      <c r="BM79" s="149"/>
      <c r="BN79" s="149"/>
      <c r="BO79" s="149"/>
      <c r="BP79" s="149"/>
      <c r="BQ79" s="149"/>
      <c r="BR79" s="149"/>
      <c r="BS79" s="149"/>
      <c r="BT79" s="149"/>
      <c r="BU79" s="149"/>
      <c r="BV79" s="149"/>
      <c r="BW79" s="149"/>
      <c r="BX79" s="149"/>
      <c r="BY79" s="149"/>
      <c r="BZ79" s="149"/>
      <c r="CA79" s="149"/>
      <c r="CB79" s="149">
        <v>125.88</v>
      </c>
      <c r="CC79" s="231">
        <f t="shared" si="198"/>
        <v>14800</v>
      </c>
    </row>
    <row r="80" spans="2:81" x14ac:dyDescent="0.25">
      <c r="B80" s="155">
        <v>14850</v>
      </c>
      <c r="C80" s="147">
        <f t="shared" si="155"/>
        <v>10.543900000000001</v>
      </c>
      <c r="D80" s="147">
        <f t="shared" si="22"/>
        <v>760.39189999999996</v>
      </c>
      <c r="E80" s="147">
        <f t="shared" si="156"/>
        <v>0</v>
      </c>
      <c r="F80" s="147">
        <f t="shared" si="23"/>
        <v>141.03880000000001</v>
      </c>
      <c r="G80" s="147">
        <f t="shared" si="205"/>
        <v>0</v>
      </c>
      <c r="H80" s="147">
        <f t="shared" si="206"/>
        <v>0</v>
      </c>
      <c r="I80" s="147">
        <f t="shared" si="207"/>
        <v>0</v>
      </c>
      <c r="J80" s="156">
        <f t="shared" si="208"/>
        <v>0</v>
      </c>
      <c r="K80" s="157">
        <f t="shared" si="209"/>
        <v>118.59</v>
      </c>
      <c r="L80" s="151">
        <f t="shared" si="163"/>
        <v>19</v>
      </c>
      <c r="M80" s="147">
        <f t="shared" si="164"/>
        <v>1422</v>
      </c>
      <c r="N80" s="147"/>
      <c r="O80" s="147">
        <f t="shared" si="25"/>
        <v>358</v>
      </c>
      <c r="P80" s="147">
        <f t="shared" si="165"/>
        <v>0</v>
      </c>
      <c r="Q80" s="147">
        <f t="shared" si="166"/>
        <v>0</v>
      </c>
      <c r="R80" s="147">
        <f t="shared" si="167"/>
        <v>0</v>
      </c>
      <c r="S80" s="147">
        <f t="shared" si="168"/>
        <v>0</v>
      </c>
      <c r="T80" s="147">
        <f t="shared" si="169"/>
        <v>680</v>
      </c>
      <c r="V80" s="146"/>
      <c r="W80" s="147"/>
      <c r="X80" s="147"/>
      <c r="Y80" s="147"/>
      <c r="Z80" s="147"/>
      <c r="AA80" s="147"/>
      <c r="AB80" s="147"/>
      <c r="AC80" s="147"/>
      <c r="AD80" s="148"/>
      <c r="AF80" s="155">
        <f t="shared" si="24"/>
        <v>14850</v>
      </c>
      <c r="AG80" s="78">
        <v>10.543900000000001</v>
      </c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>
        <v>760.39189999999996</v>
      </c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>
        <v>141.03880000000001</v>
      </c>
      <c r="BL80" s="78"/>
      <c r="BM80" s="78"/>
      <c r="BN80" s="78"/>
      <c r="BO80" s="78"/>
      <c r="BP80" s="78"/>
      <c r="BQ80" s="78"/>
      <c r="BR80" s="78"/>
      <c r="BS80" s="78"/>
      <c r="BT80" s="78"/>
      <c r="BU80" s="78"/>
      <c r="BV80" s="78"/>
      <c r="BW80" s="78"/>
      <c r="BX80" s="78"/>
      <c r="BY80" s="78"/>
      <c r="BZ80" s="78"/>
      <c r="CA80" s="78"/>
      <c r="CB80" s="78">
        <v>118.59</v>
      </c>
      <c r="CC80" s="231">
        <f t="shared" si="198"/>
        <v>14850</v>
      </c>
    </row>
    <row r="81" spans="2:81" x14ac:dyDescent="0.25">
      <c r="B81" s="57">
        <v>14900</v>
      </c>
      <c r="C81" s="58">
        <f t="shared" si="155"/>
        <v>9.5297999999999998</v>
      </c>
      <c r="D81" s="58">
        <f t="shared" si="22"/>
        <v>739.8768</v>
      </c>
      <c r="E81" s="58">
        <f t="shared" si="156"/>
        <v>0</v>
      </c>
      <c r="F81" s="58">
        <f t="shared" si="23"/>
        <v>74.817499999999995</v>
      </c>
      <c r="G81" s="58">
        <f t="shared" si="205"/>
        <v>0</v>
      </c>
      <c r="H81" s="58">
        <f t="shared" si="206"/>
        <v>0</v>
      </c>
      <c r="I81" s="58">
        <f t="shared" si="207"/>
        <v>0</v>
      </c>
      <c r="J81" s="51">
        <f t="shared" si="208"/>
        <v>0</v>
      </c>
      <c r="K81" s="99">
        <f t="shared" si="209"/>
        <v>110.1</v>
      </c>
      <c r="L81" s="105">
        <f t="shared" si="163"/>
        <v>19</v>
      </c>
      <c r="M81" s="58">
        <f t="shared" si="164"/>
        <v>1390</v>
      </c>
      <c r="N81" s="58"/>
      <c r="O81" s="58">
        <f t="shared" si="25"/>
        <v>200</v>
      </c>
      <c r="P81" s="58">
        <f t="shared" si="165"/>
        <v>0</v>
      </c>
      <c r="Q81" s="58">
        <f t="shared" si="166"/>
        <v>0</v>
      </c>
      <c r="R81" s="58">
        <f t="shared" si="167"/>
        <v>0</v>
      </c>
      <c r="S81" s="58">
        <f t="shared" si="168"/>
        <v>0</v>
      </c>
      <c r="T81" s="58">
        <f t="shared" si="169"/>
        <v>636</v>
      </c>
      <c r="V81" s="137"/>
      <c r="W81" s="58"/>
      <c r="X81" s="58"/>
      <c r="Y81" s="58"/>
      <c r="Z81" s="58"/>
      <c r="AA81" s="58"/>
      <c r="AB81" s="58"/>
      <c r="AC81" s="58"/>
      <c r="AD81" s="138"/>
      <c r="AF81" s="57">
        <f t="shared" si="24"/>
        <v>14900</v>
      </c>
      <c r="AG81" s="49">
        <v>9.5297999999999998</v>
      </c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>
        <v>739.8768</v>
      </c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I81" s="49"/>
      <c r="BJ81" s="49"/>
      <c r="BK81" s="49">
        <v>74.817499999999995</v>
      </c>
      <c r="BL81" s="49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49"/>
      <c r="CA81" s="49"/>
      <c r="CB81" s="49">
        <v>110.1</v>
      </c>
      <c r="CC81" s="231">
        <f t="shared" si="198"/>
        <v>14900</v>
      </c>
    </row>
    <row r="82" spans="2:81" s="3" customFormat="1" ht="15.75" thickBot="1" x14ac:dyDescent="0.3">
      <c r="B82" s="158">
        <v>14950</v>
      </c>
      <c r="C82" s="144">
        <f t="shared" si="155"/>
        <v>10.718299999999999</v>
      </c>
      <c r="D82" s="144">
        <f t="shared" si="22"/>
        <v>665.54809999999998</v>
      </c>
      <c r="E82" s="144">
        <f t="shared" si="156"/>
        <v>0</v>
      </c>
      <c r="F82" s="144">
        <f t="shared" si="23"/>
        <v>46.287599999999998</v>
      </c>
      <c r="G82" s="144">
        <f t="shared" si="205"/>
        <v>0</v>
      </c>
      <c r="H82" s="144">
        <f t="shared" si="206"/>
        <v>0</v>
      </c>
      <c r="I82" s="144">
        <f t="shared" si="207"/>
        <v>0</v>
      </c>
      <c r="J82" s="159">
        <f t="shared" si="208"/>
        <v>0</v>
      </c>
      <c r="K82" s="160">
        <f t="shared" si="209"/>
        <v>106.14</v>
      </c>
      <c r="L82" s="152">
        <f t="shared" si="163"/>
        <v>19</v>
      </c>
      <c r="M82" s="144">
        <f t="shared" si="164"/>
        <v>1302</v>
      </c>
      <c r="N82" s="144"/>
      <c r="O82" s="144">
        <f t="shared" si="25"/>
        <v>113</v>
      </c>
      <c r="P82" s="144">
        <f t="shared" si="165"/>
        <v>0</v>
      </c>
      <c r="Q82" s="144">
        <f t="shared" si="166"/>
        <v>0</v>
      </c>
      <c r="R82" s="144">
        <f t="shared" si="167"/>
        <v>0</v>
      </c>
      <c r="S82" s="144">
        <f t="shared" si="168"/>
        <v>0</v>
      </c>
      <c r="T82" s="144">
        <f t="shared" si="169"/>
        <v>601</v>
      </c>
      <c r="V82" s="150">
        <f>L80+L81+L82</f>
        <v>57</v>
      </c>
      <c r="W82" s="150">
        <f t="shared" ref="W82" si="231">M80+M81+M82</f>
        <v>4114</v>
      </c>
      <c r="X82" s="150"/>
      <c r="Y82" s="150">
        <f t="shared" ref="Y82" si="232">O80+O81+O82</f>
        <v>671</v>
      </c>
      <c r="Z82" s="150">
        <f t="shared" ref="Z82" si="233">P80+P81+P82</f>
        <v>0</v>
      </c>
      <c r="AA82" s="150">
        <f t="shared" ref="AA82" si="234">Q80+Q81+Q82</f>
        <v>0</v>
      </c>
      <c r="AB82" s="150">
        <f t="shared" ref="AB82" si="235">R80+R81+R82</f>
        <v>0</v>
      </c>
      <c r="AC82" s="150">
        <f t="shared" ref="AC82" si="236">S80+S81+S82</f>
        <v>0</v>
      </c>
      <c r="AD82" s="150">
        <f t="shared" ref="AD82" si="237">T80+T81+T82</f>
        <v>1917</v>
      </c>
      <c r="AF82" s="158">
        <f t="shared" si="24"/>
        <v>14950</v>
      </c>
      <c r="AG82" s="149">
        <v>10.718299999999999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>
        <v>665.54809999999998</v>
      </c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  <c r="BI82" s="149"/>
      <c r="BJ82" s="149"/>
      <c r="BK82" s="149">
        <v>46.287599999999998</v>
      </c>
      <c r="BL82" s="149"/>
      <c r="BM82" s="149"/>
      <c r="BN82" s="149"/>
      <c r="BO82" s="149"/>
      <c r="BP82" s="149"/>
      <c r="BQ82" s="149"/>
      <c r="BR82" s="149"/>
      <c r="BS82" s="149"/>
      <c r="BT82" s="149"/>
      <c r="BU82" s="149"/>
      <c r="BV82" s="149"/>
      <c r="BW82" s="149"/>
      <c r="BX82" s="149"/>
      <c r="BY82" s="149"/>
      <c r="BZ82" s="149"/>
      <c r="CA82" s="149"/>
      <c r="CB82" s="149">
        <v>106.14</v>
      </c>
      <c r="CC82" s="231">
        <f t="shared" si="198"/>
        <v>14950</v>
      </c>
    </row>
    <row r="83" spans="2:81" x14ac:dyDescent="0.25">
      <c r="B83" s="155">
        <v>15000</v>
      </c>
      <c r="C83" s="147">
        <f t="shared" si="155"/>
        <v>9.9426000000000005</v>
      </c>
      <c r="D83" s="147">
        <f t="shared" si="22"/>
        <v>624.13639999999998</v>
      </c>
      <c r="E83" s="147">
        <f t="shared" si="156"/>
        <v>0</v>
      </c>
      <c r="F83" s="147">
        <f t="shared" si="23"/>
        <v>26.076799999999999</v>
      </c>
      <c r="G83" s="147">
        <f t="shared" si="205"/>
        <v>0</v>
      </c>
      <c r="H83" s="147">
        <f t="shared" si="206"/>
        <v>0</v>
      </c>
      <c r="I83" s="147">
        <f t="shared" si="207"/>
        <v>0</v>
      </c>
      <c r="J83" s="156">
        <f t="shared" si="208"/>
        <v>0</v>
      </c>
      <c r="K83" s="157">
        <f t="shared" si="209"/>
        <v>102.01</v>
      </c>
      <c r="L83" s="151">
        <f t="shared" si="163"/>
        <v>20</v>
      </c>
      <c r="M83" s="147">
        <f t="shared" si="164"/>
        <v>1195</v>
      </c>
      <c r="N83" s="147"/>
      <c r="O83" s="147">
        <f t="shared" si="25"/>
        <v>68</v>
      </c>
      <c r="P83" s="147">
        <f t="shared" si="165"/>
        <v>0</v>
      </c>
      <c r="Q83" s="147">
        <f t="shared" si="166"/>
        <v>0</v>
      </c>
      <c r="R83" s="147">
        <f t="shared" si="167"/>
        <v>0</v>
      </c>
      <c r="S83" s="147">
        <f t="shared" si="168"/>
        <v>0</v>
      </c>
      <c r="T83" s="147">
        <f t="shared" si="169"/>
        <v>579</v>
      </c>
      <c r="V83" s="146"/>
      <c r="W83" s="147"/>
      <c r="X83" s="147"/>
      <c r="Y83" s="147"/>
      <c r="Z83" s="147"/>
      <c r="AA83" s="147"/>
      <c r="AB83" s="147"/>
      <c r="AC83" s="147"/>
      <c r="AD83" s="148"/>
      <c r="AF83" s="155">
        <f t="shared" si="24"/>
        <v>15000</v>
      </c>
      <c r="AG83" s="78">
        <v>9.9426000000000005</v>
      </c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>
        <v>624.13639999999998</v>
      </c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>
        <v>26.076799999999999</v>
      </c>
      <c r="BL83" s="78"/>
      <c r="BM83" s="78"/>
      <c r="BN83" s="78"/>
      <c r="BO83" s="78"/>
      <c r="BP83" s="78"/>
      <c r="BQ83" s="78"/>
      <c r="BR83" s="78"/>
      <c r="BS83" s="78"/>
      <c r="BT83" s="78"/>
      <c r="BU83" s="78"/>
      <c r="BV83" s="78"/>
      <c r="BW83" s="78"/>
      <c r="BX83" s="78"/>
      <c r="BY83" s="78"/>
      <c r="BZ83" s="78"/>
      <c r="CA83" s="78"/>
      <c r="CB83" s="78">
        <v>102.01</v>
      </c>
      <c r="CC83" s="231">
        <f t="shared" si="198"/>
        <v>15000</v>
      </c>
    </row>
    <row r="84" spans="2:81" x14ac:dyDescent="0.25">
      <c r="B84" s="57">
        <v>15050</v>
      </c>
      <c r="C84" s="58">
        <f t="shared" si="155"/>
        <v>8.4418000000000006</v>
      </c>
      <c r="D84" s="58">
        <f t="shared" si="22"/>
        <v>641.76319999999998</v>
      </c>
      <c r="E84" s="58">
        <f t="shared" si="156"/>
        <v>0</v>
      </c>
      <c r="F84" s="58">
        <f t="shared" si="23"/>
        <v>5.7458</v>
      </c>
      <c r="G84" s="58">
        <f t="shared" si="205"/>
        <v>0</v>
      </c>
      <c r="H84" s="58">
        <f t="shared" si="206"/>
        <v>0</v>
      </c>
      <c r="I84" s="58">
        <f t="shared" si="207"/>
        <v>0</v>
      </c>
      <c r="J84" s="51">
        <f t="shared" si="208"/>
        <v>0</v>
      </c>
      <c r="K84" s="99">
        <f t="shared" si="209"/>
        <v>99.81</v>
      </c>
      <c r="L84" s="105">
        <f t="shared" si="163"/>
        <v>18</v>
      </c>
      <c r="M84" s="58">
        <f t="shared" si="164"/>
        <v>1173</v>
      </c>
      <c r="N84" s="58"/>
      <c r="O84" s="58">
        <f t="shared" si="25"/>
        <v>30</v>
      </c>
      <c r="P84" s="58">
        <f t="shared" si="165"/>
        <v>0</v>
      </c>
      <c r="Q84" s="58">
        <f t="shared" si="166"/>
        <v>0</v>
      </c>
      <c r="R84" s="58">
        <f t="shared" si="167"/>
        <v>0</v>
      </c>
      <c r="S84" s="58">
        <f t="shared" si="168"/>
        <v>0</v>
      </c>
      <c r="T84" s="58">
        <f t="shared" si="169"/>
        <v>561</v>
      </c>
      <c r="V84" s="137"/>
      <c r="W84" s="58"/>
      <c r="X84" s="58"/>
      <c r="Y84" s="58"/>
      <c r="Z84" s="58"/>
      <c r="AA84" s="58"/>
      <c r="AB84" s="58"/>
      <c r="AC84" s="58"/>
      <c r="AD84" s="138"/>
      <c r="AF84" s="57">
        <f t="shared" si="24"/>
        <v>15050</v>
      </c>
      <c r="AG84" s="49">
        <v>8.4418000000000006</v>
      </c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>
        <v>641.76319999999998</v>
      </c>
      <c r="AY84" s="49"/>
      <c r="AZ84" s="49"/>
      <c r="BA84" s="49"/>
      <c r="BB84" s="49"/>
      <c r="BC84" s="49"/>
      <c r="BD84" s="49"/>
      <c r="BE84" s="49"/>
      <c r="BF84" s="49"/>
      <c r="BG84" s="49"/>
      <c r="BH84" s="49"/>
      <c r="BI84" s="49"/>
      <c r="BJ84" s="49"/>
      <c r="BK84" s="49">
        <v>5.7458</v>
      </c>
      <c r="BL84" s="49"/>
      <c r="BM84" s="49"/>
      <c r="BN84" s="49"/>
      <c r="BO84" s="49"/>
      <c r="BP84" s="49"/>
      <c r="BQ84" s="49"/>
      <c r="BR84" s="49"/>
      <c r="BS84" s="49"/>
      <c r="BT84" s="49"/>
      <c r="BU84" s="49"/>
      <c r="BV84" s="49"/>
      <c r="BW84" s="49"/>
      <c r="BX84" s="49"/>
      <c r="BY84" s="49"/>
      <c r="BZ84" s="49"/>
      <c r="CA84" s="49"/>
      <c r="CB84" s="49">
        <v>99.81</v>
      </c>
      <c r="CC84" s="231">
        <f t="shared" si="198"/>
        <v>15050</v>
      </c>
    </row>
    <row r="85" spans="2:81" s="3" customFormat="1" ht="15.75" thickBot="1" x14ac:dyDescent="0.3">
      <c r="B85" s="158">
        <v>15100</v>
      </c>
      <c r="C85" s="144">
        <f t="shared" si="155"/>
        <v>7.8190999999999997</v>
      </c>
      <c r="D85" s="144">
        <f t="shared" si="22"/>
        <v>628.57590000000005</v>
      </c>
      <c r="E85" s="144">
        <f t="shared" si="156"/>
        <v>0</v>
      </c>
      <c r="F85" s="144">
        <f t="shared" si="23"/>
        <v>0</v>
      </c>
      <c r="G85" s="144">
        <f t="shared" si="205"/>
        <v>0</v>
      </c>
      <c r="H85" s="144">
        <f t="shared" si="206"/>
        <v>0</v>
      </c>
      <c r="I85" s="144">
        <f t="shared" si="207"/>
        <v>0</v>
      </c>
      <c r="J85" s="159">
        <f t="shared" si="208"/>
        <v>0</v>
      </c>
      <c r="K85" s="160">
        <f t="shared" si="209"/>
        <v>99.74</v>
      </c>
      <c r="L85" s="152">
        <f t="shared" si="163"/>
        <v>16</v>
      </c>
      <c r="M85" s="144">
        <f t="shared" si="164"/>
        <v>1177</v>
      </c>
      <c r="N85" s="144"/>
      <c r="O85" s="144">
        <f t="shared" si="25"/>
        <v>6</v>
      </c>
      <c r="P85" s="144">
        <f t="shared" si="165"/>
        <v>0</v>
      </c>
      <c r="Q85" s="144">
        <f t="shared" si="166"/>
        <v>0</v>
      </c>
      <c r="R85" s="144">
        <f t="shared" si="167"/>
        <v>0</v>
      </c>
      <c r="S85" s="144">
        <f t="shared" si="168"/>
        <v>0</v>
      </c>
      <c r="T85" s="144">
        <f t="shared" si="169"/>
        <v>555</v>
      </c>
      <c r="V85" s="150">
        <f>L83+L84+L85</f>
        <v>54</v>
      </c>
      <c r="W85" s="150">
        <f t="shared" ref="W85" si="238">M83+M84+M85</f>
        <v>3545</v>
      </c>
      <c r="X85" s="150"/>
      <c r="Y85" s="150">
        <f t="shared" ref="Y85" si="239">O83+O84+O85</f>
        <v>104</v>
      </c>
      <c r="Z85" s="150">
        <f t="shared" ref="Z85" si="240">P83+P84+P85</f>
        <v>0</v>
      </c>
      <c r="AA85" s="150">
        <f t="shared" ref="AA85" si="241">Q83+Q84+Q85</f>
        <v>0</v>
      </c>
      <c r="AB85" s="150">
        <f t="shared" ref="AB85" si="242">R83+R84+R85</f>
        <v>0</v>
      </c>
      <c r="AC85" s="150">
        <f t="shared" ref="AC85" si="243">S83+S84+S85</f>
        <v>0</v>
      </c>
      <c r="AD85" s="150">
        <f t="shared" ref="AD85" si="244">T83+T84+T85</f>
        <v>1695</v>
      </c>
      <c r="AF85" s="158">
        <f t="shared" si="24"/>
        <v>15100</v>
      </c>
      <c r="AG85" s="149">
        <v>7.8190999999999997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>
        <v>628.57590000000005</v>
      </c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  <c r="BI85" s="149"/>
      <c r="BJ85" s="149"/>
      <c r="BK85" s="149"/>
      <c r="BL85" s="149"/>
      <c r="BM85" s="149"/>
      <c r="BN85" s="149"/>
      <c r="BO85" s="149"/>
      <c r="BP85" s="149"/>
      <c r="BQ85" s="149"/>
      <c r="BR85" s="149"/>
      <c r="BS85" s="149"/>
      <c r="BT85" s="149"/>
      <c r="BU85" s="149"/>
      <c r="BV85" s="149"/>
      <c r="BW85" s="149"/>
      <c r="BX85" s="149"/>
      <c r="BY85" s="149"/>
      <c r="BZ85" s="149"/>
      <c r="CA85" s="149"/>
      <c r="CB85" s="149">
        <v>99.74</v>
      </c>
      <c r="CC85" s="231">
        <f t="shared" si="198"/>
        <v>15100</v>
      </c>
    </row>
    <row r="86" spans="2:81" x14ac:dyDescent="0.25">
      <c r="B86" s="155">
        <v>15150</v>
      </c>
      <c r="C86" s="147">
        <f t="shared" si="155"/>
        <v>0</v>
      </c>
      <c r="D86" s="147">
        <f t="shared" si="22"/>
        <v>651.64430000000004</v>
      </c>
      <c r="E86" s="147">
        <f t="shared" si="156"/>
        <v>0</v>
      </c>
      <c r="F86" s="147">
        <f t="shared" si="23"/>
        <v>3.226</v>
      </c>
      <c r="G86" s="147">
        <f t="shared" si="205"/>
        <v>0</v>
      </c>
      <c r="H86" s="147">
        <f t="shared" si="206"/>
        <v>0</v>
      </c>
      <c r="I86" s="147">
        <f t="shared" si="207"/>
        <v>0</v>
      </c>
      <c r="J86" s="156">
        <f t="shared" si="208"/>
        <v>0</v>
      </c>
      <c r="K86" s="157">
        <f t="shared" si="209"/>
        <v>104.81</v>
      </c>
      <c r="L86" s="151">
        <f t="shared" si="163"/>
        <v>8</v>
      </c>
      <c r="M86" s="147">
        <f t="shared" si="164"/>
        <v>1186</v>
      </c>
      <c r="N86" s="147"/>
      <c r="O86" s="147">
        <f t="shared" si="25"/>
        <v>3</v>
      </c>
      <c r="P86" s="147">
        <f t="shared" si="165"/>
        <v>0</v>
      </c>
      <c r="Q86" s="147">
        <f t="shared" si="166"/>
        <v>0</v>
      </c>
      <c r="R86" s="147">
        <f t="shared" si="167"/>
        <v>0</v>
      </c>
      <c r="S86" s="147">
        <f t="shared" si="168"/>
        <v>0</v>
      </c>
      <c r="T86" s="147">
        <f t="shared" si="169"/>
        <v>569</v>
      </c>
      <c r="V86" s="146"/>
      <c r="W86" s="147"/>
      <c r="X86" s="147"/>
      <c r="Y86" s="147"/>
      <c r="Z86" s="147"/>
      <c r="AA86" s="147"/>
      <c r="AB86" s="147"/>
      <c r="AC86" s="147"/>
      <c r="AD86" s="148"/>
      <c r="AF86" s="155">
        <f t="shared" si="24"/>
        <v>15150</v>
      </c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>
        <v>651.64430000000004</v>
      </c>
      <c r="AY86" s="78"/>
      <c r="AZ86" s="78"/>
      <c r="BA86" s="78"/>
      <c r="BB86" s="78"/>
      <c r="BC86" s="78"/>
      <c r="BD86" s="78"/>
      <c r="BE86" s="78"/>
      <c r="BF86" s="78"/>
      <c r="BG86" s="78"/>
      <c r="BH86" s="78"/>
      <c r="BI86" s="78"/>
      <c r="BJ86" s="78"/>
      <c r="BK86" s="78">
        <v>3.226</v>
      </c>
      <c r="BL86" s="78"/>
      <c r="BM86" s="78"/>
      <c r="BN86" s="78"/>
      <c r="BO86" s="78"/>
      <c r="BP86" s="78"/>
      <c r="BQ86" s="78"/>
      <c r="BR86" s="78"/>
      <c r="BS86" s="78"/>
      <c r="BT86" s="78"/>
      <c r="BU86" s="78"/>
      <c r="BV86" s="78"/>
      <c r="BW86" s="78"/>
      <c r="BX86" s="78"/>
      <c r="BY86" s="78"/>
      <c r="BZ86" s="78"/>
      <c r="CA86" s="78"/>
      <c r="CB86" s="78">
        <v>104.81</v>
      </c>
      <c r="CC86" s="231">
        <f t="shared" si="198"/>
        <v>15150</v>
      </c>
    </row>
    <row r="87" spans="2:81" x14ac:dyDescent="0.25">
      <c r="B87" s="57">
        <v>15200</v>
      </c>
      <c r="C87" s="58">
        <f t="shared" si="155"/>
        <v>0</v>
      </c>
      <c r="D87" s="58">
        <f t="shared" si="22"/>
        <v>677.69380000000001</v>
      </c>
      <c r="E87" s="58">
        <f t="shared" si="156"/>
        <v>0</v>
      </c>
      <c r="F87" s="58">
        <f t="shared" si="23"/>
        <v>2.9234</v>
      </c>
      <c r="G87" s="58">
        <f t="shared" si="205"/>
        <v>0</v>
      </c>
      <c r="H87" s="58">
        <f t="shared" si="206"/>
        <v>0</v>
      </c>
      <c r="I87" s="58">
        <f t="shared" si="207"/>
        <v>0</v>
      </c>
      <c r="J87" s="51">
        <f t="shared" si="208"/>
        <v>0</v>
      </c>
      <c r="K87" s="99">
        <f t="shared" si="209"/>
        <v>97.51</v>
      </c>
      <c r="L87" s="105">
        <f t="shared" si="163"/>
        <v>0</v>
      </c>
      <c r="M87" s="58">
        <f t="shared" si="164"/>
        <v>1231</v>
      </c>
      <c r="N87" s="58"/>
      <c r="O87" s="58">
        <f t="shared" si="25"/>
        <v>6</v>
      </c>
      <c r="P87" s="58">
        <f t="shared" si="165"/>
        <v>0</v>
      </c>
      <c r="Q87" s="58">
        <f t="shared" si="166"/>
        <v>0</v>
      </c>
      <c r="R87" s="58">
        <f t="shared" si="167"/>
        <v>0</v>
      </c>
      <c r="S87" s="58">
        <f t="shared" si="168"/>
        <v>0</v>
      </c>
      <c r="T87" s="58">
        <f t="shared" si="169"/>
        <v>562</v>
      </c>
      <c r="V87" s="137"/>
      <c r="W87" s="58"/>
      <c r="X87" s="58"/>
      <c r="Y87" s="58"/>
      <c r="Z87" s="58"/>
      <c r="AA87" s="58"/>
      <c r="AB87" s="58"/>
      <c r="AC87" s="58"/>
      <c r="AD87" s="138"/>
      <c r="AF87" s="57">
        <f t="shared" si="24"/>
        <v>15200</v>
      </c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>
        <v>677.69380000000001</v>
      </c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  <c r="BK87" s="49">
        <v>2.9234</v>
      </c>
      <c r="BL87" s="49"/>
      <c r="BM87" s="49"/>
      <c r="BN87" s="49"/>
      <c r="BO87" s="49"/>
      <c r="BP87" s="49"/>
      <c r="BQ87" s="49"/>
      <c r="BR87" s="49"/>
      <c r="BS87" s="49"/>
      <c r="BT87" s="49"/>
      <c r="BU87" s="49"/>
      <c r="BV87" s="49"/>
      <c r="BW87" s="49"/>
      <c r="BX87" s="49"/>
      <c r="BY87" s="49"/>
      <c r="BZ87" s="49"/>
      <c r="CA87" s="49"/>
      <c r="CB87" s="49">
        <v>97.51</v>
      </c>
      <c r="CC87" s="231">
        <f t="shared" si="198"/>
        <v>15200</v>
      </c>
    </row>
    <row r="88" spans="2:81" s="3" customFormat="1" ht="15.75" thickBot="1" x14ac:dyDescent="0.3">
      <c r="B88" s="158">
        <v>15250</v>
      </c>
      <c r="C88" s="144">
        <f t="shared" si="155"/>
        <v>0</v>
      </c>
      <c r="D88" s="144">
        <f t="shared" si="22"/>
        <v>633.73860000000002</v>
      </c>
      <c r="E88" s="144">
        <f t="shared" si="156"/>
        <v>0</v>
      </c>
      <c r="F88" s="144">
        <f t="shared" si="23"/>
        <v>0</v>
      </c>
      <c r="G88" s="144">
        <f t="shared" si="205"/>
        <v>0</v>
      </c>
      <c r="H88" s="144">
        <f t="shared" si="206"/>
        <v>0</v>
      </c>
      <c r="I88" s="144">
        <f t="shared" si="207"/>
        <v>0</v>
      </c>
      <c r="J88" s="159">
        <f t="shared" si="208"/>
        <v>0</v>
      </c>
      <c r="K88" s="160">
        <f t="shared" si="209"/>
        <v>86.03</v>
      </c>
      <c r="L88" s="152">
        <f t="shared" si="163"/>
        <v>0</v>
      </c>
      <c r="M88" s="144">
        <f t="shared" si="164"/>
        <v>1215</v>
      </c>
      <c r="N88" s="144"/>
      <c r="O88" s="144">
        <f t="shared" si="25"/>
        <v>3</v>
      </c>
      <c r="P88" s="144">
        <f t="shared" si="165"/>
        <v>0</v>
      </c>
      <c r="Q88" s="144">
        <f t="shared" si="166"/>
        <v>0</v>
      </c>
      <c r="R88" s="144">
        <f t="shared" si="167"/>
        <v>0</v>
      </c>
      <c r="S88" s="144">
        <f t="shared" si="168"/>
        <v>0</v>
      </c>
      <c r="T88" s="144">
        <f t="shared" si="169"/>
        <v>510</v>
      </c>
      <c r="V88" s="150">
        <f>L86+L87+L88</f>
        <v>8</v>
      </c>
      <c r="W88" s="150">
        <f t="shared" ref="W88" si="245">M86+M87+M88</f>
        <v>3632</v>
      </c>
      <c r="X88" s="150"/>
      <c r="Y88" s="150">
        <f t="shared" ref="Y88" si="246">O86+O87+O88</f>
        <v>12</v>
      </c>
      <c r="Z88" s="150">
        <f t="shared" ref="Z88" si="247">P86+P87+P88</f>
        <v>0</v>
      </c>
      <c r="AA88" s="150">
        <f t="shared" ref="AA88" si="248">Q86+Q87+Q88</f>
        <v>0</v>
      </c>
      <c r="AB88" s="150">
        <f t="shared" ref="AB88" si="249">R86+R87+R88</f>
        <v>0</v>
      </c>
      <c r="AC88" s="150">
        <f t="shared" ref="AC88" si="250">S86+S87+S88</f>
        <v>0</v>
      </c>
      <c r="AD88" s="150">
        <f t="shared" ref="AD88" si="251">T86+T87+T88</f>
        <v>1641</v>
      </c>
      <c r="AF88" s="158">
        <f t="shared" si="24"/>
        <v>15250</v>
      </c>
      <c r="AG88" s="149"/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>
        <v>633.73860000000002</v>
      </c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  <c r="BI88" s="149"/>
      <c r="BJ88" s="149"/>
      <c r="BK88" s="149"/>
      <c r="BL88" s="149"/>
      <c r="BM88" s="149"/>
      <c r="BN88" s="149"/>
      <c r="BO88" s="149"/>
      <c r="BP88" s="149"/>
      <c r="BQ88" s="149"/>
      <c r="BR88" s="149"/>
      <c r="BS88" s="149"/>
      <c r="BT88" s="149"/>
      <c r="BU88" s="149"/>
      <c r="BV88" s="149"/>
      <c r="BW88" s="149"/>
      <c r="BX88" s="149"/>
      <c r="BY88" s="149"/>
      <c r="BZ88" s="149"/>
      <c r="CA88" s="149"/>
      <c r="CB88" s="149">
        <v>86.03</v>
      </c>
      <c r="CC88" s="231">
        <f t="shared" si="198"/>
        <v>15250</v>
      </c>
    </row>
    <row r="89" spans="2:81" x14ac:dyDescent="0.25">
      <c r="B89" s="155">
        <v>15300</v>
      </c>
      <c r="C89" s="147">
        <f t="shared" ref="C89:C152" si="252">AG89+AH89+AI89+AJ89+AK89+AL89+AM89</f>
        <v>0</v>
      </c>
      <c r="D89" s="147">
        <f t="shared" ref="D89:D152" si="253">AX89+AY89+AZ89+BA89+BB89+BC89</f>
        <v>635.14459999999997</v>
      </c>
      <c r="E89" s="147">
        <f t="shared" si="156"/>
        <v>0</v>
      </c>
      <c r="F89" s="147">
        <f t="shared" ref="F89:F152" si="254">BK89+BL89+BM89</f>
        <v>0</v>
      </c>
      <c r="G89" s="147">
        <f t="shared" si="205"/>
        <v>0</v>
      </c>
      <c r="H89" s="147">
        <f t="shared" si="206"/>
        <v>0</v>
      </c>
      <c r="I89" s="147">
        <f t="shared" si="207"/>
        <v>0</v>
      </c>
      <c r="J89" s="156">
        <f t="shared" si="208"/>
        <v>0</v>
      </c>
      <c r="K89" s="157">
        <f t="shared" si="209"/>
        <v>81.41</v>
      </c>
      <c r="L89" s="151">
        <f t="shared" si="163"/>
        <v>0</v>
      </c>
      <c r="M89" s="147">
        <f t="shared" si="164"/>
        <v>1175</v>
      </c>
      <c r="N89" s="147"/>
      <c r="O89" s="147">
        <f t="shared" si="25"/>
        <v>0</v>
      </c>
      <c r="P89" s="147">
        <f t="shared" si="165"/>
        <v>0</v>
      </c>
      <c r="Q89" s="147">
        <f t="shared" si="166"/>
        <v>0</v>
      </c>
      <c r="R89" s="147">
        <f t="shared" si="167"/>
        <v>0</v>
      </c>
      <c r="S89" s="147">
        <f t="shared" si="168"/>
        <v>0</v>
      </c>
      <c r="T89" s="147">
        <f t="shared" si="169"/>
        <v>466</v>
      </c>
      <c r="V89" s="146"/>
      <c r="W89" s="147"/>
      <c r="X89" s="147"/>
      <c r="Y89" s="147"/>
      <c r="Z89" s="147"/>
      <c r="AA89" s="147"/>
      <c r="AB89" s="147"/>
      <c r="AC89" s="147"/>
      <c r="AD89" s="148"/>
      <c r="AF89" s="155">
        <f t="shared" ref="AF89:AF154" si="255">B89</f>
        <v>15300</v>
      </c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>
        <v>635.14459999999997</v>
      </c>
      <c r="AY89" s="78"/>
      <c r="AZ89" s="78"/>
      <c r="BA89" s="78"/>
      <c r="BB89" s="78"/>
      <c r="BC89" s="78"/>
      <c r="BD89" s="78"/>
      <c r="BE89" s="78"/>
      <c r="BF89" s="78"/>
      <c r="BG89" s="78"/>
      <c r="BH89" s="78"/>
      <c r="BI89" s="78"/>
      <c r="BJ89" s="78"/>
      <c r="BK89" s="78"/>
      <c r="BL89" s="78"/>
      <c r="BM89" s="78"/>
      <c r="BN89" s="78"/>
      <c r="BO89" s="78"/>
      <c r="BP89" s="78"/>
      <c r="BQ89" s="78"/>
      <c r="BR89" s="78"/>
      <c r="BS89" s="78"/>
      <c r="BT89" s="78"/>
      <c r="BU89" s="78"/>
      <c r="BV89" s="78"/>
      <c r="BW89" s="78"/>
      <c r="BX89" s="78"/>
      <c r="BY89" s="78"/>
      <c r="BZ89" s="78"/>
      <c r="CA89" s="78"/>
      <c r="CB89" s="78">
        <v>81.41</v>
      </c>
      <c r="CC89" s="231">
        <f t="shared" si="198"/>
        <v>15300</v>
      </c>
    </row>
    <row r="90" spans="2:81" x14ac:dyDescent="0.25">
      <c r="B90" s="57">
        <v>15350</v>
      </c>
      <c r="C90" s="58">
        <f t="shared" si="252"/>
        <v>0</v>
      </c>
      <c r="D90" s="58">
        <f t="shared" si="253"/>
        <v>681.32560000000001</v>
      </c>
      <c r="E90" s="58">
        <f t="shared" si="156"/>
        <v>0</v>
      </c>
      <c r="F90" s="58">
        <f t="shared" si="254"/>
        <v>0</v>
      </c>
      <c r="G90" s="58">
        <f t="shared" si="205"/>
        <v>0</v>
      </c>
      <c r="H90" s="58">
        <f t="shared" si="206"/>
        <v>0</v>
      </c>
      <c r="I90" s="58">
        <f t="shared" si="207"/>
        <v>0</v>
      </c>
      <c r="J90" s="51">
        <f t="shared" si="208"/>
        <v>0</v>
      </c>
      <c r="K90" s="99">
        <f t="shared" si="209"/>
        <v>85.39</v>
      </c>
      <c r="L90" s="105">
        <f t="shared" si="163"/>
        <v>0</v>
      </c>
      <c r="M90" s="58">
        <f t="shared" si="164"/>
        <v>1219</v>
      </c>
      <c r="N90" s="58"/>
      <c r="O90" s="58">
        <f t="shared" ref="O90:O153" si="256">ROUNDUP(((F89+F90)*0.5)*(B90-B89)/27,0)</f>
        <v>0</v>
      </c>
      <c r="P90" s="58">
        <f t="shared" si="165"/>
        <v>0</v>
      </c>
      <c r="Q90" s="58">
        <f t="shared" si="166"/>
        <v>0</v>
      </c>
      <c r="R90" s="58">
        <f t="shared" si="167"/>
        <v>0</v>
      </c>
      <c r="S90" s="58">
        <f t="shared" si="168"/>
        <v>0</v>
      </c>
      <c r="T90" s="58">
        <f t="shared" si="169"/>
        <v>464</v>
      </c>
      <c r="V90" s="137"/>
      <c r="W90" s="58"/>
      <c r="X90" s="58"/>
      <c r="Y90" s="58"/>
      <c r="Z90" s="58"/>
      <c r="AA90" s="58"/>
      <c r="AB90" s="58"/>
      <c r="AC90" s="58"/>
      <c r="AD90" s="138"/>
      <c r="AF90" s="57">
        <f t="shared" si="255"/>
        <v>15350</v>
      </c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>
        <v>681.32560000000001</v>
      </c>
      <c r="AY90" s="49"/>
      <c r="AZ90" s="49"/>
      <c r="BA90" s="49"/>
      <c r="BB90" s="49"/>
      <c r="BC90" s="49"/>
      <c r="BD90" s="49"/>
      <c r="BE90" s="49"/>
      <c r="BF90" s="49"/>
      <c r="BG90" s="49"/>
      <c r="BH90" s="49"/>
      <c r="BI90" s="49"/>
      <c r="BJ90" s="49"/>
      <c r="BK90" s="49"/>
      <c r="BL90" s="49"/>
      <c r="BM90" s="49"/>
      <c r="BN90" s="49"/>
      <c r="BO90" s="49"/>
      <c r="BP90" s="49"/>
      <c r="BQ90" s="49"/>
      <c r="BR90" s="49"/>
      <c r="BS90" s="49"/>
      <c r="BT90" s="49"/>
      <c r="BU90" s="49"/>
      <c r="BV90" s="49"/>
      <c r="BW90" s="49"/>
      <c r="BX90" s="49"/>
      <c r="BY90" s="49"/>
      <c r="BZ90" s="49"/>
      <c r="CA90" s="49"/>
      <c r="CB90" s="49">
        <v>85.39</v>
      </c>
      <c r="CC90" s="231">
        <f t="shared" si="198"/>
        <v>15350</v>
      </c>
    </row>
    <row r="91" spans="2:81" s="3" customFormat="1" ht="15.75" thickBot="1" x14ac:dyDescent="0.3">
      <c r="B91" s="158">
        <v>15400</v>
      </c>
      <c r="C91" s="144">
        <f t="shared" si="252"/>
        <v>0</v>
      </c>
      <c r="D91" s="144">
        <f t="shared" si="253"/>
        <v>781.04290000000003</v>
      </c>
      <c r="E91" s="144">
        <f t="shared" si="156"/>
        <v>0</v>
      </c>
      <c r="F91" s="144">
        <f t="shared" si="254"/>
        <v>0</v>
      </c>
      <c r="G91" s="144">
        <f t="shared" si="205"/>
        <v>0</v>
      </c>
      <c r="H91" s="144">
        <f t="shared" si="206"/>
        <v>0</v>
      </c>
      <c r="I91" s="144">
        <f t="shared" si="207"/>
        <v>0</v>
      </c>
      <c r="J91" s="159">
        <f t="shared" si="208"/>
        <v>0</v>
      </c>
      <c r="K91" s="160">
        <f t="shared" si="209"/>
        <v>89.43</v>
      </c>
      <c r="L91" s="152">
        <f t="shared" si="163"/>
        <v>0</v>
      </c>
      <c r="M91" s="144">
        <f t="shared" si="164"/>
        <v>1355</v>
      </c>
      <c r="N91" s="144"/>
      <c r="O91" s="144">
        <f t="shared" si="256"/>
        <v>0</v>
      </c>
      <c r="P91" s="144">
        <f t="shared" si="165"/>
        <v>0</v>
      </c>
      <c r="Q91" s="144">
        <f t="shared" si="166"/>
        <v>0</v>
      </c>
      <c r="R91" s="144">
        <f t="shared" si="167"/>
        <v>0</v>
      </c>
      <c r="S91" s="144">
        <f t="shared" si="168"/>
        <v>0</v>
      </c>
      <c r="T91" s="144">
        <f t="shared" si="169"/>
        <v>486</v>
      </c>
      <c r="V91" s="150">
        <f>L89+L90+L91</f>
        <v>0</v>
      </c>
      <c r="W91" s="150">
        <f t="shared" ref="W91" si="257">M89+M90+M91</f>
        <v>3749</v>
      </c>
      <c r="X91" s="150"/>
      <c r="Y91" s="150">
        <f t="shared" ref="Y91" si="258">O89+O90+O91</f>
        <v>0</v>
      </c>
      <c r="Z91" s="150">
        <f t="shared" ref="Z91" si="259">P89+P90+P91</f>
        <v>0</v>
      </c>
      <c r="AA91" s="150">
        <f t="shared" ref="AA91" si="260">Q89+Q90+Q91</f>
        <v>0</v>
      </c>
      <c r="AB91" s="150">
        <f t="shared" ref="AB91" si="261">R89+R90+R91</f>
        <v>0</v>
      </c>
      <c r="AC91" s="150">
        <f t="shared" ref="AC91" si="262">S89+S90+S91</f>
        <v>0</v>
      </c>
      <c r="AD91" s="150">
        <f t="shared" ref="AD91" si="263">T89+T90+T91</f>
        <v>1416</v>
      </c>
      <c r="AF91" s="158">
        <f t="shared" si="255"/>
        <v>15400</v>
      </c>
      <c r="AG91" s="149"/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>
        <v>781.04290000000003</v>
      </c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  <c r="BI91" s="149"/>
      <c r="BJ91" s="149"/>
      <c r="BK91" s="149"/>
      <c r="BL91" s="149"/>
      <c r="BM91" s="149"/>
      <c r="BN91" s="149"/>
      <c r="BO91" s="149"/>
      <c r="BP91" s="149"/>
      <c r="BQ91" s="149"/>
      <c r="BR91" s="149"/>
      <c r="BS91" s="149"/>
      <c r="BT91" s="149"/>
      <c r="BU91" s="149"/>
      <c r="BV91" s="149"/>
      <c r="BW91" s="149"/>
      <c r="BX91" s="149"/>
      <c r="BY91" s="149"/>
      <c r="BZ91" s="149"/>
      <c r="CA91" s="149"/>
      <c r="CB91" s="149">
        <v>89.43</v>
      </c>
      <c r="CC91" s="231">
        <f t="shared" si="198"/>
        <v>15400</v>
      </c>
    </row>
    <row r="92" spans="2:81" x14ac:dyDescent="0.25">
      <c r="B92" s="155">
        <v>15450</v>
      </c>
      <c r="C92" s="147">
        <f t="shared" si="252"/>
        <v>0</v>
      </c>
      <c r="D92" s="147">
        <f t="shared" si="253"/>
        <v>746.60019999999997</v>
      </c>
      <c r="E92" s="147">
        <f t="shared" si="156"/>
        <v>0</v>
      </c>
      <c r="F92" s="147">
        <f t="shared" si="254"/>
        <v>0</v>
      </c>
      <c r="G92" s="147">
        <f t="shared" si="205"/>
        <v>0</v>
      </c>
      <c r="H92" s="147">
        <f t="shared" si="206"/>
        <v>0</v>
      </c>
      <c r="I92" s="147">
        <f t="shared" si="207"/>
        <v>0</v>
      </c>
      <c r="J92" s="156">
        <f t="shared" si="208"/>
        <v>0</v>
      </c>
      <c r="K92" s="157">
        <f t="shared" si="209"/>
        <v>87.6</v>
      </c>
      <c r="L92" s="151">
        <f t="shared" si="163"/>
        <v>0</v>
      </c>
      <c r="M92" s="147">
        <f t="shared" si="164"/>
        <v>1415</v>
      </c>
      <c r="N92" s="147"/>
      <c r="O92" s="147">
        <f t="shared" si="256"/>
        <v>0</v>
      </c>
      <c r="P92" s="147">
        <f t="shared" si="165"/>
        <v>0</v>
      </c>
      <c r="Q92" s="147">
        <f t="shared" si="166"/>
        <v>0</v>
      </c>
      <c r="R92" s="147">
        <f t="shared" si="167"/>
        <v>0</v>
      </c>
      <c r="S92" s="147">
        <f t="shared" si="168"/>
        <v>0</v>
      </c>
      <c r="T92" s="147">
        <f t="shared" si="169"/>
        <v>492</v>
      </c>
      <c r="V92" s="146"/>
      <c r="W92" s="147"/>
      <c r="X92" s="147"/>
      <c r="Y92" s="147"/>
      <c r="Z92" s="147"/>
      <c r="AA92" s="147"/>
      <c r="AB92" s="147"/>
      <c r="AC92" s="147"/>
      <c r="AD92" s="148"/>
      <c r="AF92" s="155">
        <f t="shared" si="255"/>
        <v>15450</v>
      </c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>
        <v>746.60019999999997</v>
      </c>
      <c r="AY92" s="78"/>
      <c r="AZ92" s="78"/>
      <c r="BA92" s="78"/>
      <c r="BB92" s="78"/>
      <c r="BC92" s="78"/>
      <c r="BD92" s="78"/>
      <c r="BE92" s="78"/>
      <c r="BF92" s="78"/>
      <c r="BG92" s="78"/>
      <c r="BH92" s="78"/>
      <c r="BI92" s="78"/>
      <c r="BJ92" s="78"/>
      <c r="BK92" s="78"/>
      <c r="BL92" s="78"/>
      <c r="BM92" s="78"/>
      <c r="BN92" s="78"/>
      <c r="BO92" s="78"/>
      <c r="BP92" s="78"/>
      <c r="BQ92" s="78"/>
      <c r="BR92" s="78"/>
      <c r="BS92" s="78"/>
      <c r="BT92" s="78"/>
      <c r="BU92" s="78"/>
      <c r="BV92" s="78"/>
      <c r="BW92" s="78"/>
      <c r="BX92" s="78"/>
      <c r="BY92" s="78"/>
      <c r="BZ92" s="78"/>
      <c r="CA92" s="78"/>
      <c r="CB92" s="78">
        <v>87.6</v>
      </c>
      <c r="CC92" s="231">
        <f t="shared" si="198"/>
        <v>15450</v>
      </c>
    </row>
    <row r="93" spans="2:81" x14ac:dyDescent="0.25">
      <c r="B93" s="57">
        <v>15500</v>
      </c>
      <c r="C93" s="58">
        <f>AG93+AH93+AI93+AJ93+AK93+AL93+AM93</f>
        <v>0</v>
      </c>
      <c r="D93" s="58">
        <f t="shared" si="253"/>
        <v>656.12530000000004</v>
      </c>
      <c r="E93" s="58">
        <f t="shared" si="156"/>
        <v>0</v>
      </c>
      <c r="F93" s="58">
        <f t="shared" si="254"/>
        <v>0</v>
      </c>
      <c r="G93" s="58">
        <f t="shared" si="205"/>
        <v>0</v>
      </c>
      <c r="H93" s="58">
        <f t="shared" si="206"/>
        <v>0</v>
      </c>
      <c r="I93" s="58">
        <f t="shared" si="207"/>
        <v>0</v>
      </c>
      <c r="J93" s="51">
        <f t="shared" si="208"/>
        <v>0</v>
      </c>
      <c r="K93" s="99">
        <f t="shared" si="209"/>
        <v>83.59</v>
      </c>
      <c r="L93" s="105">
        <f t="shared" si="163"/>
        <v>0</v>
      </c>
      <c r="M93" s="58">
        <f>ROUNDUP(((D92+D93)*0.5)*(B93-B92)/27,0)</f>
        <v>1299</v>
      </c>
      <c r="N93" s="58"/>
      <c r="O93" s="58">
        <f t="shared" si="256"/>
        <v>0</v>
      </c>
      <c r="P93" s="58">
        <f t="shared" si="165"/>
        <v>0</v>
      </c>
      <c r="Q93" s="58">
        <f t="shared" si="166"/>
        <v>0</v>
      </c>
      <c r="R93" s="58">
        <f t="shared" si="167"/>
        <v>0</v>
      </c>
      <c r="S93" s="58">
        <f t="shared" si="168"/>
        <v>0</v>
      </c>
      <c r="T93" s="58">
        <f t="shared" si="169"/>
        <v>476</v>
      </c>
      <c r="V93" s="137"/>
      <c r="W93" s="58"/>
      <c r="X93" s="58"/>
      <c r="Y93" s="58"/>
      <c r="Z93" s="58"/>
      <c r="AA93" s="58"/>
      <c r="AB93" s="58"/>
      <c r="AC93" s="58"/>
      <c r="AD93" s="138"/>
      <c r="AF93" s="57">
        <f t="shared" si="255"/>
        <v>15500</v>
      </c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>
        <v>656.12530000000004</v>
      </c>
      <c r="AY93" s="49"/>
      <c r="AZ93" s="49"/>
      <c r="BA93" s="49"/>
      <c r="BB93" s="49"/>
      <c r="BC93" s="49"/>
      <c r="BD93" s="49"/>
      <c r="BE93" s="49"/>
      <c r="BF93" s="49"/>
      <c r="BG93" s="49"/>
      <c r="BH93" s="49"/>
      <c r="BI93" s="49"/>
      <c r="BJ93" s="49"/>
      <c r="BK93" s="49"/>
      <c r="BL93" s="49"/>
      <c r="BM93" s="49"/>
      <c r="BN93" s="49"/>
      <c r="BO93" s="49"/>
      <c r="BP93" s="49"/>
      <c r="BQ93" s="49"/>
      <c r="BR93" s="49"/>
      <c r="BS93" s="49"/>
      <c r="BT93" s="49"/>
      <c r="BU93" s="49"/>
      <c r="BV93" s="49"/>
      <c r="BW93" s="49"/>
      <c r="BX93" s="49"/>
      <c r="BY93" s="49"/>
      <c r="BZ93" s="49"/>
      <c r="CA93" s="49"/>
      <c r="CB93" s="49">
        <v>83.59</v>
      </c>
      <c r="CC93" s="231">
        <f t="shared" si="198"/>
        <v>15500</v>
      </c>
    </row>
    <row r="94" spans="2:81" s="3" customFormat="1" ht="15.75" thickBot="1" x14ac:dyDescent="0.3">
      <c r="B94" s="158">
        <v>15550</v>
      </c>
      <c r="C94" s="144">
        <f t="shared" si="252"/>
        <v>0</v>
      </c>
      <c r="D94" s="144">
        <f t="shared" si="253"/>
        <v>248.0548</v>
      </c>
      <c r="E94" s="144">
        <f t="shared" si="156"/>
        <v>0</v>
      </c>
      <c r="F94" s="144">
        <f t="shared" si="254"/>
        <v>0</v>
      </c>
      <c r="G94" s="144">
        <f t="shared" si="205"/>
        <v>0</v>
      </c>
      <c r="H94" s="144">
        <f t="shared" si="206"/>
        <v>0</v>
      </c>
      <c r="I94" s="144">
        <f t="shared" si="207"/>
        <v>0</v>
      </c>
      <c r="J94" s="159">
        <f t="shared" si="208"/>
        <v>0</v>
      </c>
      <c r="K94" s="160">
        <f t="shared" si="209"/>
        <v>19.46</v>
      </c>
      <c r="L94" s="152">
        <f t="shared" si="163"/>
        <v>0</v>
      </c>
      <c r="M94" s="144">
        <f>ROUNDUP(((D93+D94)*0.5)*(B94-B93)/27,0)</f>
        <v>838</v>
      </c>
      <c r="N94" s="144"/>
      <c r="O94" s="144">
        <f t="shared" si="256"/>
        <v>0</v>
      </c>
      <c r="P94" s="144">
        <f t="shared" si="165"/>
        <v>0</v>
      </c>
      <c r="Q94" s="144">
        <f t="shared" si="166"/>
        <v>0</v>
      </c>
      <c r="R94" s="144">
        <f t="shared" si="167"/>
        <v>0</v>
      </c>
      <c r="S94" s="144">
        <f t="shared" si="168"/>
        <v>0</v>
      </c>
      <c r="T94" s="144">
        <f t="shared" si="169"/>
        <v>287</v>
      </c>
      <c r="V94" s="150">
        <f>L92+L93+L94</f>
        <v>0</v>
      </c>
      <c r="W94" s="150">
        <f t="shared" ref="W94" si="264">M92+M93+M94</f>
        <v>3552</v>
      </c>
      <c r="X94" s="150"/>
      <c r="Y94" s="150">
        <f t="shared" ref="Y94" si="265">O92+O93+O94</f>
        <v>0</v>
      </c>
      <c r="Z94" s="150">
        <f t="shared" ref="Z94" si="266">P92+P93+P94</f>
        <v>0</v>
      </c>
      <c r="AA94" s="150">
        <f t="shared" ref="AA94" si="267">Q92+Q93+Q94</f>
        <v>0</v>
      </c>
      <c r="AB94" s="150">
        <f t="shared" ref="AB94" si="268">R92+R93+R94</f>
        <v>0</v>
      </c>
      <c r="AC94" s="150">
        <f t="shared" ref="AC94" si="269">S92+S93+S94</f>
        <v>0</v>
      </c>
      <c r="AD94" s="150">
        <f t="shared" ref="AD94" si="270">T92+T93+T94</f>
        <v>1255</v>
      </c>
      <c r="AF94" s="158">
        <f t="shared" si="255"/>
        <v>15550</v>
      </c>
      <c r="AG94" s="149"/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>
        <v>248.0548</v>
      </c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  <c r="BI94" s="149"/>
      <c r="BJ94" s="149"/>
      <c r="BK94" s="149"/>
      <c r="BL94" s="149"/>
      <c r="BM94" s="149"/>
      <c r="BN94" s="149"/>
      <c r="BO94" s="149"/>
      <c r="BP94" s="149"/>
      <c r="BQ94" s="149"/>
      <c r="BR94" s="149"/>
      <c r="BS94" s="149"/>
      <c r="BT94" s="149"/>
      <c r="BU94" s="149"/>
      <c r="BV94" s="149"/>
      <c r="BW94" s="149"/>
      <c r="BX94" s="149"/>
      <c r="BY94" s="149"/>
      <c r="BZ94" s="149"/>
      <c r="CA94" s="149"/>
      <c r="CB94" s="149">
        <v>19.46</v>
      </c>
      <c r="CC94" s="231">
        <f t="shared" si="198"/>
        <v>15550</v>
      </c>
    </row>
    <row r="95" spans="2:81" x14ac:dyDescent="0.25">
      <c r="B95" s="155">
        <v>15600</v>
      </c>
      <c r="C95" s="147">
        <f t="shared" si="252"/>
        <v>0</v>
      </c>
      <c r="D95" s="147">
        <f t="shared" si="253"/>
        <v>257.97089999999997</v>
      </c>
      <c r="E95" s="147">
        <f t="shared" si="156"/>
        <v>0</v>
      </c>
      <c r="F95" s="147">
        <f t="shared" si="254"/>
        <v>0</v>
      </c>
      <c r="G95" s="147">
        <f t="shared" si="205"/>
        <v>0</v>
      </c>
      <c r="H95" s="147">
        <f t="shared" si="206"/>
        <v>0</v>
      </c>
      <c r="I95" s="147">
        <f t="shared" si="207"/>
        <v>0</v>
      </c>
      <c r="J95" s="156">
        <f t="shared" si="208"/>
        <v>0</v>
      </c>
      <c r="K95" s="157">
        <f t="shared" si="209"/>
        <v>29.81</v>
      </c>
      <c r="L95" s="151">
        <f t="shared" si="163"/>
        <v>0</v>
      </c>
      <c r="M95" s="147">
        <f t="shared" si="164"/>
        <v>469</v>
      </c>
      <c r="N95" s="147"/>
      <c r="O95" s="147">
        <f t="shared" si="256"/>
        <v>0</v>
      </c>
      <c r="P95" s="147">
        <f t="shared" si="165"/>
        <v>0</v>
      </c>
      <c r="Q95" s="147">
        <f t="shared" si="166"/>
        <v>0</v>
      </c>
      <c r="R95" s="147">
        <f t="shared" si="167"/>
        <v>0</v>
      </c>
      <c r="S95" s="147">
        <f t="shared" si="168"/>
        <v>0</v>
      </c>
      <c r="T95" s="147">
        <f t="shared" si="169"/>
        <v>137</v>
      </c>
      <c r="V95" s="146"/>
      <c r="W95" s="147"/>
      <c r="X95" s="147"/>
      <c r="Y95" s="147"/>
      <c r="Z95" s="147"/>
      <c r="AA95" s="147"/>
      <c r="AB95" s="147"/>
      <c r="AC95" s="147"/>
      <c r="AD95" s="148"/>
      <c r="AF95" s="155">
        <f t="shared" si="255"/>
        <v>15600</v>
      </c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>
        <v>257.97089999999997</v>
      </c>
      <c r="AY95" s="78"/>
      <c r="AZ95" s="78"/>
      <c r="BA95" s="78"/>
      <c r="BB95" s="78"/>
      <c r="BC95" s="78"/>
      <c r="BD95" s="78"/>
      <c r="BE95" s="78"/>
      <c r="BF95" s="78"/>
      <c r="BG95" s="78"/>
      <c r="BH95" s="78"/>
      <c r="BI95" s="78"/>
      <c r="BJ95" s="78"/>
      <c r="BK95" s="78"/>
      <c r="BL95" s="78"/>
      <c r="BM95" s="78"/>
      <c r="BN95" s="78"/>
      <c r="BO95" s="78"/>
      <c r="BP95" s="78"/>
      <c r="BQ95" s="78"/>
      <c r="BR95" s="78"/>
      <c r="BS95" s="78"/>
      <c r="BT95" s="78"/>
      <c r="BU95" s="78"/>
      <c r="BV95" s="78"/>
      <c r="BW95" s="78"/>
      <c r="BX95" s="78"/>
      <c r="BY95" s="78"/>
      <c r="BZ95" s="78"/>
      <c r="CA95" s="78"/>
      <c r="CB95" s="78">
        <v>29.81</v>
      </c>
      <c r="CC95" s="231">
        <f t="shared" si="198"/>
        <v>15600</v>
      </c>
    </row>
    <row r="96" spans="2:81" x14ac:dyDescent="0.25">
      <c r="B96" s="57">
        <v>15650</v>
      </c>
      <c r="C96" s="58">
        <f t="shared" si="252"/>
        <v>7.2804000000000002</v>
      </c>
      <c r="D96" s="58">
        <f t="shared" si="253"/>
        <v>587.79650000000004</v>
      </c>
      <c r="E96" s="58">
        <f t="shared" si="156"/>
        <v>0</v>
      </c>
      <c r="F96" s="58">
        <f t="shared" si="254"/>
        <v>0</v>
      </c>
      <c r="G96" s="58">
        <f t="shared" si="205"/>
        <v>0</v>
      </c>
      <c r="H96" s="58">
        <f t="shared" si="206"/>
        <v>0</v>
      </c>
      <c r="I96" s="58">
        <f t="shared" si="207"/>
        <v>0</v>
      </c>
      <c r="J96" s="51">
        <f t="shared" si="208"/>
        <v>0</v>
      </c>
      <c r="K96" s="99">
        <f t="shared" si="209"/>
        <v>51.95</v>
      </c>
      <c r="L96" s="105">
        <f t="shared" si="163"/>
        <v>7</v>
      </c>
      <c r="M96" s="58">
        <f t="shared" si="164"/>
        <v>784</v>
      </c>
      <c r="N96" s="58"/>
      <c r="O96" s="58">
        <f t="shared" si="256"/>
        <v>0</v>
      </c>
      <c r="P96" s="58">
        <f t="shared" si="165"/>
        <v>0</v>
      </c>
      <c r="Q96" s="58">
        <f t="shared" si="166"/>
        <v>0</v>
      </c>
      <c r="R96" s="58">
        <f t="shared" si="167"/>
        <v>0</v>
      </c>
      <c r="S96" s="58">
        <f t="shared" si="168"/>
        <v>0</v>
      </c>
      <c r="T96" s="58">
        <f t="shared" si="169"/>
        <v>228</v>
      </c>
      <c r="V96" s="137"/>
      <c r="W96" s="58"/>
      <c r="X96" s="58"/>
      <c r="Y96" s="58"/>
      <c r="Z96" s="58"/>
      <c r="AA96" s="58"/>
      <c r="AB96" s="58"/>
      <c r="AC96" s="58"/>
      <c r="AD96" s="138"/>
      <c r="AF96" s="57">
        <f t="shared" si="255"/>
        <v>15650</v>
      </c>
      <c r="AG96" s="49">
        <v>7.2804000000000002</v>
      </c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>
        <v>587.79650000000004</v>
      </c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49"/>
      <c r="BK96" s="49"/>
      <c r="BL96" s="49"/>
      <c r="BM96" s="49"/>
      <c r="BN96" s="49"/>
      <c r="BO96" s="49"/>
      <c r="BP96" s="49"/>
      <c r="BQ96" s="49"/>
      <c r="BR96" s="49"/>
      <c r="BS96" s="49"/>
      <c r="BT96" s="49"/>
      <c r="BU96" s="49"/>
      <c r="BV96" s="49"/>
      <c r="BW96" s="49"/>
      <c r="BX96" s="49"/>
      <c r="BY96" s="49"/>
      <c r="BZ96" s="49"/>
      <c r="CA96" s="49"/>
      <c r="CB96" s="49">
        <v>51.95</v>
      </c>
      <c r="CC96" s="231">
        <f t="shared" si="198"/>
        <v>15650</v>
      </c>
    </row>
    <row r="97" spans="1:82" s="3" customFormat="1" ht="15.75" thickBot="1" x14ac:dyDescent="0.3">
      <c r="B97" s="158">
        <v>15700</v>
      </c>
      <c r="C97" s="144">
        <f t="shared" si="252"/>
        <v>0</v>
      </c>
      <c r="D97" s="144">
        <f t="shared" si="253"/>
        <v>1275.1190999999999</v>
      </c>
      <c r="E97" s="144">
        <f t="shared" si="156"/>
        <v>0</v>
      </c>
      <c r="F97" s="144">
        <f t="shared" si="254"/>
        <v>0</v>
      </c>
      <c r="G97" s="144">
        <f t="shared" si="205"/>
        <v>0</v>
      </c>
      <c r="H97" s="144">
        <f t="shared" si="206"/>
        <v>0</v>
      </c>
      <c r="I97" s="144">
        <f t="shared" si="207"/>
        <v>0</v>
      </c>
      <c r="J97" s="159">
        <f t="shared" si="208"/>
        <v>0</v>
      </c>
      <c r="K97" s="160">
        <f t="shared" si="209"/>
        <v>144.86000000000001</v>
      </c>
      <c r="L97" s="152">
        <f t="shared" si="163"/>
        <v>7</v>
      </c>
      <c r="M97" s="144">
        <f t="shared" si="164"/>
        <v>1725</v>
      </c>
      <c r="N97" s="144"/>
      <c r="O97" s="144">
        <f t="shared" si="256"/>
        <v>0</v>
      </c>
      <c r="P97" s="144">
        <f t="shared" si="165"/>
        <v>0</v>
      </c>
      <c r="Q97" s="144">
        <f t="shared" si="166"/>
        <v>0</v>
      </c>
      <c r="R97" s="144">
        <f t="shared" si="167"/>
        <v>0</v>
      </c>
      <c r="S97" s="144">
        <f t="shared" si="168"/>
        <v>0</v>
      </c>
      <c r="T97" s="144">
        <f t="shared" si="169"/>
        <v>547</v>
      </c>
      <c r="V97" s="150">
        <f>L95+L96+L97</f>
        <v>14</v>
      </c>
      <c r="W97" s="150">
        <f t="shared" ref="W97" si="271">M95+M96+M97</f>
        <v>2978</v>
      </c>
      <c r="X97" s="150"/>
      <c r="Y97" s="150">
        <f t="shared" ref="Y97" si="272">O95+O96+O97</f>
        <v>0</v>
      </c>
      <c r="Z97" s="150">
        <f t="shared" ref="Z97" si="273">P95+P96+P97</f>
        <v>0</v>
      </c>
      <c r="AA97" s="150">
        <f t="shared" ref="AA97" si="274">Q95+Q96+Q97</f>
        <v>0</v>
      </c>
      <c r="AB97" s="150">
        <f t="shared" ref="AB97" si="275">R95+R96+R97</f>
        <v>0</v>
      </c>
      <c r="AC97" s="150">
        <f t="shared" ref="AC97" si="276">S95+S96+S97</f>
        <v>0</v>
      </c>
      <c r="AD97" s="150">
        <f t="shared" ref="AD97" si="277">T95+T96+T97</f>
        <v>912</v>
      </c>
      <c r="AF97" s="158">
        <f t="shared" si="255"/>
        <v>15700</v>
      </c>
      <c r="AG97" s="149"/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>
        <v>1275.1190999999999</v>
      </c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  <c r="BI97" s="149"/>
      <c r="BJ97" s="149"/>
      <c r="BK97" s="149"/>
      <c r="BL97" s="149"/>
      <c r="BM97" s="149"/>
      <c r="BN97" s="149"/>
      <c r="BO97" s="149"/>
      <c r="BP97" s="149"/>
      <c r="BQ97" s="149"/>
      <c r="BR97" s="149"/>
      <c r="BS97" s="149"/>
      <c r="BT97" s="149"/>
      <c r="BU97" s="149"/>
      <c r="BV97" s="149"/>
      <c r="BW97" s="149"/>
      <c r="BX97" s="149"/>
      <c r="BY97" s="149"/>
      <c r="BZ97" s="149"/>
      <c r="CA97" s="149"/>
      <c r="CB97" s="149">
        <v>144.86000000000001</v>
      </c>
      <c r="CC97" s="231">
        <f t="shared" si="198"/>
        <v>15700</v>
      </c>
    </row>
    <row r="98" spans="1:82" x14ac:dyDescent="0.25">
      <c r="B98" s="155">
        <v>15750</v>
      </c>
      <c r="C98" s="147">
        <f t="shared" si="252"/>
        <v>0</v>
      </c>
      <c r="D98" s="147">
        <f t="shared" si="253"/>
        <v>1234.0363</v>
      </c>
      <c r="E98" s="147">
        <f t="shared" si="156"/>
        <v>0</v>
      </c>
      <c r="F98" s="147">
        <f t="shared" si="254"/>
        <v>0</v>
      </c>
      <c r="G98" s="147">
        <f t="shared" si="205"/>
        <v>0</v>
      </c>
      <c r="H98" s="147">
        <f t="shared" si="206"/>
        <v>0</v>
      </c>
      <c r="I98" s="147">
        <f t="shared" si="207"/>
        <v>0</v>
      </c>
      <c r="J98" s="156">
        <f t="shared" si="208"/>
        <v>0</v>
      </c>
      <c r="K98" s="157">
        <f t="shared" si="209"/>
        <v>78.7</v>
      </c>
      <c r="L98" s="151">
        <f t="shared" si="163"/>
        <v>0</v>
      </c>
      <c r="M98" s="147">
        <f t="shared" si="164"/>
        <v>2324</v>
      </c>
      <c r="N98" s="147"/>
      <c r="O98" s="147">
        <f t="shared" si="256"/>
        <v>0</v>
      </c>
      <c r="P98" s="147">
        <f t="shared" si="165"/>
        <v>0</v>
      </c>
      <c r="Q98" s="147">
        <f t="shared" si="166"/>
        <v>0</v>
      </c>
      <c r="R98" s="147">
        <f t="shared" si="167"/>
        <v>0</v>
      </c>
      <c r="S98" s="147">
        <f t="shared" si="168"/>
        <v>0</v>
      </c>
      <c r="T98" s="147">
        <f t="shared" si="169"/>
        <v>621</v>
      </c>
      <c r="V98" s="146"/>
      <c r="W98" s="147"/>
      <c r="X98" s="147"/>
      <c r="Y98" s="147"/>
      <c r="Z98" s="147"/>
      <c r="AA98" s="147"/>
      <c r="AB98" s="147"/>
      <c r="AC98" s="147"/>
      <c r="AD98" s="148"/>
      <c r="AF98" s="155">
        <f t="shared" si="255"/>
        <v>15750</v>
      </c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>
        <v>1234.0363</v>
      </c>
      <c r="AY98" s="78"/>
      <c r="AZ98" s="78"/>
      <c r="BA98" s="78"/>
      <c r="BB98" s="78"/>
      <c r="BC98" s="78"/>
      <c r="BD98" s="78"/>
      <c r="BE98" s="78"/>
      <c r="BF98" s="78"/>
      <c r="BG98" s="78"/>
      <c r="BH98" s="78"/>
      <c r="BI98" s="78"/>
      <c r="BJ98" s="78"/>
      <c r="BK98" s="78"/>
      <c r="BL98" s="78"/>
      <c r="BM98" s="78"/>
      <c r="BN98" s="78"/>
      <c r="BO98" s="78"/>
      <c r="BP98" s="78"/>
      <c r="BQ98" s="78"/>
      <c r="BR98" s="78"/>
      <c r="BS98" s="78"/>
      <c r="BT98" s="78"/>
      <c r="BU98" s="78"/>
      <c r="BV98" s="78"/>
      <c r="BW98" s="78"/>
      <c r="BX98" s="78"/>
      <c r="BY98" s="78"/>
      <c r="BZ98" s="78"/>
      <c r="CA98" s="78"/>
      <c r="CB98" s="78">
        <v>78.7</v>
      </c>
      <c r="CC98" s="231">
        <f t="shared" si="198"/>
        <v>15750</v>
      </c>
    </row>
    <row r="99" spans="1:82" x14ac:dyDescent="0.25">
      <c r="B99" s="57">
        <v>15800</v>
      </c>
      <c r="C99" s="58">
        <f t="shared" si="252"/>
        <v>249.2747</v>
      </c>
      <c r="D99" s="58">
        <f t="shared" si="253"/>
        <v>1165.2663</v>
      </c>
      <c r="E99" s="58">
        <f t="shared" si="156"/>
        <v>0</v>
      </c>
      <c r="F99" s="58">
        <f t="shared" si="254"/>
        <v>0</v>
      </c>
      <c r="G99" s="58">
        <f t="shared" si="205"/>
        <v>0</v>
      </c>
      <c r="H99" s="58">
        <f t="shared" si="206"/>
        <v>0</v>
      </c>
      <c r="I99" s="58">
        <f t="shared" si="207"/>
        <v>0</v>
      </c>
      <c r="J99" s="51">
        <f t="shared" si="208"/>
        <v>0</v>
      </c>
      <c r="K99" s="99">
        <f t="shared" si="209"/>
        <v>82.07</v>
      </c>
      <c r="L99" s="105">
        <f t="shared" si="163"/>
        <v>231</v>
      </c>
      <c r="M99" s="58">
        <f t="shared" si="164"/>
        <v>2222</v>
      </c>
      <c r="N99" s="58"/>
      <c r="O99" s="58">
        <f t="shared" si="256"/>
        <v>0</v>
      </c>
      <c r="P99" s="58">
        <f t="shared" si="165"/>
        <v>0</v>
      </c>
      <c r="Q99" s="58">
        <f t="shared" si="166"/>
        <v>0</v>
      </c>
      <c r="R99" s="58">
        <f t="shared" si="167"/>
        <v>0</v>
      </c>
      <c r="S99" s="58">
        <f t="shared" si="168"/>
        <v>0</v>
      </c>
      <c r="T99" s="58">
        <f t="shared" si="169"/>
        <v>447</v>
      </c>
      <c r="V99" s="137"/>
      <c r="W99" s="58"/>
      <c r="X99" s="58"/>
      <c r="Y99" s="58"/>
      <c r="Z99" s="58"/>
      <c r="AA99" s="58"/>
      <c r="AB99" s="58"/>
      <c r="AC99" s="58"/>
      <c r="AD99" s="138"/>
      <c r="AF99" s="57">
        <f t="shared" si="255"/>
        <v>15800</v>
      </c>
      <c r="AG99" s="49">
        <v>249.2747</v>
      </c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>
        <v>249.2747</v>
      </c>
      <c r="AY99" s="49">
        <v>915.99159999999995</v>
      </c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49"/>
      <c r="BR99" s="49"/>
      <c r="BS99" s="49"/>
      <c r="BT99" s="49"/>
      <c r="BU99" s="49"/>
      <c r="BV99" s="49"/>
      <c r="BW99" s="49"/>
      <c r="BX99" s="49"/>
      <c r="BY99" s="49"/>
      <c r="BZ99" s="49"/>
      <c r="CA99" s="49"/>
      <c r="CB99" s="49">
        <v>82.07</v>
      </c>
      <c r="CC99" s="231">
        <f t="shared" si="198"/>
        <v>15800</v>
      </c>
    </row>
    <row r="100" spans="1:82" s="3" customFormat="1" ht="15.75" thickBot="1" x14ac:dyDescent="0.3">
      <c r="B100" s="158">
        <v>15850</v>
      </c>
      <c r="C100" s="144">
        <f t="shared" si="252"/>
        <v>0</v>
      </c>
      <c r="D100" s="144">
        <f t="shared" si="253"/>
        <v>1158.7035000000001</v>
      </c>
      <c r="E100" s="144">
        <f t="shared" si="156"/>
        <v>0</v>
      </c>
      <c r="F100" s="144">
        <f t="shared" si="254"/>
        <v>22.231300000000001</v>
      </c>
      <c r="G100" s="144">
        <f t="shared" si="205"/>
        <v>0</v>
      </c>
      <c r="H100" s="144">
        <f t="shared" si="206"/>
        <v>0</v>
      </c>
      <c r="I100" s="144">
        <f t="shared" si="207"/>
        <v>0</v>
      </c>
      <c r="J100" s="159">
        <f t="shared" si="208"/>
        <v>0</v>
      </c>
      <c r="K100" s="160">
        <f t="shared" si="209"/>
        <v>80.38</v>
      </c>
      <c r="L100" s="152">
        <f t="shared" ref="L100:L101" si="278">ROUNDUP(((C99+C100)*0.5)*(B100-B99)/27,0)</f>
        <v>231</v>
      </c>
      <c r="M100" s="144">
        <f t="shared" ref="M100" si="279">ROUNDUP(((D99+D100)*0.5)*(B100-B99)/27,0)</f>
        <v>2152</v>
      </c>
      <c r="N100" s="144"/>
      <c r="O100" s="144">
        <f t="shared" si="256"/>
        <v>21</v>
      </c>
      <c r="P100" s="144">
        <f t="shared" ref="P100:P101" si="280">ROUNDUP(((G100+G99)*0.5)*(B100-B99)/27,0)</f>
        <v>0</v>
      </c>
      <c r="Q100" s="144">
        <f t="shared" ref="Q100:Q101" si="281">ROUNDUP(((H100+H99)*0.5)*(B100-B99)/27,0)</f>
        <v>0</v>
      </c>
      <c r="R100" s="144">
        <f t="shared" ref="R100:R101" si="282">ROUNDUP(((I100+I99)*0.5)*(B100-B99)/9,0)</f>
        <v>0</v>
      </c>
      <c r="S100" s="144">
        <f t="shared" ref="S100:S101" si="283">ROUNDUP(((J100+J99)*0.5)*(B100-B99)/9,0)</f>
        <v>0</v>
      </c>
      <c r="T100" s="144">
        <f t="shared" si="169"/>
        <v>452</v>
      </c>
      <c r="V100" s="150">
        <f>L98+L99+L100</f>
        <v>462</v>
      </c>
      <c r="W100" s="150">
        <f t="shared" ref="W100" si="284">M98+M99+M100</f>
        <v>6698</v>
      </c>
      <c r="X100" s="150"/>
      <c r="Y100" s="150">
        <f t="shared" ref="Y100" si="285">O98+O99+O100</f>
        <v>21</v>
      </c>
      <c r="Z100" s="150">
        <f t="shared" ref="Z100" si="286">P98+P99+P100</f>
        <v>0</v>
      </c>
      <c r="AA100" s="150">
        <f t="shared" ref="AA100" si="287">Q98+Q99+Q100</f>
        <v>0</v>
      </c>
      <c r="AB100" s="150">
        <f t="shared" ref="AB100" si="288">R98+R99+R100</f>
        <v>0</v>
      </c>
      <c r="AC100" s="150">
        <f t="shared" ref="AC100" si="289">S98+S99+S100</f>
        <v>0</v>
      </c>
      <c r="AD100" s="150">
        <f t="shared" ref="AD100" si="290">T98+T99+T100</f>
        <v>1520</v>
      </c>
      <c r="AF100" s="158">
        <f t="shared" si="255"/>
        <v>15850</v>
      </c>
      <c r="AG100" s="149"/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>
        <v>1158.7035000000001</v>
      </c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  <c r="BI100" s="149"/>
      <c r="BJ100" s="149"/>
      <c r="BK100" s="149">
        <v>22.231300000000001</v>
      </c>
      <c r="BL100" s="149"/>
      <c r="BM100" s="149"/>
      <c r="BN100" s="149"/>
      <c r="BO100" s="149"/>
      <c r="BP100" s="149"/>
      <c r="BQ100" s="149"/>
      <c r="BR100" s="149"/>
      <c r="BS100" s="149"/>
      <c r="BT100" s="149"/>
      <c r="BU100" s="149"/>
      <c r="BV100" s="149"/>
      <c r="BW100" s="149"/>
      <c r="BX100" s="149"/>
      <c r="BY100" s="149"/>
      <c r="BZ100" s="149"/>
      <c r="CA100" s="149"/>
      <c r="CB100" s="149">
        <v>80.38</v>
      </c>
      <c r="CC100" s="231">
        <f t="shared" si="198"/>
        <v>15850</v>
      </c>
    </row>
    <row r="101" spans="1:82" s="80" customFormat="1" x14ac:dyDescent="0.25">
      <c r="A101" s="449" t="s">
        <v>44</v>
      </c>
      <c r="B101" s="473">
        <v>15859.97</v>
      </c>
      <c r="C101" s="169">
        <f t="shared" si="252"/>
        <v>0</v>
      </c>
      <c r="D101" s="169">
        <f t="shared" si="253"/>
        <v>1242.1993</v>
      </c>
      <c r="E101" s="169">
        <f t="shared" si="156"/>
        <v>0</v>
      </c>
      <c r="F101" s="169">
        <f t="shared" si="254"/>
        <v>46.978299999999997</v>
      </c>
      <c r="G101" s="169">
        <f t="shared" si="205"/>
        <v>0</v>
      </c>
      <c r="H101" s="169">
        <f t="shared" si="206"/>
        <v>0</v>
      </c>
      <c r="I101" s="169">
        <f t="shared" si="207"/>
        <v>0</v>
      </c>
      <c r="J101" s="170">
        <f t="shared" si="208"/>
        <v>0</v>
      </c>
      <c r="K101" s="171">
        <f t="shared" si="209"/>
        <v>83</v>
      </c>
      <c r="L101" s="164">
        <f t="shared" si="278"/>
        <v>0</v>
      </c>
      <c r="M101" s="161">
        <f>ROUNDUP(((D100+D101)*0.5)*(B101-B100)/27,0)</f>
        <v>444</v>
      </c>
      <c r="N101" s="161"/>
      <c r="O101" s="161">
        <f t="shared" si="256"/>
        <v>13</v>
      </c>
      <c r="P101" s="161">
        <f t="shared" si="280"/>
        <v>0</v>
      </c>
      <c r="Q101" s="161">
        <f t="shared" si="281"/>
        <v>0</v>
      </c>
      <c r="R101" s="161">
        <f t="shared" si="282"/>
        <v>0</v>
      </c>
      <c r="S101" s="161">
        <f t="shared" si="283"/>
        <v>0</v>
      </c>
      <c r="T101" s="161">
        <f>ROUNDUP(((K101+K100)*0.5)*(B101-B100)/9,0)</f>
        <v>91</v>
      </c>
      <c r="V101" s="165"/>
      <c r="W101" s="161"/>
      <c r="X101" s="161"/>
      <c r="Y101" s="161"/>
      <c r="Z101" s="161"/>
      <c r="AA101" s="161"/>
      <c r="AB101" s="161"/>
      <c r="AC101" s="161"/>
      <c r="AD101" s="166"/>
      <c r="AF101" s="473">
        <f t="shared" ref="AF101" si="291">B101</f>
        <v>15859.97</v>
      </c>
      <c r="AG101" s="172"/>
      <c r="AH101" s="172"/>
      <c r="AI101" s="172"/>
      <c r="AJ101" s="172"/>
      <c r="AK101" s="172"/>
      <c r="AL101" s="172"/>
      <c r="AM101" s="172"/>
      <c r="AN101" s="172"/>
      <c r="AO101" s="172"/>
      <c r="AP101" s="172"/>
      <c r="AQ101" s="172"/>
      <c r="AR101" s="172"/>
      <c r="AS101" s="172"/>
      <c r="AT101" s="172"/>
      <c r="AU101" s="172"/>
      <c r="AV101" s="172"/>
      <c r="AW101" s="172"/>
      <c r="AX101" s="172">
        <v>203.84610000000001</v>
      </c>
      <c r="AY101" s="172">
        <v>1038.3532</v>
      </c>
      <c r="AZ101" s="172"/>
      <c r="BA101" s="172"/>
      <c r="BB101" s="172"/>
      <c r="BC101" s="172"/>
      <c r="BD101" s="172"/>
      <c r="BE101" s="172"/>
      <c r="BF101" s="172"/>
      <c r="BG101" s="172"/>
      <c r="BH101" s="172"/>
      <c r="BI101" s="172"/>
      <c r="BJ101" s="172"/>
      <c r="BK101" s="172">
        <v>46.978299999999997</v>
      </c>
      <c r="BL101" s="172"/>
      <c r="BM101" s="172"/>
      <c r="BN101" s="172"/>
      <c r="BO101" s="172"/>
      <c r="BP101" s="172"/>
      <c r="BQ101" s="172"/>
      <c r="BR101" s="172"/>
      <c r="BS101" s="172"/>
      <c r="BT101" s="172"/>
      <c r="BU101" s="172"/>
      <c r="BV101" s="172"/>
      <c r="BW101" s="172"/>
      <c r="BX101" s="172"/>
      <c r="BY101" s="172"/>
      <c r="BZ101" s="172"/>
      <c r="CA101" s="172">
        <v>33</v>
      </c>
      <c r="CB101" s="172">
        <v>50</v>
      </c>
      <c r="CC101" s="447">
        <f t="shared" si="198"/>
        <v>15859.97</v>
      </c>
      <c r="CD101" s="62" t="s">
        <v>53</v>
      </c>
    </row>
    <row r="102" spans="1:82" s="80" customFormat="1" x14ac:dyDescent="0.25">
      <c r="A102" s="449"/>
      <c r="B102" s="472"/>
      <c r="C102" s="82">
        <f t="shared" si="252"/>
        <v>0</v>
      </c>
      <c r="D102" s="82">
        <f t="shared" si="253"/>
        <v>1038.3532</v>
      </c>
      <c r="E102" s="82">
        <f t="shared" si="156"/>
        <v>0</v>
      </c>
      <c r="F102" s="82">
        <f t="shared" si="254"/>
        <v>46.978299999999997</v>
      </c>
      <c r="G102" s="82">
        <f t="shared" si="205"/>
        <v>0</v>
      </c>
      <c r="H102" s="82">
        <f t="shared" si="206"/>
        <v>0</v>
      </c>
      <c r="I102" s="82">
        <f t="shared" si="207"/>
        <v>0</v>
      </c>
      <c r="J102" s="83">
        <f t="shared" si="208"/>
        <v>0</v>
      </c>
      <c r="K102" s="101">
        <f t="shared" si="209"/>
        <v>50</v>
      </c>
      <c r="L102" s="107"/>
      <c r="M102" s="82"/>
      <c r="N102" s="82"/>
      <c r="O102" s="82"/>
      <c r="P102" s="82"/>
      <c r="Q102" s="82"/>
      <c r="R102" s="82"/>
      <c r="S102" s="82"/>
      <c r="T102" s="82"/>
      <c r="V102" s="141"/>
      <c r="W102" s="82"/>
      <c r="X102" s="82"/>
      <c r="Y102" s="82"/>
      <c r="Z102" s="82"/>
      <c r="AA102" s="82"/>
      <c r="AB102" s="82"/>
      <c r="AC102" s="82"/>
      <c r="AD102" s="142"/>
      <c r="AF102" s="472"/>
      <c r="AG102" s="109"/>
      <c r="AH102" s="109"/>
      <c r="AI102" s="109"/>
      <c r="AJ102" s="109"/>
      <c r="AK102" s="109"/>
      <c r="AL102" s="109"/>
      <c r="AM102" s="109"/>
      <c r="AN102" s="109"/>
      <c r="AO102" s="109"/>
      <c r="AP102" s="109"/>
      <c r="AQ102" s="109"/>
      <c r="AR102" s="109"/>
      <c r="AS102" s="109"/>
      <c r="AT102" s="109"/>
      <c r="AU102" s="109"/>
      <c r="AV102" s="109"/>
      <c r="AW102" s="109"/>
      <c r="AX102" s="109"/>
      <c r="AY102" s="109">
        <v>1038.3532</v>
      </c>
      <c r="AZ102" s="109"/>
      <c r="BA102" s="109"/>
      <c r="BB102" s="109"/>
      <c r="BC102" s="109"/>
      <c r="BD102" s="109"/>
      <c r="BE102" s="109"/>
      <c r="BF102" s="109"/>
      <c r="BG102" s="109"/>
      <c r="BH102" s="109"/>
      <c r="BI102" s="109"/>
      <c r="BJ102" s="109"/>
      <c r="BK102" s="109">
        <v>46.978299999999997</v>
      </c>
      <c r="BL102" s="109"/>
      <c r="BM102" s="109"/>
      <c r="BN102" s="109"/>
      <c r="BO102" s="109"/>
      <c r="BP102" s="109"/>
      <c r="BQ102" s="109"/>
      <c r="BR102" s="109"/>
      <c r="BS102" s="109"/>
      <c r="BT102" s="109"/>
      <c r="BU102" s="109"/>
      <c r="BV102" s="109"/>
      <c r="BW102" s="109"/>
      <c r="BX102" s="109"/>
      <c r="BY102" s="109"/>
      <c r="BZ102" s="109"/>
      <c r="CA102" s="172"/>
      <c r="CB102" s="172">
        <v>50</v>
      </c>
      <c r="CC102" s="447"/>
      <c r="CD102" s="62" t="s">
        <v>54</v>
      </c>
    </row>
    <row r="103" spans="1:82" x14ac:dyDescent="0.25">
      <c r="A103" s="65"/>
      <c r="B103" s="57">
        <v>15900</v>
      </c>
      <c r="C103" s="58">
        <f t="shared" si="252"/>
        <v>0</v>
      </c>
      <c r="D103" s="58">
        <f t="shared" si="253"/>
        <v>1263.1569</v>
      </c>
      <c r="E103" s="58">
        <f t="shared" si="156"/>
        <v>0</v>
      </c>
      <c r="F103" s="58">
        <f t="shared" si="254"/>
        <v>104.261</v>
      </c>
      <c r="G103" s="58">
        <f t="shared" si="205"/>
        <v>0</v>
      </c>
      <c r="H103" s="58">
        <f t="shared" si="206"/>
        <v>0</v>
      </c>
      <c r="I103" s="58">
        <f t="shared" si="207"/>
        <v>0</v>
      </c>
      <c r="J103" s="51">
        <f t="shared" si="208"/>
        <v>0</v>
      </c>
      <c r="K103" s="99">
        <f t="shared" si="209"/>
        <v>54.32</v>
      </c>
      <c r="L103" s="105">
        <f>ROUNDUP(((C102+C103)*0.5)*(B103-B101)/27,0)</f>
        <v>0</v>
      </c>
      <c r="M103" s="58">
        <f>ROUNDUP(((D102+D103)*0.5)*(B103-B101)/27,0)</f>
        <v>1707</v>
      </c>
      <c r="N103" s="58"/>
      <c r="O103" s="58">
        <f>ROUNDUP(((F102+F103)*0.5)*(B103-B101)/27,0)</f>
        <v>113</v>
      </c>
      <c r="P103" s="58">
        <f>ROUNDUP(((G103+G102)*0.5)*(B103-B101)/27,0)</f>
        <v>0</v>
      </c>
      <c r="Q103" s="58">
        <f>ROUNDUP(((H103+H102)*0.5)*(B103-B101)/27,0)</f>
        <v>0</v>
      </c>
      <c r="R103" s="58">
        <f>ROUNDUP(((I103+I102)*0.5)*(B103-B101)/9,0)</f>
        <v>0</v>
      </c>
      <c r="S103" s="58">
        <f>ROUNDUP(((J103+J102)*0.5)*(B103-B101)/9,0)</f>
        <v>0</v>
      </c>
      <c r="T103" s="58">
        <f>ROUNDUP(((K103+K102)*0.5)*(B103-B101)/9,0)</f>
        <v>232</v>
      </c>
      <c r="V103" s="137"/>
      <c r="W103" s="58"/>
      <c r="X103" s="58"/>
      <c r="Y103" s="58"/>
      <c r="Z103" s="58"/>
      <c r="AA103" s="58"/>
      <c r="AB103" s="58"/>
      <c r="AC103" s="58"/>
      <c r="AD103" s="138"/>
      <c r="AF103" s="57">
        <f t="shared" si="255"/>
        <v>15900</v>
      </c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>
        <v>1263.1569</v>
      </c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  <c r="BI103" s="49"/>
      <c r="BJ103" s="49"/>
      <c r="BK103" s="49">
        <v>104.261</v>
      </c>
      <c r="BL103" s="49"/>
      <c r="BM103" s="49"/>
      <c r="BN103" s="49"/>
      <c r="BO103" s="49"/>
      <c r="BP103" s="49"/>
      <c r="BQ103" s="49"/>
      <c r="BR103" s="49"/>
      <c r="BS103" s="49"/>
      <c r="BT103" s="49"/>
      <c r="BU103" s="49"/>
      <c r="BV103" s="49"/>
      <c r="BW103" s="49"/>
      <c r="BX103" s="49"/>
      <c r="BY103" s="49"/>
      <c r="BZ103" s="49"/>
      <c r="CA103" s="49"/>
      <c r="CB103" s="49">
        <v>54.32</v>
      </c>
      <c r="CC103" s="231">
        <f>B103</f>
        <v>15900</v>
      </c>
    </row>
    <row r="104" spans="1:82" s="80" customFormat="1" ht="15.75" thickBot="1" x14ac:dyDescent="0.3">
      <c r="A104" s="449" t="s">
        <v>44</v>
      </c>
      <c r="B104" s="473">
        <v>15930.11</v>
      </c>
      <c r="C104" s="82">
        <f t="shared" si="252"/>
        <v>0</v>
      </c>
      <c r="D104" s="82">
        <f t="shared" si="253"/>
        <v>1357.9464</v>
      </c>
      <c r="E104" s="82">
        <f t="shared" si="156"/>
        <v>0</v>
      </c>
      <c r="F104" s="82">
        <f t="shared" si="254"/>
        <v>117.10420000000001</v>
      </c>
      <c r="G104" s="82">
        <f t="shared" si="205"/>
        <v>0</v>
      </c>
      <c r="H104" s="82">
        <f t="shared" si="206"/>
        <v>0</v>
      </c>
      <c r="I104" s="82">
        <f t="shared" si="207"/>
        <v>0</v>
      </c>
      <c r="J104" s="83">
        <f t="shared" si="208"/>
        <v>0</v>
      </c>
      <c r="K104" s="101">
        <f t="shared" si="209"/>
        <v>58</v>
      </c>
      <c r="L104" s="106">
        <f>ROUNDUP(((C103+C104)*0.5)*(B104-B103)/27,0)</f>
        <v>0</v>
      </c>
      <c r="M104" s="59">
        <f>ROUNDUP(((D103+D104)*0.5)*(B104-B103)/27,0)</f>
        <v>1462</v>
      </c>
      <c r="N104" s="59"/>
      <c r="O104" s="59">
        <f t="shared" ref="O104" si="292">ROUNDUP(((F103+F104)*0.5)*(B104-B103)/27,0)</f>
        <v>124</v>
      </c>
      <c r="P104" s="59">
        <f t="shared" ref="P104" si="293">ROUNDUP(((G104+G103)*0.5)*(B104-B103)/27,0)</f>
        <v>0</v>
      </c>
      <c r="Q104" s="59">
        <f t="shared" ref="Q104" si="294">ROUNDUP(((H104+H103)*0.5)*(B104-B103)/27,0)</f>
        <v>0</v>
      </c>
      <c r="R104" s="59">
        <f t="shared" ref="R104" si="295">ROUNDUP(((I104+I103)*0.5)*(B104-B103)/9,0)</f>
        <v>0</v>
      </c>
      <c r="S104" s="59">
        <f t="shared" ref="S104" si="296">ROUNDUP(((J104+J103)*0.5)*(B104-B103)/9,0)</f>
        <v>0</v>
      </c>
      <c r="T104" s="59">
        <f>ROUNDUP(((K104+K103)*0.5)*(B104-B103)/9,0)</f>
        <v>188</v>
      </c>
      <c r="V104" s="139"/>
      <c r="W104" s="59"/>
      <c r="X104" s="59"/>
      <c r="Y104" s="59"/>
      <c r="Z104" s="59"/>
      <c r="AA104" s="59"/>
      <c r="AB104" s="59"/>
      <c r="AC104" s="59"/>
      <c r="AD104" s="140"/>
      <c r="AF104" s="473">
        <f t="shared" ref="AF104" si="297">B104</f>
        <v>15930.11</v>
      </c>
      <c r="AG104" s="109"/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  <c r="AV104" s="109"/>
      <c r="AW104" s="109"/>
      <c r="AX104" s="109"/>
      <c r="AY104" s="109">
        <v>1357.9464</v>
      </c>
      <c r="AZ104" s="109"/>
      <c r="BA104" s="109"/>
      <c r="BB104" s="109"/>
      <c r="BC104" s="109"/>
      <c r="BD104" s="109"/>
      <c r="BE104" s="109"/>
      <c r="BF104" s="109"/>
      <c r="BG104" s="109"/>
      <c r="BH104" s="109"/>
      <c r="BI104" s="109"/>
      <c r="BJ104" s="109"/>
      <c r="BK104" s="109">
        <v>117.10420000000001</v>
      </c>
      <c r="BL104" s="109"/>
      <c r="BM104" s="109"/>
      <c r="BN104" s="109"/>
      <c r="BO104" s="109"/>
      <c r="BP104" s="109"/>
      <c r="BQ104" s="109"/>
      <c r="BR104" s="109"/>
      <c r="BS104" s="109"/>
      <c r="BT104" s="109"/>
      <c r="BU104" s="109"/>
      <c r="BV104" s="109"/>
      <c r="BW104" s="109"/>
      <c r="BX104" s="109"/>
      <c r="BY104" s="109"/>
      <c r="BZ104" s="109"/>
      <c r="CA104" s="109"/>
      <c r="CB104" s="178">
        <v>58</v>
      </c>
      <c r="CC104" s="447">
        <f>B104</f>
        <v>15930.11</v>
      </c>
      <c r="CD104" s="62" t="s">
        <v>53</v>
      </c>
    </row>
    <row r="105" spans="1:82" s="177" customFormat="1" ht="15.75" thickBot="1" x14ac:dyDescent="0.3">
      <c r="A105" s="470"/>
      <c r="B105" s="493"/>
      <c r="C105" s="173">
        <f t="shared" si="252"/>
        <v>0</v>
      </c>
      <c r="D105" s="173">
        <f t="shared" si="253"/>
        <v>1699.3182999999999</v>
      </c>
      <c r="E105" s="173">
        <f t="shared" si="156"/>
        <v>0</v>
      </c>
      <c r="F105" s="173">
        <f t="shared" si="254"/>
        <v>117.10420000000001</v>
      </c>
      <c r="G105" s="173">
        <f t="shared" si="205"/>
        <v>0</v>
      </c>
      <c r="H105" s="173">
        <f t="shared" si="206"/>
        <v>0</v>
      </c>
      <c r="I105" s="173">
        <f t="shared" si="207"/>
        <v>0</v>
      </c>
      <c r="J105" s="174">
        <f t="shared" si="208"/>
        <v>0</v>
      </c>
      <c r="K105" s="175">
        <f t="shared" si="209"/>
        <v>120</v>
      </c>
      <c r="L105" s="176"/>
      <c r="M105" s="173"/>
      <c r="N105" s="173"/>
      <c r="O105" s="173"/>
      <c r="P105" s="173"/>
      <c r="Q105" s="173"/>
      <c r="R105" s="173"/>
      <c r="S105" s="173"/>
      <c r="T105" s="173"/>
      <c r="V105" s="150">
        <f>L101+L102+L103+L104+L105</f>
        <v>0</v>
      </c>
      <c r="W105" s="150">
        <f t="shared" ref="W105" si="298">M101+M102+M103+M104+M105</f>
        <v>3613</v>
      </c>
      <c r="X105" s="150"/>
      <c r="Y105" s="150">
        <f t="shared" ref="Y105:AD105" si="299">O101+O102+O103+O104+O105</f>
        <v>250</v>
      </c>
      <c r="Z105" s="150">
        <f t="shared" si="299"/>
        <v>0</v>
      </c>
      <c r="AA105" s="150">
        <f t="shared" si="299"/>
        <v>0</v>
      </c>
      <c r="AB105" s="150">
        <f t="shared" si="299"/>
        <v>0</v>
      </c>
      <c r="AC105" s="150">
        <f t="shared" si="299"/>
        <v>0</v>
      </c>
      <c r="AD105" s="150">
        <f t="shared" si="299"/>
        <v>511</v>
      </c>
      <c r="AF105" s="472"/>
      <c r="AG105" s="178"/>
      <c r="AH105" s="178"/>
      <c r="AI105" s="178"/>
      <c r="AJ105" s="178"/>
      <c r="AK105" s="178"/>
      <c r="AL105" s="178"/>
      <c r="AM105" s="178"/>
      <c r="AN105" s="178"/>
      <c r="AO105" s="178"/>
      <c r="AP105" s="178"/>
      <c r="AQ105" s="178"/>
      <c r="AR105" s="178"/>
      <c r="AS105" s="178"/>
      <c r="AT105" s="178"/>
      <c r="AU105" s="178"/>
      <c r="AV105" s="178"/>
      <c r="AW105" s="178"/>
      <c r="AX105" s="178">
        <v>341.37189999999998</v>
      </c>
      <c r="AY105" s="178">
        <v>1357.9464</v>
      </c>
      <c r="AZ105" s="178"/>
      <c r="BA105" s="178"/>
      <c r="BB105" s="178"/>
      <c r="BC105" s="178"/>
      <c r="BD105" s="178"/>
      <c r="BE105" s="178"/>
      <c r="BF105" s="178"/>
      <c r="BG105" s="178"/>
      <c r="BH105" s="178"/>
      <c r="BI105" s="178"/>
      <c r="BJ105" s="178"/>
      <c r="BK105" s="178">
        <v>117.10420000000001</v>
      </c>
      <c r="BL105" s="178"/>
      <c r="BM105" s="178"/>
      <c r="BN105" s="178"/>
      <c r="BO105" s="178"/>
      <c r="BP105" s="178"/>
      <c r="BQ105" s="178"/>
      <c r="BR105" s="178"/>
      <c r="BS105" s="178"/>
      <c r="BT105" s="178"/>
      <c r="BU105" s="178"/>
      <c r="BV105" s="178"/>
      <c r="BW105" s="178"/>
      <c r="BX105" s="178"/>
      <c r="BY105" s="178"/>
      <c r="BZ105" s="178"/>
      <c r="CA105" s="178">
        <v>62</v>
      </c>
      <c r="CB105" s="178">
        <v>58</v>
      </c>
      <c r="CC105" s="447"/>
      <c r="CD105" s="62" t="s">
        <v>54</v>
      </c>
    </row>
    <row r="106" spans="1:82" x14ac:dyDescent="0.25">
      <c r="B106" s="155">
        <v>15950</v>
      </c>
      <c r="C106" s="147">
        <f t="shared" si="252"/>
        <v>0</v>
      </c>
      <c r="D106" s="147">
        <f t="shared" si="253"/>
        <v>1688.34</v>
      </c>
      <c r="E106" s="147">
        <f t="shared" si="156"/>
        <v>0</v>
      </c>
      <c r="F106" s="147">
        <f t="shared" si="254"/>
        <v>124.83540000000001</v>
      </c>
      <c r="G106" s="147">
        <f t="shared" si="205"/>
        <v>0</v>
      </c>
      <c r="H106" s="147">
        <f t="shared" si="206"/>
        <v>0</v>
      </c>
      <c r="I106" s="147">
        <f t="shared" si="207"/>
        <v>0</v>
      </c>
      <c r="J106" s="156">
        <f t="shared" si="208"/>
        <v>0</v>
      </c>
      <c r="K106" s="157">
        <f t="shared" si="209"/>
        <v>108.62</v>
      </c>
      <c r="L106" s="151">
        <f>ROUNDUP(((C105+C106)*0.5)*(B106-B104)/27,0)</f>
        <v>0</v>
      </c>
      <c r="M106" s="147">
        <f>ROUNDUP(((D105+D106)*0.5)*(B106-B104)/27,0)</f>
        <v>1248</v>
      </c>
      <c r="N106" s="147"/>
      <c r="O106" s="147">
        <f>ROUNDUP(((F105+F106)*0.5)*(B106-B104)/27,0)</f>
        <v>90</v>
      </c>
      <c r="P106" s="147">
        <f>ROUNDUP(((G106+G105)*0.5)*(B106-B104)/27,0)</f>
        <v>0</v>
      </c>
      <c r="Q106" s="147">
        <f>ROUNDUP(((H106+H105)*0.5)*(B106-B104)/27,0)</f>
        <v>0</v>
      </c>
      <c r="R106" s="147">
        <f>ROUNDUP(((I106+I105)*0.5)*(B106-B104)/9,0)</f>
        <v>0</v>
      </c>
      <c r="S106" s="147">
        <f>ROUNDUP(((J106+J105)*0.5)*(B106-B104)/9,0)</f>
        <v>0</v>
      </c>
      <c r="T106" s="147">
        <f>ROUNDUP(((K106+K105)*0.5)*(B106-B104)/9,0)</f>
        <v>253</v>
      </c>
      <c r="V106" s="146"/>
      <c r="W106" s="147"/>
      <c r="X106" s="147"/>
      <c r="Y106" s="147"/>
      <c r="Z106" s="147"/>
      <c r="AA106" s="147"/>
      <c r="AB106" s="147"/>
      <c r="AC106" s="147"/>
      <c r="AD106" s="148"/>
      <c r="AF106" s="155">
        <f t="shared" si="255"/>
        <v>15950</v>
      </c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>
        <v>1688.34</v>
      </c>
      <c r="AY106" s="78"/>
      <c r="AZ106" s="78"/>
      <c r="BA106" s="78"/>
      <c r="BB106" s="78"/>
      <c r="BC106" s="78"/>
      <c r="BD106" s="78"/>
      <c r="BE106" s="78"/>
      <c r="BF106" s="78"/>
      <c r="BG106" s="78"/>
      <c r="BH106" s="78"/>
      <c r="BI106" s="78"/>
      <c r="BJ106" s="78"/>
      <c r="BK106" s="78">
        <v>124.83540000000001</v>
      </c>
      <c r="BL106" s="78"/>
      <c r="BM106" s="78"/>
      <c r="BN106" s="78"/>
      <c r="BO106" s="78"/>
      <c r="BP106" s="78"/>
      <c r="BQ106" s="78"/>
      <c r="BR106" s="78"/>
      <c r="BS106" s="78"/>
      <c r="BT106" s="78"/>
      <c r="BU106" s="78"/>
      <c r="BV106" s="78"/>
      <c r="BW106" s="78"/>
      <c r="BX106" s="78"/>
      <c r="BY106" s="78"/>
      <c r="BZ106" s="78"/>
      <c r="CA106" s="78"/>
      <c r="CB106" s="78">
        <v>108.62</v>
      </c>
      <c r="CC106" s="231">
        <f t="shared" ref="CC106:CC137" si="300">B106</f>
        <v>15950</v>
      </c>
    </row>
    <row r="107" spans="1:82" x14ac:dyDescent="0.25">
      <c r="B107" s="57">
        <v>16000</v>
      </c>
      <c r="C107" s="58">
        <f t="shared" si="252"/>
        <v>0.22170000000000001</v>
      </c>
      <c r="D107" s="58">
        <f t="shared" si="253"/>
        <v>1819.7448000000002</v>
      </c>
      <c r="E107" s="58">
        <f t="shared" si="156"/>
        <v>0</v>
      </c>
      <c r="F107" s="58">
        <f t="shared" si="254"/>
        <v>109.0301</v>
      </c>
      <c r="G107" s="58">
        <f t="shared" si="205"/>
        <v>0</v>
      </c>
      <c r="H107" s="58">
        <f t="shared" si="206"/>
        <v>0</v>
      </c>
      <c r="I107" s="58">
        <f t="shared" si="207"/>
        <v>0</v>
      </c>
      <c r="J107" s="51">
        <f t="shared" si="208"/>
        <v>0</v>
      </c>
      <c r="K107" s="99">
        <f t="shared" si="209"/>
        <v>113.24</v>
      </c>
      <c r="L107" s="105">
        <f t="shared" ref="L107:L170" si="301">ROUNDUP(((C106+C107)*0.5)*(B107-B106)/27,0)</f>
        <v>1</v>
      </c>
      <c r="M107" s="58">
        <f t="shared" ref="M107:M170" si="302">ROUNDUP(((D106+D107)*0.5)*(B107-B106)/27,0)</f>
        <v>3249</v>
      </c>
      <c r="N107" s="58"/>
      <c r="O107" s="58">
        <f t="shared" si="256"/>
        <v>217</v>
      </c>
      <c r="P107" s="58">
        <f t="shared" ref="P107:P170" si="303">ROUNDUP(((G107+G106)*0.5)*(B107-B106)/27,0)</f>
        <v>0</v>
      </c>
      <c r="Q107" s="58">
        <f t="shared" ref="Q107:Q170" si="304">ROUNDUP(((H107+H106)*0.5)*(B107-B106)/27,0)</f>
        <v>0</v>
      </c>
      <c r="R107" s="58">
        <f t="shared" ref="R107:R170" si="305">ROUNDUP(((I107+I106)*0.5)*(B107-B106)/9,0)</f>
        <v>0</v>
      </c>
      <c r="S107" s="58">
        <f t="shared" ref="S107:S170" si="306">ROUNDUP(((J107+J106)*0.5)*(B107-B106)/9,0)</f>
        <v>0</v>
      </c>
      <c r="T107" s="58">
        <f t="shared" ref="T107:T170" si="307">ROUNDUP(((K107+K106)*0.5)*(B107-B106)/9,0)</f>
        <v>617</v>
      </c>
      <c r="V107" s="137"/>
      <c r="W107" s="58"/>
      <c r="X107" s="58"/>
      <c r="Y107" s="58"/>
      <c r="Z107" s="58"/>
      <c r="AA107" s="58"/>
      <c r="AB107" s="58"/>
      <c r="AC107" s="58"/>
      <c r="AD107" s="138"/>
      <c r="AF107" s="57">
        <f t="shared" si="255"/>
        <v>16000</v>
      </c>
      <c r="AG107" s="49">
        <v>0.22170000000000001</v>
      </c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  <c r="AV107" s="49"/>
      <c r="AW107" s="49"/>
      <c r="AX107" s="49">
        <v>0.41820000000000002</v>
      </c>
      <c r="AY107" s="49">
        <v>1819.3266000000001</v>
      </c>
      <c r="AZ107" s="49"/>
      <c r="BA107" s="49"/>
      <c r="BB107" s="49"/>
      <c r="BC107" s="49"/>
      <c r="BD107" s="49"/>
      <c r="BE107" s="49"/>
      <c r="BF107" s="49"/>
      <c r="BG107" s="49"/>
      <c r="BH107" s="49"/>
      <c r="BI107" s="49"/>
      <c r="BJ107" s="49"/>
      <c r="BK107" s="49">
        <v>109.0301</v>
      </c>
      <c r="BL107" s="49"/>
      <c r="BM107" s="49"/>
      <c r="BN107" s="49"/>
      <c r="BO107" s="49"/>
      <c r="BP107" s="49"/>
      <c r="BQ107" s="49"/>
      <c r="BR107" s="49"/>
      <c r="BS107" s="49"/>
      <c r="BT107" s="49"/>
      <c r="BU107" s="49"/>
      <c r="BV107" s="49"/>
      <c r="BW107" s="49"/>
      <c r="BX107" s="49"/>
      <c r="BY107" s="49"/>
      <c r="BZ107" s="49"/>
      <c r="CA107" s="49"/>
      <c r="CB107" s="49">
        <v>113.24</v>
      </c>
      <c r="CC107" s="231">
        <f t="shared" si="300"/>
        <v>16000</v>
      </c>
    </row>
    <row r="108" spans="1:82" s="3" customFormat="1" ht="15.75" thickBot="1" x14ac:dyDescent="0.3">
      <c r="B108" s="158">
        <v>16050</v>
      </c>
      <c r="C108" s="144">
        <f t="shared" si="252"/>
        <v>11.5396</v>
      </c>
      <c r="D108" s="144">
        <f t="shared" si="253"/>
        <v>2014.3764000000001</v>
      </c>
      <c r="E108" s="144">
        <f t="shared" si="156"/>
        <v>0</v>
      </c>
      <c r="F108" s="144">
        <f t="shared" si="254"/>
        <v>123.48260000000001</v>
      </c>
      <c r="G108" s="144">
        <f t="shared" si="205"/>
        <v>0</v>
      </c>
      <c r="H108" s="144">
        <f t="shared" si="206"/>
        <v>0</v>
      </c>
      <c r="I108" s="144">
        <f t="shared" si="207"/>
        <v>0</v>
      </c>
      <c r="J108" s="159">
        <f t="shared" si="208"/>
        <v>0</v>
      </c>
      <c r="K108" s="160">
        <f t="shared" si="209"/>
        <v>129.03</v>
      </c>
      <c r="L108" s="152">
        <f t="shared" si="301"/>
        <v>11</v>
      </c>
      <c r="M108" s="144">
        <f>ROUNDUP(((D107+D108)*0.5)*(B108-B107)/27,0)</f>
        <v>3551</v>
      </c>
      <c r="N108" s="144"/>
      <c r="O108" s="144">
        <f t="shared" si="256"/>
        <v>216</v>
      </c>
      <c r="P108" s="144">
        <f t="shared" si="303"/>
        <v>0</v>
      </c>
      <c r="Q108" s="144">
        <f t="shared" si="304"/>
        <v>0</v>
      </c>
      <c r="R108" s="144">
        <f t="shared" si="305"/>
        <v>0</v>
      </c>
      <c r="S108" s="144">
        <f t="shared" si="306"/>
        <v>0</v>
      </c>
      <c r="T108" s="144">
        <f t="shared" si="307"/>
        <v>673</v>
      </c>
      <c r="V108" s="150">
        <f>L106+L107+L108</f>
        <v>12</v>
      </c>
      <c r="W108" s="150">
        <f t="shared" ref="W108" si="308">M106+M107+M108</f>
        <v>8048</v>
      </c>
      <c r="X108" s="150"/>
      <c r="Y108" s="150">
        <f t="shared" ref="Y108" si="309">O106+O107+O108</f>
        <v>523</v>
      </c>
      <c r="Z108" s="150">
        <f t="shared" ref="Z108" si="310">P106+P107+P108</f>
        <v>0</v>
      </c>
      <c r="AA108" s="150">
        <f t="shared" ref="AA108" si="311">Q106+Q107+Q108</f>
        <v>0</v>
      </c>
      <c r="AB108" s="150">
        <f t="shared" ref="AB108" si="312">R106+R107+R108</f>
        <v>0</v>
      </c>
      <c r="AC108" s="150">
        <f t="shared" ref="AC108" si="313">S106+S107+S108</f>
        <v>0</v>
      </c>
      <c r="AD108" s="150">
        <f t="shared" ref="AD108" si="314">T106+T107+T108</f>
        <v>1543</v>
      </c>
      <c r="AF108" s="158">
        <f t="shared" si="255"/>
        <v>16050</v>
      </c>
      <c r="AG108" s="149">
        <v>11.5396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>
        <v>2014.3764000000001</v>
      </c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  <c r="BI108" s="149"/>
      <c r="BJ108" s="149"/>
      <c r="BK108" s="149">
        <v>123.48260000000001</v>
      </c>
      <c r="BL108" s="149"/>
      <c r="BM108" s="149"/>
      <c r="BN108" s="149"/>
      <c r="BO108" s="149"/>
      <c r="BP108" s="149"/>
      <c r="BQ108" s="149"/>
      <c r="BR108" s="149"/>
      <c r="BS108" s="149"/>
      <c r="BT108" s="149"/>
      <c r="BU108" s="149"/>
      <c r="BV108" s="149"/>
      <c r="BW108" s="149"/>
      <c r="BX108" s="149"/>
      <c r="BY108" s="149"/>
      <c r="BZ108" s="149"/>
      <c r="CA108" s="149"/>
      <c r="CB108" s="149">
        <v>129.03</v>
      </c>
      <c r="CC108" s="231">
        <f t="shared" si="300"/>
        <v>16050</v>
      </c>
    </row>
    <row r="109" spans="1:82" x14ac:dyDescent="0.25">
      <c r="B109" s="155">
        <v>16100</v>
      </c>
      <c r="C109" s="147">
        <f t="shared" si="252"/>
        <v>27.0367</v>
      </c>
      <c r="D109" s="147">
        <f t="shared" si="253"/>
        <v>2437.9872</v>
      </c>
      <c r="E109" s="147">
        <f t="shared" si="156"/>
        <v>0</v>
      </c>
      <c r="F109" s="147">
        <f t="shared" si="254"/>
        <v>224.34870000000001</v>
      </c>
      <c r="G109" s="147">
        <f t="shared" si="205"/>
        <v>0</v>
      </c>
      <c r="H109" s="147">
        <f t="shared" si="206"/>
        <v>0</v>
      </c>
      <c r="I109" s="147">
        <f t="shared" si="207"/>
        <v>0</v>
      </c>
      <c r="J109" s="156">
        <f t="shared" si="208"/>
        <v>0</v>
      </c>
      <c r="K109" s="157">
        <f t="shared" si="209"/>
        <v>143.6</v>
      </c>
      <c r="L109" s="151">
        <f t="shared" si="301"/>
        <v>36</v>
      </c>
      <c r="M109" s="147">
        <f t="shared" si="302"/>
        <v>4123</v>
      </c>
      <c r="N109" s="147"/>
      <c r="O109" s="147">
        <f t="shared" si="256"/>
        <v>323</v>
      </c>
      <c r="P109" s="147">
        <f t="shared" si="303"/>
        <v>0</v>
      </c>
      <c r="Q109" s="147">
        <f t="shared" si="304"/>
        <v>0</v>
      </c>
      <c r="R109" s="147">
        <f t="shared" si="305"/>
        <v>0</v>
      </c>
      <c r="S109" s="147">
        <f t="shared" si="306"/>
        <v>0</v>
      </c>
      <c r="T109" s="147">
        <f t="shared" si="307"/>
        <v>758</v>
      </c>
      <c r="V109" s="146"/>
      <c r="W109" s="147"/>
      <c r="X109" s="147"/>
      <c r="Y109" s="147"/>
      <c r="Z109" s="147"/>
      <c r="AA109" s="147"/>
      <c r="AB109" s="147"/>
      <c r="AC109" s="147"/>
      <c r="AD109" s="148"/>
      <c r="AF109" s="155">
        <f t="shared" si="255"/>
        <v>16100</v>
      </c>
      <c r="AG109" s="78">
        <v>27.0367</v>
      </c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>
        <v>2437.9872</v>
      </c>
      <c r="AY109" s="78"/>
      <c r="AZ109" s="78"/>
      <c r="BA109" s="78"/>
      <c r="BB109" s="78"/>
      <c r="BC109" s="78"/>
      <c r="BD109" s="78"/>
      <c r="BE109" s="78"/>
      <c r="BF109" s="78"/>
      <c r="BG109" s="78"/>
      <c r="BH109" s="78"/>
      <c r="BI109" s="78"/>
      <c r="BJ109" s="78"/>
      <c r="BK109" s="78">
        <v>224.34870000000001</v>
      </c>
      <c r="BL109" s="78"/>
      <c r="BM109" s="78"/>
      <c r="BN109" s="78"/>
      <c r="BO109" s="78"/>
      <c r="BP109" s="78"/>
      <c r="BQ109" s="78"/>
      <c r="BR109" s="78"/>
      <c r="BS109" s="78"/>
      <c r="BT109" s="78"/>
      <c r="BU109" s="78"/>
      <c r="BV109" s="78"/>
      <c r="BW109" s="78"/>
      <c r="BX109" s="78"/>
      <c r="BY109" s="78"/>
      <c r="BZ109" s="78"/>
      <c r="CA109" s="78"/>
      <c r="CB109" s="78">
        <v>143.6</v>
      </c>
      <c r="CC109" s="231">
        <f t="shared" si="300"/>
        <v>16100</v>
      </c>
    </row>
    <row r="110" spans="1:82" x14ac:dyDescent="0.25">
      <c r="B110" s="57">
        <v>16150</v>
      </c>
      <c r="C110" s="58">
        <f t="shared" si="252"/>
        <v>30.907800000000002</v>
      </c>
      <c r="D110" s="58">
        <f t="shared" si="253"/>
        <v>2803.0526</v>
      </c>
      <c r="E110" s="58">
        <f t="shared" si="156"/>
        <v>0</v>
      </c>
      <c r="F110" s="58">
        <f t="shared" si="254"/>
        <v>766.53420000000006</v>
      </c>
      <c r="G110" s="58">
        <f t="shared" si="205"/>
        <v>0</v>
      </c>
      <c r="H110" s="58">
        <f t="shared" si="206"/>
        <v>0</v>
      </c>
      <c r="I110" s="58">
        <f t="shared" si="207"/>
        <v>0</v>
      </c>
      <c r="J110" s="51">
        <f t="shared" si="208"/>
        <v>0</v>
      </c>
      <c r="K110" s="99">
        <f t="shared" si="209"/>
        <v>155.69999999999999</v>
      </c>
      <c r="L110" s="105">
        <f t="shared" si="301"/>
        <v>54</v>
      </c>
      <c r="M110" s="58">
        <f t="shared" si="302"/>
        <v>4853</v>
      </c>
      <c r="N110" s="58"/>
      <c r="O110" s="58">
        <f t="shared" si="256"/>
        <v>918</v>
      </c>
      <c r="P110" s="58">
        <f t="shared" si="303"/>
        <v>0</v>
      </c>
      <c r="Q110" s="58">
        <f t="shared" si="304"/>
        <v>0</v>
      </c>
      <c r="R110" s="58">
        <f t="shared" si="305"/>
        <v>0</v>
      </c>
      <c r="S110" s="58">
        <f t="shared" si="306"/>
        <v>0</v>
      </c>
      <c r="T110" s="58">
        <f t="shared" si="307"/>
        <v>832</v>
      </c>
      <c r="V110" s="137"/>
      <c r="W110" s="58"/>
      <c r="X110" s="58"/>
      <c r="Y110" s="58"/>
      <c r="Z110" s="58"/>
      <c r="AA110" s="58"/>
      <c r="AB110" s="58"/>
      <c r="AC110" s="58"/>
      <c r="AD110" s="138"/>
      <c r="AF110" s="57">
        <f t="shared" si="255"/>
        <v>16150</v>
      </c>
      <c r="AG110" s="49">
        <v>30.907800000000002</v>
      </c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>
        <v>2803.0526</v>
      </c>
      <c r="AY110" s="49"/>
      <c r="AZ110" s="49"/>
      <c r="BA110" s="49"/>
      <c r="BB110" s="49"/>
      <c r="BC110" s="49"/>
      <c r="BD110" s="49"/>
      <c r="BE110" s="49"/>
      <c r="BF110" s="49"/>
      <c r="BG110" s="49"/>
      <c r="BH110" s="49"/>
      <c r="BI110" s="49"/>
      <c r="BJ110" s="49"/>
      <c r="BK110" s="49">
        <v>766.53420000000006</v>
      </c>
      <c r="BL110" s="49"/>
      <c r="BM110" s="49"/>
      <c r="BN110" s="49"/>
      <c r="BO110" s="49"/>
      <c r="BP110" s="49"/>
      <c r="BQ110" s="49"/>
      <c r="BR110" s="49"/>
      <c r="BS110" s="49"/>
      <c r="BT110" s="49"/>
      <c r="BU110" s="49"/>
      <c r="BV110" s="49"/>
      <c r="BW110" s="49"/>
      <c r="BX110" s="49"/>
      <c r="BY110" s="49"/>
      <c r="BZ110" s="49"/>
      <c r="CA110" s="49"/>
      <c r="CB110" s="49">
        <v>155.69999999999999</v>
      </c>
      <c r="CC110" s="231">
        <f t="shared" si="300"/>
        <v>16150</v>
      </c>
    </row>
    <row r="111" spans="1:82" s="3" customFormat="1" ht="15.75" thickBot="1" x14ac:dyDescent="0.3">
      <c r="B111" s="158">
        <v>16200</v>
      </c>
      <c r="C111" s="144">
        <f t="shared" si="252"/>
        <v>22.2118</v>
      </c>
      <c r="D111" s="144">
        <f t="shared" si="253"/>
        <v>3217.1163000000001</v>
      </c>
      <c r="E111" s="144">
        <f t="shared" si="156"/>
        <v>0</v>
      </c>
      <c r="F111" s="144">
        <f t="shared" si="254"/>
        <v>961.00070000000005</v>
      </c>
      <c r="G111" s="144">
        <f t="shared" si="205"/>
        <v>0</v>
      </c>
      <c r="H111" s="144">
        <f t="shared" si="206"/>
        <v>0</v>
      </c>
      <c r="I111" s="144">
        <f t="shared" si="207"/>
        <v>0</v>
      </c>
      <c r="J111" s="159">
        <f t="shared" si="208"/>
        <v>0</v>
      </c>
      <c r="K111" s="160">
        <f t="shared" si="209"/>
        <v>163.30000000000001</v>
      </c>
      <c r="L111" s="152">
        <f t="shared" si="301"/>
        <v>50</v>
      </c>
      <c r="M111" s="144">
        <f t="shared" si="302"/>
        <v>5575</v>
      </c>
      <c r="N111" s="144"/>
      <c r="O111" s="144">
        <f t="shared" si="256"/>
        <v>1600</v>
      </c>
      <c r="P111" s="144">
        <f t="shared" si="303"/>
        <v>0</v>
      </c>
      <c r="Q111" s="144">
        <f t="shared" si="304"/>
        <v>0</v>
      </c>
      <c r="R111" s="144">
        <f t="shared" si="305"/>
        <v>0</v>
      </c>
      <c r="S111" s="144">
        <f t="shared" si="306"/>
        <v>0</v>
      </c>
      <c r="T111" s="144">
        <f t="shared" si="307"/>
        <v>887</v>
      </c>
      <c r="V111" s="150">
        <f>L109+L110+L111</f>
        <v>140</v>
      </c>
      <c r="W111" s="150">
        <f t="shared" ref="W111" si="315">M109+M110+M111</f>
        <v>14551</v>
      </c>
      <c r="X111" s="150"/>
      <c r="Y111" s="150">
        <f t="shared" ref="Y111" si="316">O109+O110+O111</f>
        <v>2841</v>
      </c>
      <c r="Z111" s="150">
        <f t="shared" ref="Z111" si="317">P109+P110+P111</f>
        <v>0</v>
      </c>
      <c r="AA111" s="150">
        <f t="shared" ref="AA111" si="318">Q109+Q110+Q111</f>
        <v>0</v>
      </c>
      <c r="AB111" s="150">
        <f t="shared" ref="AB111" si="319">R109+R110+R111</f>
        <v>0</v>
      </c>
      <c r="AC111" s="150">
        <f t="shared" ref="AC111" si="320">S109+S110+S111</f>
        <v>0</v>
      </c>
      <c r="AD111" s="150">
        <f t="shared" ref="AD111" si="321">T109+T110+T111</f>
        <v>2477</v>
      </c>
      <c r="AF111" s="158">
        <f t="shared" si="255"/>
        <v>16200</v>
      </c>
      <c r="AG111" s="149">
        <v>22.2118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>
        <v>3217.1163000000001</v>
      </c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  <c r="BI111" s="149"/>
      <c r="BJ111" s="149"/>
      <c r="BK111" s="149">
        <v>961.00070000000005</v>
      </c>
      <c r="BL111" s="149"/>
      <c r="BM111" s="149"/>
      <c r="BN111" s="149"/>
      <c r="BO111" s="149"/>
      <c r="BP111" s="149"/>
      <c r="BQ111" s="149"/>
      <c r="BR111" s="149"/>
      <c r="BS111" s="149"/>
      <c r="BT111" s="149"/>
      <c r="BU111" s="149"/>
      <c r="BV111" s="149"/>
      <c r="BW111" s="149"/>
      <c r="BX111" s="149"/>
      <c r="BY111" s="149"/>
      <c r="BZ111" s="149"/>
      <c r="CA111" s="149"/>
      <c r="CB111" s="149">
        <v>163.30000000000001</v>
      </c>
      <c r="CC111" s="231">
        <f t="shared" si="300"/>
        <v>16200</v>
      </c>
    </row>
    <row r="112" spans="1:82" x14ac:dyDescent="0.25">
      <c r="B112" s="155">
        <v>16250</v>
      </c>
      <c r="C112" s="147">
        <f t="shared" si="252"/>
        <v>0</v>
      </c>
      <c r="D112" s="147">
        <f t="shared" si="253"/>
        <v>3686.7730999999999</v>
      </c>
      <c r="E112" s="147">
        <f t="shared" si="156"/>
        <v>0</v>
      </c>
      <c r="F112" s="147">
        <f t="shared" si="254"/>
        <v>849.54280000000006</v>
      </c>
      <c r="G112" s="147">
        <f t="shared" si="205"/>
        <v>0</v>
      </c>
      <c r="H112" s="147">
        <f t="shared" si="206"/>
        <v>0</v>
      </c>
      <c r="I112" s="147">
        <f t="shared" si="207"/>
        <v>0</v>
      </c>
      <c r="J112" s="156">
        <f t="shared" si="208"/>
        <v>0</v>
      </c>
      <c r="K112" s="157">
        <f t="shared" si="209"/>
        <v>165.1</v>
      </c>
      <c r="L112" s="151">
        <f t="shared" si="301"/>
        <v>21</v>
      </c>
      <c r="M112" s="147">
        <f t="shared" si="302"/>
        <v>6393</v>
      </c>
      <c r="N112" s="147"/>
      <c r="O112" s="147">
        <f t="shared" si="256"/>
        <v>1677</v>
      </c>
      <c r="P112" s="147">
        <f t="shared" si="303"/>
        <v>0</v>
      </c>
      <c r="Q112" s="147">
        <f t="shared" si="304"/>
        <v>0</v>
      </c>
      <c r="R112" s="147">
        <f t="shared" si="305"/>
        <v>0</v>
      </c>
      <c r="S112" s="147">
        <f t="shared" si="306"/>
        <v>0</v>
      </c>
      <c r="T112" s="147">
        <f>ROUNDUP(((K112+K111)*0.5)*(B112-B111)/9,0)</f>
        <v>913</v>
      </c>
      <c r="V112" s="146"/>
      <c r="W112" s="147"/>
      <c r="X112" s="147"/>
      <c r="Y112" s="147"/>
      <c r="Z112" s="147"/>
      <c r="AA112" s="147"/>
      <c r="AB112" s="147"/>
      <c r="AC112" s="147"/>
      <c r="AD112" s="148"/>
      <c r="AF112" s="155">
        <f t="shared" si="255"/>
        <v>16250</v>
      </c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>
        <v>3686.7730999999999</v>
      </c>
      <c r="AY112" s="78"/>
      <c r="AZ112" s="78"/>
      <c r="BA112" s="78"/>
      <c r="BB112" s="78"/>
      <c r="BC112" s="78"/>
      <c r="BD112" s="78"/>
      <c r="BE112" s="78"/>
      <c r="BF112" s="78"/>
      <c r="BG112" s="78"/>
      <c r="BH112" s="78"/>
      <c r="BI112" s="78"/>
      <c r="BJ112" s="78"/>
      <c r="BK112" s="78">
        <v>849.54280000000006</v>
      </c>
      <c r="BL112" s="78"/>
      <c r="BM112" s="78"/>
      <c r="BN112" s="78"/>
      <c r="BO112" s="78"/>
      <c r="BP112" s="78"/>
      <c r="BQ112" s="78"/>
      <c r="BR112" s="78"/>
      <c r="BS112" s="78"/>
      <c r="BT112" s="78"/>
      <c r="BU112" s="78"/>
      <c r="BV112" s="78"/>
      <c r="BW112" s="78"/>
      <c r="BX112" s="78"/>
      <c r="BY112" s="78"/>
      <c r="BZ112" s="78"/>
      <c r="CA112" s="78"/>
      <c r="CB112" s="78">
        <v>165.1</v>
      </c>
      <c r="CC112" s="231">
        <f t="shared" si="300"/>
        <v>16250</v>
      </c>
    </row>
    <row r="113" spans="2:81" x14ac:dyDescent="0.25">
      <c r="B113" s="57">
        <v>16300</v>
      </c>
      <c r="C113" s="58">
        <f t="shared" si="252"/>
        <v>10.1655</v>
      </c>
      <c r="D113" s="58">
        <f t="shared" si="253"/>
        <v>4058.4935999999998</v>
      </c>
      <c r="E113" s="58">
        <f t="shared" si="156"/>
        <v>0</v>
      </c>
      <c r="F113" s="58">
        <f t="shared" si="254"/>
        <v>392.17489999999998</v>
      </c>
      <c r="G113" s="58">
        <f t="shared" si="205"/>
        <v>0</v>
      </c>
      <c r="H113" s="58">
        <f t="shared" si="206"/>
        <v>0</v>
      </c>
      <c r="I113" s="58">
        <f t="shared" si="207"/>
        <v>0</v>
      </c>
      <c r="J113" s="51">
        <f t="shared" si="208"/>
        <v>0</v>
      </c>
      <c r="K113" s="99">
        <f t="shared" si="209"/>
        <v>184.11</v>
      </c>
      <c r="L113" s="105">
        <f t="shared" si="301"/>
        <v>10</v>
      </c>
      <c r="M113" s="58">
        <f t="shared" si="302"/>
        <v>7172</v>
      </c>
      <c r="N113" s="58"/>
      <c r="O113" s="58">
        <f>ROUNDUP(((F112+F113)*0.5)*(B113-B112)/27,0)</f>
        <v>1150</v>
      </c>
      <c r="P113" s="58">
        <f t="shared" si="303"/>
        <v>0</v>
      </c>
      <c r="Q113" s="58">
        <f t="shared" si="304"/>
        <v>0</v>
      </c>
      <c r="R113" s="58">
        <f t="shared" si="305"/>
        <v>0</v>
      </c>
      <c r="S113" s="58">
        <f t="shared" si="306"/>
        <v>0</v>
      </c>
      <c r="T113" s="58">
        <f t="shared" si="307"/>
        <v>971</v>
      </c>
      <c r="V113" s="137"/>
      <c r="W113" s="58"/>
      <c r="X113" s="58"/>
      <c r="Y113" s="58"/>
      <c r="Z113" s="58"/>
      <c r="AA113" s="58"/>
      <c r="AB113" s="58"/>
      <c r="AC113" s="58"/>
      <c r="AD113" s="138"/>
      <c r="AF113" s="57">
        <f t="shared" si="255"/>
        <v>16300</v>
      </c>
      <c r="AG113" s="49">
        <v>10.1655</v>
      </c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49"/>
      <c r="AS113" s="49"/>
      <c r="AT113" s="49"/>
      <c r="AU113" s="49"/>
      <c r="AV113" s="49"/>
      <c r="AW113" s="49"/>
      <c r="AX113" s="49">
        <v>4058.4935999999998</v>
      </c>
      <c r="AY113" s="49"/>
      <c r="AZ113" s="49"/>
      <c r="BA113" s="49"/>
      <c r="BB113" s="49"/>
      <c r="BC113" s="49"/>
      <c r="BD113" s="49"/>
      <c r="BE113" s="49"/>
      <c r="BF113" s="49"/>
      <c r="BG113" s="49"/>
      <c r="BH113" s="49"/>
      <c r="BI113" s="49"/>
      <c r="BJ113" s="49"/>
      <c r="BK113" s="49">
        <v>392.17489999999998</v>
      </c>
      <c r="BL113" s="49"/>
      <c r="BM113" s="49"/>
      <c r="BN113" s="49"/>
      <c r="BO113" s="49"/>
      <c r="BP113" s="49"/>
      <c r="BQ113" s="49"/>
      <c r="BR113" s="49"/>
      <c r="BS113" s="49"/>
      <c r="BT113" s="49"/>
      <c r="BU113" s="49"/>
      <c r="BV113" s="49"/>
      <c r="BW113" s="49"/>
      <c r="BX113" s="49"/>
      <c r="BY113" s="49"/>
      <c r="BZ113" s="49"/>
      <c r="CA113" s="49"/>
      <c r="CB113" s="49">
        <v>184.11</v>
      </c>
      <c r="CC113" s="231">
        <f t="shared" si="300"/>
        <v>16300</v>
      </c>
    </row>
    <row r="114" spans="2:81" s="3" customFormat="1" ht="15.75" thickBot="1" x14ac:dyDescent="0.3">
      <c r="B114" s="158">
        <v>16350</v>
      </c>
      <c r="C114" s="144">
        <f t="shared" si="252"/>
        <v>7.9010999999999996</v>
      </c>
      <c r="D114" s="144">
        <f t="shared" si="253"/>
        <v>4293.5743000000002</v>
      </c>
      <c r="E114" s="144">
        <f t="shared" si="156"/>
        <v>0</v>
      </c>
      <c r="F114" s="144">
        <f t="shared" si="254"/>
        <v>176.00810000000001</v>
      </c>
      <c r="G114" s="144">
        <f t="shared" si="205"/>
        <v>0</v>
      </c>
      <c r="H114" s="144">
        <f t="shared" si="206"/>
        <v>0</v>
      </c>
      <c r="I114" s="144">
        <f t="shared" si="207"/>
        <v>0</v>
      </c>
      <c r="J114" s="159">
        <f t="shared" si="208"/>
        <v>0</v>
      </c>
      <c r="K114" s="160">
        <f t="shared" si="209"/>
        <v>211.69900000000001</v>
      </c>
      <c r="L114" s="152">
        <f t="shared" si="301"/>
        <v>17</v>
      </c>
      <c r="M114" s="144">
        <f>ROUNDUP(((D113+D114)*0.5)*(B114-B113)/27,0)</f>
        <v>7734</v>
      </c>
      <c r="N114" s="144"/>
      <c r="O114" s="144">
        <f t="shared" si="256"/>
        <v>527</v>
      </c>
      <c r="P114" s="144">
        <f t="shared" si="303"/>
        <v>0</v>
      </c>
      <c r="Q114" s="144">
        <f t="shared" si="304"/>
        <v>0</v>
      </c>
      <c r="R114" s="144">
        <f t="shared" si="305"/>
        <v>0</v>
      </c>
      <c r="S114" s="144">
        <f t="shared" si="306"/>
        <v>0</v>
      </c>
      <c r="T114" s="144">
        <f t="shared" si="307"/>
        <v>1100</v>
      </c>
      <c r="V114" s="150">
        <f>L112+L113+L114</f>
        <v>48</v>
      </c>
      <c r="W114" s="150">
        <f t="shared" ref="W114" si="322">M112+M113+M114</f>
        <v>21299</v>
      </c>
      <c r="X114" s="150"/>
      <c r="Y114" s="150">
        <f t="shared" ref="Y114" si="323">O112+O113+O114</f>
        <v>3354</v>
      </c>
      <c r="Z114" s="150">
        <f t="shared" ref="Z114" si="324">P112+P113+P114</f>
        <v>0</v>
      </c>
      <c r="AA114" s="150">
        <f t="shared" ref="AA114" si="325">Q112+Q113+Q114</f>
        <v>0</v>
      </c>
      <c r="AB114" s="150">
        <f t="shared" ref="AB114" si="326">R112+R113+R114</f>
        <v>0</v>
      </c>
      <c r="AC114" s="150">
        <f t="shared" ref="AC114" si="327">S112+S113+S114</f>
        <v>0</v>
      </c>
      <c r="AD114" s="150">
        <f t="shared" ref="AD114" si="328">T112+T113+T114</f>
        <v>2984</v>
      </c>
      <c r="AF114" s="158">
        <f t="shared" si="255"/>
        <v>16350</v>
      </c>
      <c r="AG114" s="149">
        <v>7.9010999999999996</v>
      </c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>
        <v>4293.5743000000002</v>
      </c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  <c r="BI114" s="149"/>
      <c r="BJ114" s="149"/>
      <c r="BK114" s="149">
        <v>72.8857</v>
      </c>
      <c r="BL114" s="149">
        <v>103.1224</v>
      </c>
      <c r="BM114" s="149"/>
      <c r="BN114" s="149"/>
      <c r="BO114" s="149"/>
      <c r="BP114" s="149"/>
      <c r="BQ114" s="149"/>
      <c r="BR114" s="149"/>
      <c r="BS114" s="149"/>
      <c r="BT114" s="149"/>
      <c r="BU114" s="149"/>
      <c r="BV114" s="149"/>
      <c r="BW114" s="149"/>
      <c r="BX114" s="149"/>
      <c r="BY114" s="149"/>
      <c r="BZ114" s="149"/>
      <c r="CA114" s="149"/>
      <c r="CB114" s="149">
        <v>211.69900000000001</v>
      </c>
      <c r="CC114" s="231">
        <f t="shared" si="300"/>
        <v>16350</v>
      </c>
    </row>
    <row r="115" spans="2:81" x14ac:dyDescent="0.25">
      <c r="B115" s="155">
        <v>16400</v>
      </c>
      <c r="C115" s="147">
        <f t="shared" si="252"/>
        <v>366.76530000000002</v>
      </c>
      <c r="D115" s="147">
        <f t="shared" si="253"/>
        <v>3414.7213000000002</v>
      </c>
      <c r="E115" s="147">
        <f t="shared" si="156"/>
        <v>0</v>
      </c>
      <c r="F115" s="147">
        <f t="shared" si="254"/>
        <v>27.226199999999999</v>
      </c>
      <c r="G115" s="147">
        <f t="shared" si="205"/>
        <v>0</v>
      </c>
      <c r="H115" s="147">
        <f t="shared" si="206"/>
        <v>0</v>
      </c>
      <c r="I115" s="147">
        <f t="shared" si="207"/>
        <v>0</v>
      </c>
      <c r="J115" s="156">
        <f t="shared" si="208"/>
        <v>0</v>
      </c>
      <c r="K115" s="157">
        <f t="shared" si="209"/>
        <v>190.9</v>
      </c>
      <c r="L115" s="151">
        <f t="shared" si="301"/>
        <v>347</v>
      </c>
      <c r="M115" s="147">
        <f t="shared" si="302"/>
        <v>7138</v>
      </c>
      <c r="N115" s="147"/>
      <c r="O115" s="147">
        <f t="shared" si="256"/>
        <v>189</v>
      </c>
      <c r="P115" s="147">
        <f t="shared" si="303"/>
        <v>0</v>
      </c>
      <c r="Q115" s="147">
        <f t="shared" si="304"/>
        <v>0</v>
      </c>
      <c r="R115" s="147">
        <f t="shared" si="305"/>
        <v>0</v>
      </c>
      <c r="S115" s="147">
        <f t="shared" si="306"/>
        <v>0</v>
      </c>
      <c r="T115" s="147">
        <f t="shared" si="307"/>
        <v>1119</v>
      </c>
      <c r="V115" s="146"/>
      <c r="W115" s="147"/>
      <c r="X115" s="147"/>
      <c r="Y115" s="147"/>
      <c r="Z115" s="147"/>
      <c r="AA115" s="147"/>
      <c r="AB115" s="147"/>
      <c r="AC115" s="147"/>
      <c r="AD115" s="148"/>
      <c r="AF115" s="155">
        <f t="shared" si="255"/>
        <v>16400</v>
      </c>
      <c r="AG115" s="78">
        <v>366.76530000000002</v>
      </c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>
        <v>3414.7213000000002</v>
      </c>
      <c r="AY115" s="78"/>
      <c r="AZ115" s="78"/>
      <c r="BA115" s="78"/>
      <c r="BB115" s="78"/>
      <c r="BC115" s="78"/>
      <c r="BD115" s="78"/>
      <c r="BE115" s="78"/>
      <c r="BF115" s="78"/>
      <c r="BG115" s="78"/>
      <c r="BH115" s="78"/>
      <c r="BI115" s="78"/>
      <c r="BJ115" s="78"/>
      <c r="BK115" s="78">
        <v>27.226199999999999</v>
      </c>
      <c r="BL115" s="78"/>
      <c r="BM115" s="78"/>
      <c r="BN115" s="78"/>
      <c r="BO115" s="78"/>
      <c r="BP115" s="78"/>
      <c r="BQ115" s="78"/>
      <c r="BR115" s="78"/>
      <c r="BS115" s="78"/>
      <c r="BT115" s="78"/>
      <c r="BU115" s="78"/>
      <c r="BV115" s="78"/>
      <c r="BW115" s="78"/>
      <c r="BX115" s="78"/>
      <c r="BY115" s="78"/>
      <c r="BZ115" s="78"/>
      <c r="CA115" s="78"/>
      <c r="CB115" s="78">
        <v>190.9</v>
      </c>
      <c r="CC115" s="231">
        <f t="shared" si="300"/>
        <v>16400</v>
      </c>
    </row>
    <row r="116" spans="2:81" x14ac:dyDescent="0.25">
      <c r="B116" s="57">
        <v>16450</v>
      </c>
      <c r="C116" s="58">
        <f t="shared" si="252"/>
        <v>204.51900000000001</v>
      </c>
      <c r="D116" s="58">
        <f t="shared" si="253"/>
        <v>2969.0880000000002</v>
      </c>
      <c r="E116" s="58">
        <f t="shared" si="156"/>
        <v>0</v>
      </c>
      <c r="F116" s="58">
        <f t="shared" si="254"/>
        <v>0.78939999999999999</v>
      </c>
      <c r="G116" s="58">
        <f t="shared" si="205"/>
        <v>0</v>
      </c>
      <c r="H116" s="58">
        <f t="shared" si="206"/>
        <v>0</v>
      </c>
      <c r="I116" s="58">
        <f t="shared" si="207"/>
        <v>0</v>
      </c>
      <c r="J116" s="51">
        <f t="shared" si="208"/>
        <v>0</v>
      </c>
      <c r="K116" s="99">
        <f t="shared" si="209"/>
        <v>205.29</v>
      </c>
      <c r="L116" s="105">
        <f t="shared" si="301"/>
        <v>529</v>
      </c>
      <c r="M116" s="58">
        <f>ROUNDUP(((D115+D116)*0.5)*(B116-B115)/27,0)</f>
        <v>5911</v>
      </c>
      <c r="N116" s="58"/>
      <c r="O116" s="58">
        <f t="shared" si="256"/>
        <v>26</v>
      </c>
      <c r="P116" s="58">
        <f t="shared" si="303"/>
        <v>0</v>
      </c>
      <c r="Q116" s="58">
        <f t="shared" si="304"/>
        <v>0</v>
      </c>
      <c r="R116" s="58">
        <f t="shared" si="305"/>
        <v>0</v>
      </c>
      <c r="S116" s="58">
        <f t="shared" si="306"/>
        <v>0</v>
      </c>
      <c r="T116" s="58">
        <f t="shared" si="307"/>
        <v>1101</v>
      </c>
      <c r="V116" s="137"/>
      <c r="W116" s="58"/>
      <c r="X116" s="58"/>
      <c r="Y116" s="58"/>
      <c r="Z116" s="58"/>
      <c r="AA116" s="58"/>
      <c r="AB116" s="58"/>
      <c r="AC116" s="58"/>
      <c r="AD116" s="138"/>
      <c r="AF116" s="57">
        <f t="shared" si="255"/>
        <v>16450</v>
      </c>
      <c r="AG116" s="49">
        <v>163.77809999999999</v>
      </c>
      <c r="AH116" s="49">
        <v>40.740900000000003</v>
      </c>
      <c r="AI116" s="49"/>
      <c r="AJ116" s="49"/>
      <c r="AK116" s="49"/>
      <c r="AL116" s="49"/>
      <c r="AM116" s="49"/>
      <c r="AN116" s="49"/>
      <c r="AO116" s="49"/>
      <c r="AP116" s="49"/>
      <c r="AQ116" s="49"/>
      <c r="AR116" s="49"/>
      <c r="AS116" s="49"/>
      <c r="AT116" s="49"/>
      <c r="AU116" s="49"/>
      <c r="AV116" s="49"/>
      <c r="AW116" s="49"/>
      <c r="AX116" s="49">
        <v>2969.0880000000002</v>
      </c>
      <c r="AY116" s="49"/>
      <c r="AZ116" s="49"/>
      <c r="BA116" s="49"/>
      <c r="BB116" s="49"/>
      <c r="BC116" s="49"/>
      <c r="BD116" s="49"/>
      <c r="BE116" s="49"/>
      <c r="BF116" s="49"/>
      <c r="BG116" s="49"/>
      <c r="BH116" s="49"/>
      <c r="BI116" s="49"/>
      <c r="BJ116" s="49"/>
      <c r="BK116" s="49">
        <v>0.78939999999999999</v>
      </c>
      <c r="BL116" s="49"/>
      <c r="BM116" s="49"/>
      <c r="BN116" s="49"/>
      <c r="BO116" s="49"/>
      <c r="BP116" s="49"/>
      <c r="BQ116" s="49"/>
      <c r="BR116" s="49"/>
      <c r="BS116" s="49"/>
      <c r="BT116" s="49"/>
      <c r="BU116" s="49"/>
      <c r="BV116" s="49"/>
      <c r="BW116" s="49"/>
      <c r="BX116" s="49"/>
      <c r="BY116" s="49"/>
      <c r="BZ116" s="49"/>
      <c r="CA116" s="49"/>
      <c r="CB116" s="49">
        <v>205.29</v>
      </c>
      <c r="CC116" s="231">
        <f t="shared" si="300"/>
        <v>16450</v>
      </c>
    </row>
    <row r="117" spans="2:81" s="3" customFormat="1" ht="15.75" thickBot="1" x14ac:dyDescent="0.3">
      <c r="B117" s="158">
        <v>16500</v>
      </c>
      <c r="C117" s="144">
        <f t="shared" si="252"/>
        <v>154.142</v>
      </c>
      <c r="D117" s="144">
        <f t="shared" si="253"/>
        <v>3003.0738999999999</v>
      </c>
      <c r="E117" s="144">
        <f t="shared" si="156"/>
        <v>0</v>
      </c>
      <c r="F117" s="144">
        <f t="shared" si="254"/>
        <v>0</v>
      </c>
      <c r="G117" s="144">
        <f t="shared" si="205"/>
        <v>0</v>
      </c>
      <c r="H117" s="144">
        <f t="shared" si="206"/>
        <v>0</v>
      </c>
      <c r="I117" s="144">
        <f t="shared" si="207"/>
        <v>0</v>
      </c>
      <c r="J117" s="159">
        <f t="shared" si="208"/>
        <v>0</v>
      </c>
      <c r="K117" s="160">
        <f t="shared" si="209"/>
        <v>220.03</v>
      </c>
      <c r="L117" s="152">
        <f t="shared" si="301"/>
        <v>333</v>
      </c>
      <c r="M117" s="144">
        <f t="shared" si="302"/>
        <v>5530</v>
      </c>
      <c r="N117" s="144"/>
      <c r="O117" s="144">
        <f t="shared" si="256"/>
        <v>1</v>
      </c>
      <c r="P117" s="144">
        <f t="shared" si="303"/>
        <v>0</v>
      </c>
      <c r="Q117" s="144">
        <f t="shared" si="304"/>
        <v>0</v>
      </c>
      <c r="R117" s="144">
        <f t="shared" si="305"/>
        <v>0</v>
      </c>
      <c r="S117" s="144">
        <f t="shared" si="306"/>
        <v>0</v>
      </c>
      <c r="T117" s="144">
        <f t="shared" si="307"/>
        <v>1182</v>
      </c>
      <c r="V117" s="150">
        <f>L115+L116+L117</f>
        <v>1209</v>
      </c>
      <c r="W117" s="150">
        <f t="shared" ref="W117" si="329">M115+M116+M117</f>
        <v>18579</v>
      </c>
      <c r="X117" s="150"/>
      <c r="Y117" s="150">
        <f t="shared" ref="Y117" si="330">O115+O116+O117</f>
        <v>216</v>
      </c>
      <c r="Z117" s="150">
        <f t="shared" ref="Z117" si="331">P115+P116+P117</f>
        <v>0</v>
      </c>
      <c r="AA117" s="150">
        <f t="shared" ref="AA117" si="332">Q115+Q116+Q117</f>
        <v>0</v>
      </c>
      <c r="AB117" s="150">
        <f t="shared" ref="AB117" si="333">R115+R116+R117</f>
        <v>0</v>
      </c>
      <c r="AC117" s="150">
        <f t="shared" ref="AC117" si="334">S115+S116+S117</f>
        <v>0</v>
      </c>
      <c r="AD117" s="150">
        <f t="shared" ref="AD117" si="335">T115+T116+T117</f>
        <v>3402</v>
      </c>
      <c r="AF117" s="158">
        <f t="shared" si="255"/>
        <v>16500</v>
      </c>
      <c r="AG117" s="149">
        <v>136.07990000000001</v>
      </c>
      <c r="AH117" s="149">
        <v>18.062100000000001</v>
      </c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>
        <v>3003.0738999999999</v>
      </c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  <c r="BI117" s="149"/>
      <c r="BJ117" s="149"/>
      <c r="BK117" s="149"/>
      <c r="BL117" s="149"/>
      <c r="BM117" s="149"/>
      <c r="BN117" s="149"/>
      <c r="BO117" s="149"/>
      <c r="BP117" s="149"/>
      <c r="BQ117" s="149"/>
      <c r="BR117" s="149"/>
      <c r="BS117" s="149"/>
      <c r="BT117" s="149"/>
      <c r="BU117" s="149"/>
      <c r="BV117" s="149"/>
      <c r="BW117" s="149"/>
      <c r="BX117" s="149"/>
      <c r="BY117" s="149"/>
      <c r="BZ117" s="149"/>
      <c r="CA117" s="149"/>
      <c r="CB117" s="149">
        <v>220.03</v>
      </c>
      <c r="CC117" s="231">
        <f t="shared" si="300"/>
        <v>16500</v>
      </c>
    </row>
    <row r="118" spans="2:81" x14ac:dyDescent="0.25">
      <c r="B118" s="155">
        <v>16550</v>
      </c>
      <c r="C118" s="147">
        <f t="shared" si="252"/>
        <v>60.0886</v>
      </c>
      <c r="D118" s="147">
        <f t="shared" si="253"/>
        <v>3240.0183000000002</v>
      </c>
      <c r="E118" s="147">
        <f t="shared" si="156"/>
        <v>0</v>
      </c>
      <c r="F118" s="147">
        <f t="shared" si="254"/>
        <v>0</v>
      </c>
      <c r="G118" s="147">
        <f t="shared" si="205"/>
        <v>0</v>
      </c>
      <c r="H118" s="147">
        <f t="shared" si="206"/>
        <v>0</v>
      </c>
      <c r="I118" s="147">
        <f t="shared" si="207"/>
        <v>0</v>
      </c>
      <c r="J118" s="156">
        <f t="shared" si="208"/>
        <v>0</v>
      </c>
      <c r="K118" s="157">
        <f t="shared" si="209"/>
        <v>225.03</v>
      </c>
      <c r="L118" s="151">
        <f t="shared" si="301"/>
        <v>199</v>
      </c>
      <c r="M118" s="147">
        <f t="shared" si="302"/>
        <v>5781</v>
      </c>
      <c r="N118" s="147"/>
      <c r="O118" s="147">
        <f t="shared" si="256"/>
        <v>0</v>
      </c>
      <c r="P118" s="147">
        <f t="shared" si="303"/>
        <v>0</v>
      </c>
      <c r="Q118" s="147">
        <f t="shared" si="304"/>
        <v>0</v>
      </c>
      <c r="R118" s="147">
        <f t="shared" si="305"/>
        <v>0</v>
      </c>
      <c r="S118" s="147">
        <f t="shared" si="306"/>
        <v>0</v>
      </c>
      <c r="T118" s="147">
        <f t="shared" si="307"/>
        <v>1237</v>
      </c>
      <c r="V118" s="146"/>
      <c r="W118" s="147"/>
      <c r="X118" s="147"/>
      <c r="Y118" s="147"/>
      <c r="Z118" s="147"/>
      <c r="AA118" s="147"/>
      <c r="AB118" s="147"/>
      <c r="AC118" s="147"/>
      <c r="AD118" s="148"/>
      <c r="AF118" s="155">
        <f t="shared" si="255"/>
        <v>16550</v>
      </c>
      <c r="AG118" s="78">
        <v>35.544199999999996</v>
      </c>
      <c r="AH118" s="78">
        <v>24.5444</v>
      </c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>
        <v>3240.0183000000002</v>
      </c>
      <c r="AY118" s="78"/>
      <c r="AZ118" s="78"/>
      <c r="BA118" s="78"/>
      <c r="BB118" s="78"/>
      <c r="BC118" s="78"/>
      <c r="BD118" s="78"/>
      <c r="BE118" s="78"/>
      <c r="BF118" s="78"/>
      <c r="BG118" s="78"/>
      <c r="BH118" s="78"/>
      <c r="BI118" s="78"/>
      <c r="BJ118" s="78"/>
      <c r="BK118" s="78"/>
      <c r="BL118" s="78"/>
      <c r="BM118" s="78"/>
      <c r="BN118" s="78"/>
      <c r="BO118" s="78"/>
      <c r="BP118" s="78"/>
      <c r="BQ118" s="78"/>
      <c r="BR118" s="78"/>
      <c r="BS118" s="78"/>
      <c r="BT118" s="78"/>
      <c r="BU118" s="78"/>
      <c r="BV118" s="78"/>
      <c r="BW118" s="78"/>
      <c r="BX118" s="78"/>
      <c r="BY118" s="78"/>
      <c r="BZ118" s="78"/>
      <c r="CA118" s="78"/>
      <c r="CB118" s="78">
        <v>225.03</v>
      </c>
      <c r="CC118" s="231">
        <f t="shared" si="300"/>
        <v>16550</v>
      </c>
    </row>
    <row r="119" spans="2:81" x14ac:dyDescent="0.25">
      <c r="B119" s="57">
        <v>16600</v>
      </c>
      <c r="C119" s="58">
        <f t="shared" si="252"/>
        <v>57.575900000000004</v>
      </c>
      <c r="D119" s="58">
        <f t="shared" si="253"/>
        <v>3444.0482999999999</v>
      </c>
      <c r="E119" s="58">
        <f t="shared" ref="E119:E182" si="336">BH119+BJ119+BI119</f>
        <v>0</v>
      </c>
      <c r="F119" s="58">
        <f t="shared" si="254"/>
        <v>0</v>
      </c>
      <c r="G119" s="58">
        <f t="shared" si="205"/>
        <v>0</v>
      </c>
      <c r="H119" s="58">
        <f t="shared" si="206"/>
        <v>0</v>
      </c>
      <c r="I119" s="58">
        <f t="shared" si="207"/>
        <v>0</v>
      </c>
      <c r="J119" s="51">
        <f t="shared" si="208"/>
        <v>0</v>
      </c>
      <c r="K119" s="99">
        <f t="shared" si="209"/>
        <v>228.8</v>
      </c>
      <c r="L119" s="105">
        <f t="shared" si="301"/>
        <v>109</v>
      </c>
      <c r="M119" s="58">
        <f t="shared" si="302"/>
        <v>6189</v>
      </c>
      <c r="N119" s="58"/>
      <c r="O119" s="58">
        <f t="shared" si="256"/>
        <v>0</v>
      </c>
      <c r="P119" s="58">
        <f t="shared" si="303"/>
        <v>0</v>
      </c>
      <c r="Q119" s="58">
        <f t="shared" si="304"/>
        <v>0</v>
      </c>
      <c r="R119" s="58">
        <f t="shared" si="305"/>
        <v>0</v>
      </c>
      <c r="S119" s="58">
        <f t="shared" si="306"/>
        <v>0</v>
      </c>
      <c r="T119" s="58">
        <f t="shared" si="307"/>
        <v>1261</v>
      </c>
      <c r="V119" s="137"/>
      <c r="W119" s="58"/>
      <c r="X119" s="58"/>
      <c r="Y119" s="58"/>
      <c r="Z119" s="58"/>
      <c r="AA119" s="58"/>
      <c r="AB119" s="58"/>
      <c r="AC119" s="58"/>
      <c r="AD119" s="138"/>
      <c r="AF119" s="57">
        <f t="shared" si="255"/>
        <v>16600</v>
      </c>
      <c r="AG119" s="49">
        <v>11.633900000000001</v>
      </c>
      <c r="AH119" s="49">
        <v>45.942</v>
      </c>
      <c r="AI119" s="49"/>
      <c r="AJ119" s="49"/>
      <c r="AK119" s="49"/>
      <c r="AL119" s="49"/>
      <c r="AM119" s="49"/>
      <c r="AN119" s="49"/>
      <c r="AO119" s="49"/>
      <c r="AP119" s="49"/>
      <c r="AQ119" s="49"/>
      <c r="AR119" s="49"/>
      <c r="AS119" s="49"/>
      <c r="AT119" s="49"/>
      <c r="AU119" s="49"/>
      <c r="AV119" s="49"/>
      <c r="AW119" s="49"/>
      <c r="AX119" s="49">
        <v>3444.0482999999999</v>
      </c>
      <c r="AY119" s="49"/>
      <c r="AZ119" s="49"/>
      <c r="BA119" s="49"/>
      <c r="BB119" s="49"/>
      <c r="BC119" s="49"/>
      <c r="BD119" s="49"/>
      <c r="BE119" s="49"/>
      <c r="BF119" s="49"/>
      <c r="BG119" s="49"/>
      <c r="BH119" s="49"/>
      <c r="BI119" s="49"/>
      <c r="BJ119" s="49"/>
      <c r="BK119" s="49"/>
      <c r="BL119" s="49"/>
      <c r="BM119" s="49"/>
      <c r="BN119" s="49"/>
      <c r="BO119" s="49"/>
      <c r="BP119" s="49"/>
      <c r="BQ119" s="49"/>
      <c r="BR119" s="49"/>
      <c r="BS119" s="49"/>
      <c r="BT119" s="49"/>
      <c r="BU119" s="49"/>
      <c r="BV119" s="49"/>
      <c r="BW119" s="49"/>
      <c r="BX119" s="49"/>
      <c r="BY119" s="49"/>
      <c r="BZ119" s="49"/>
      <c r="CA119" s="49"/>
      <c r="CB119" s="49">
        <v>228.8</v>
      </c>
      <c r="CC119" s="231">
        <f t="shared" si="300"/>
        <v>16600</v>
      </c>
    </row>
    <row r="120" spans="2:81" s="3" customFormat="1" ht="15.75" thickBot="1" x14ac:dyDescent="0.3">
      <c r="B120" s="158">
        <v>16650</v>
      </c>
      <c r="C120" s="144">
        <f t="shared" si="252"/>
        <v>56.811999999999998</v>
      </c>
      <c r="D120" s="144">
        <f t="shared" si="253"/>
        <v>3288.1743000000001</v>
      </c>
      <c r="E120" s="144">
        <f t="shared" si="336"/>
        <v>0</v>
      </c>
      <c r="F120" s="144">
        <f t="shared" si="254"/>
        <v>0</v>
      </c>
      <c r="G120" s="144">
        <f t="shared" si="205"/>
        <v>0</v>
      </c>
      <c r="H120" s="144">
        <f t="shared" si="206"/>
        <v>0</v>
      </c>
      <c r="I120" s="144">
        <f t="shared" si="207"/>
        <v>0</v>
      </c>
      <c r="J120" s="159">
        <f t="shared" si="208"/>
        <v>0</v>
      </c>
      <c r="K120" s="160">
        <f t="shared" si="209"/>
        <v>224.24</v>
      </c>
      <c r="L120" s="152">
        <f t="shared" si="301"/>
        <v>106</v>
      </c>
      <c r="M120" s="144">
        <f t="shared" si="302"/>
        <v>6234</v>
      </c>
      <c r="N120" s="144"/>
      <c r="O120" s="144">
        <f t="shared" si="256"/>
        <v>0</v>
      </c>
      <c r="P120" s="144">
        <f t="shared" si="303"/>
        <v>0</v>
      </c>
      <c r="Q120" s="144">
        <f t="shared" si="304"/>
        <v>0</v>
      </c>
      <c r="R120" s="144">
        <f t="shared" si="305"/>
        <v>0</v>
      </c>
      <c r="S120" s="144">
        <f t="shared" si="306"/>
        <v>0</v>
      </c>
      <c r="T120" s="144">
        <f t="shared" si="307"/>
        <v>1259</v>
      </c>
      <c r="V120" s="150">
        <f>L118+L119+L120</f>
        <v>414</v>
      </c>
      <c r="W120" s="150">
        <f t="shared" ref="W120" si="337">M118+M119+M120</f>
        <v>18204</v>
      </c>
      <c r="X120" s="150"/>
      <c r="Y120" s="150">
        <f t="shared" ref="Y120" si="338">O118+O119+O120</f>
        <v>0</v>
      </c>
      <c r="Z120" s="150">
        <f t="shared" ref="Z120" si="339">P118+P119+P120</f>
        <v>0</v>
      </c>
      <c r="AA120" s="150">
        <f t="shared" ref="AA120" si="340">Q118+Q119+Q120</f>
        <v>0</v>
      </c>
      <c r="AB120" s="150">
        <f t="shared" ref="AB120" si="341">R118+R119+R120</f>
        <v>0</v>
      </c>
      <c r="AC120" s="150">
        <f t="shared" ref="AC120" si="342">S118+S119+S120</f>
        <v>0</v>
      </c>
      <c r="AD120" s="150">
        <f t="shared" ref="AD120" si="343">T118+T119+T120</f>
        <v>3757</v>
      </c>
      <c r="AF120" s="158">
        <f t="shared" si="255"/>
        <v>16650</v>
      </c>
      <c r="AG120" s="149">
        <v>23.6568</v>
      </c>
      <c r="AH120" s="149">
        <v>33.155200000000001</v>
      </c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>
        <v>3288.1743000000001</v>
      </c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  <c r="BI120" s="149"/>
      <c r="BJ120" s="149"/>
      <c r="BK120" s="149"/>
      <c r="BL120" s="149"/>
      <c r="BM120" s="149"/>
      <c r="BN120" s="149"/>
      <c r="BO120" s="149"/>
      <c r="BP120" s="149"/>
      <c r="BQ120" s="149"/>
      <c r="BR120" s="149"/>
      <c r="BS120" s="149"/>
      <c r="BT120" s="149"/>
      <c r="BU120" s="149"/>
      <c r="BV120" s="149"/>
      <c r="BW120" s="149"/>
      <c r="BX120" s="149"/>
      <c r="BY120" s="149"/>
      <c r="BZ120" s="149"/>
      <c r="CA120" s="149"/>
      <c r="CB120" s="149">
        <v>224.24</v>
      </c>
      <c r="CC120" s="231">
        <f t="shared" si="300"/>
        <v>16650</v>
      </c>
    </row>
    <row r="121" spans="2:81" x14ac:dyDescent="0.25">
      <c r="B121" s="155">
        <v>16700</v>
      </c>
      <c r="C121" s="147">
        <f t="shared" si="252"/>
        <v>11.6046</v>
      </c>
      <c r="D121" s="147">
        <f t="shared" si="253"/>
        <v>3736.2494999999999</v>
      </c>
      <c r="E121" s="147">
        <f t="shared" si="336"/>
        <v>0</v>
      </c>
      <c r="F121" s="147">
        <f t="shared" si="254"/>
        <v>0</v>
      </c>
      <c r="G121" s="147">
        <f t="shared" si="205"/>
        <v>0</v>
      </c>
      <c r="H121" s="147">
        <f t="shared" si="206"/>
        <v>0</v>
      </c>
      <c r="I121" s="147">
        <f t="shared" si="207"/>
        <v>0</v>
      </c>
      <c r="J121" s="156">
        <f t="shared" si="208"/>
        <v>0</v>
      </c>
      <c r="K121" s="157">
        <f t="shared" si="209"/>
        <v>214.01</v>
      </c>
      <c r="L121" s="151">
        <f t="shared" si="301"/>
        <v>64</v>
      </c>
      <c r="M121" s="147">
        <f t="shared" si="302"/>
        <v>6505</v>
      </c>
      <c r="N121" s="147"/>
      <c r="O121" s="147">
        <f t="shared" si="256"/>
        <v>0</v>
      </c>
      <c r="P121" s="147">
        <f t="shared" si="303"/>
        <v>0</v>
      </c>
      <c r="Q121" s="147">
        <f t="shared" si="304"/>
        <v>0</v>
      </c>
      <c r="R121" s="147">
        <f t="shared" si="305"/>
        <v>0</v>
      </c>
      <c r="S121" s="147">
        <f t="shared" si="306"/>
        <v>0</v>
      </c>
      <c r="T121" s="147">
        <f t="shared" si="307"/>
        <v>1218</v>
      </c>
      <c r="V121" s="146"/>
      <c r="W121" s="147"/>
      <c r="X121" s="147"/>
      <c r="Y121" s="147"/>
      <c r="Z121" s="147"/>
      <c r="AA121" s="147"/>
      <c r="AB121" s="147"/>
      <c r="AC121" s="147"/>
      <c r="AD121" s="148"/>
      <c r="AF121" s="155">
        <f t="shared" si="255"/>
        <v>16700</v>
      </c>
      <c r="AG121" s="78">
        <v>11.6046</v>
      </c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78">
        <v>3736.2494999999999</v>
      </c>
      <c r="AY121" s="78"/>
      <c r="AZ121" s="78"/>
      <c r="BA121" s="78"/>
      <c r="BB121" s="78"/>
      <c r="BC121" s="78"/>
      <c r="BD121" s="78"/>
      <c r="BE121" s="78"/>
      <c r="BF121" s="78"/>
      <c r="BG121" s="78"/>
      <c r="BH121" s="78"/>
      <c r="BI121" s="78"/>
      <c r="BJ121" s="78"/>
      <c r="BK121" s="78"/>
      <c r="BL121" s="78"/>
      <c r="BM121" s="78"/>
      <c r="BN121" s="78"/>
      <c r="BO121" s="78"/>
      <c r="BP121" s="78"/>
      <c r="BQ121" s="78"/>
      <c r="BR121" s="78"/>
      <c r="BS121" s="78"/>
      <c r="BT121" s="78"/>
      <c r="BU121" s="78"/>
      <c r="BV121" s="78"/>
      <c r="BW121" s="78"/>
      <c r="BX121" s="78"/>
      <c r="BY121" s="78"/>
      <c r="BZ121" s="78"/>
      <c r="CA121" s="78"/>
      <c r="CB121" s="78">
        <v>214.01</v>
      </c>
      <c r="CC121" s="231">
        <f t="shared" si="300"/>
        <v>16700</v>
      </c>
    </row>
    <row r="122" spans="2:81" x14ac:dyDescent="0.25">
      <c r="B122" s="57">
        <v>16750</v>
      </c>
      <c r="C122" s="58">
        <f t="shared" si="252"/>
        <v>21.732800000000001</v>
      </c>
      <c r="D122" s="58">
        <f t="shared" si="253"/>
        <v>3998.8568</v>
      </c>
      <c r="E122" s="58">
        <f t="shared" si="336"/>
        <v>0</v>
      </c>
      <c r="F122" s="58">
        <f t="shared" si="254"/>
        <v>0</v>
      </c>
      <c r="G122" s="58">
        <f t="shared" si="205"/>
        <v>0</v>
      </c>
      <c r="H122" s="58">
        <f t="shared" si="206"/>
        <v>0</v>
      </c>
      <c r="I122" s="58">
        <f t="shared" si="207"/>
        <v>0</v>
      </c>
      <c r="J122" s="51">
        <f t="shared" si="208"/>
        <v>0</v>
      </c>
      <c r="K122" s="99">
        <f t="shared" si="209"/>
        <v>211.35</v>
      </c>
      <c r="L122" s="105">
        <f t="shared" si="301"/>
        <v>31</v>
      </c>
      <c r="M122" s="58">
        <f t="shared" si="302"/>
        <v>7163</v>
      </c>
      <c r="N122" s="58"/>
      <c r="O122" s="58">
        <f t="shared" si="256"/>
        <v>0</v>
      </c>
      <c r="P122" s="58">
        <f t="shared" si="303"/>
        <v>0</v>
      </c>
      <c r="Q122" s="58">
        <f t="shared" si="304"/>
        <v>0</v>
      </c>
      <c r="R122" s="58">
        <f t="shared" si="305"/>
        <v>0</v>
      </c>
      <c r="S122" s="58">
        <f t="shared" si="306"/>
        <v>0</v>
      </c>
      <c r="T122" s="58">
        <f t="shared" si="307"/>
        <v>1182</v>
      </c>
      <c r="V122" s="137"/>
      <c r="W122" s="58"/>
      <c r="X122" s="58"/>
      <c r="Y122" s="58"/>
      <c r="Z122" s="58"/>
      <c r="AA122" s="58"/>
      <c r="AB122" s="58"/>
      <c r="AC122" s="58"/>
      <c r="AD122" s="138"/>
      <c r="AF122" s="57">
        <f t="shared" si="255"/>
        <v>16750</v>
      </c>
      <c r="AG122" s="49">
        <v>21.732800000000001</v>
      </c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49"/>
      <c r="AU122" s="49"/>
      <c r="AV122" s="49"/>
      <c r="AW122" s="49"/>
      <c r="AX122" s="49">
        <v>3998.8568</v>
      </c>
      <c r="AY122" s="49"/>
      <c r="AZ122" s="49"/>
      <c r="BA122" s="49"/>
      <c r="BB122" s="49"/>
      <c r="BC122" s="49"/>
      <c r="BD122" s="49"/>
      <c r="BE122" s="49"/>
      <c r="BF122" s="49"/>
      <c r="BG122" s="49"/>
      <c r="BH122" s="49"/>
      <c r="BI122" s="49"/>
      <c r="BJ122" s="49"/>
      <c r="BK122" s="49"/>
      <c r="BL122" s="49"/>
      <c r="BM122" s="49"/>
      <c r="BN122" s="49"/>
      <c r="BO122" s="49"/>
      <c r="BP122" s="49"/>
      <c r="BQ122" s="49"/>
      <c r="BR122" s="49"/>
      <c r="BS122" s="49"/>
      <c r="BT122" s="49"/>
      <c r="BU122" s="49"/>
      <c r="BV122" s="49"/>
      <c r="BW122" s="49"/>
      <c r="BX122" s="49"/>
      <c r="BY122" s="49"/>
      <c r="BZ122" s="49"/>
      <c r="CA122" s="49"/>
      <c r="CB122" s="49">
        <v>211.35</v>
      </c>
      <c r="CC122" s="231">
        <f t="shared" si="300"/>
        <v>16750</v>
      </c>
    </row>
    <row r="123" spans="2:81" s="3" customFormat="1" ht="15.75" thickBot="1" x14ac:dyDescent="0.3">
      <c r="B123" s="158">
        <v>16800</v>
      </c>
      <c r="C123" s="144">
        <f t="shared" si="252"/>
        <v>36.424500000000002</v>
      </c>
      <c r="D123" s="144">
        <f t="shared" si="253"/>
        <v>3870.9283</v>
      </c>
      <c r="E123" s="144">
        <f t="shared" si="336"/>
        <v>0</v>
      </c>
      <c r="F123" s="144">
        <f t="shared" si="254"/>
        <v>0</v>
      </c>
      <c r="G123" s="144">
        <f t="shared" si="205"/>
        <v>0</v>
      </c>
      <c r="H123" s="144">
        <f t="shared" si="206"/>
        <v>0</v>
      </c>
      <c r="I123" s="144">
        <f t="shared" si="207"/>
        <v>0</v>
      </c>
      <c r="J123" s="159">
        <f t="shared" si="208"/>
        <v>0</v>
      </c>
      <c r="K123" s="160">
        <f t="shared" si="209"/>
        <v>214.77</v>
      </c>
      <c r="L123" s="152">
        <f t="shared" si="301"/>
        <v>54</v>
      </c>
      <c r="M123" s="144">
        <f t="shared" si="302"/>
        <v>7287</v>
      </c>
      <c r="N123" s="144"/>
      <c r="O123" s="144">
        <f t="shared" si="256"/>
        <v>0</v>
      </c>
      <c r="P123" s="144">
        <f t="shared" si="303"/>
        <v>0</v>
      </c>
      <c r="Q123" s="144">
        <f t="shared" si="304"/>
        <v>0</v>
      </c>
      <c r="R123" s="144">
        <f t="shared" si="305"/>
        <v>0</v>
      </c>
      <c r="S123" s="144">
        <f t="shared" si="306"/>
        <v>0</v>
      </c>
      <c r="T123" s="144">
        <f t="shared" si="307"/>
        <v>1184</v>
      </c>
      <c r="V123" s="150">
        <f>L121+L122+L123</f>
        <v>149</v>
      </c>
      <c r="W123" s="150">
        <f t="shared" ref="W123" si="344">M121+M122+M123</f>
        <v>20955</v>
      </c>
      <c r="X123" s="150"/>
      <c r="Y123" s="150">
        <f t="shared" ref="Y123" si="345">O121+O122+O123</f>
        <v>0</v>
      </c>
      <c r="Z123" s="150">
        <f t="shared" ref="Z123" si="346">P121+P122+P123</f>
        <v>0</v>
      </c>
      <c r="AA123" s="150">
        <f t="shared" ref="AA123" si="347">Q121+Q122+Q123</f>
        <v>0</v>
      </c>
      <c r="AB123" s="150">
        <f t="shared" ref="AB123" si="348">R121+R122+R123</f>
        <v>0</v>
      </c>
      <c r="AC123" s="150">
        <f t="shared" ref="AC123" si="349">S121+S122+S123</f>
        <v>0</v>
      </c>
      <c r="AD123" s="150">
        <f t="shared" ref="AD123" si="350">T121+T122+T123</f>
        <v>3584</v>
      </c>
      <c r="AF123" s="158">
        <f t="shared" si="255"/>
        <v>16800</v>
      </c>
      <c r="AG123" s="149">
        <v>36.424500000000002</v>
      </c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>
        <v>3870.9283</v>
      </c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  <c r="BI123" s="149"/>
      <c r="BJ123" s="149"/>
      <c r="BK123" s="149"/>
      <c r="BL123" s="149"/>
      <c r="BM123" s="149"/>
      <c r="BN123" s="149"/>
      <c r="BO123" s="149"/>
      <c r="BP123" s="149"/>
      <c r="BQ123" s="149"/>
      <c r="BR123" s="149"/>
      <c r="BS123" s="149"/>
      <c r="BT123" s="149"/>
      <c r="BU123" s="149"/>
      <c r="BV123" s="149"/>
      <c r="BW123" s="149"/>
      <c r="BX123" s="149"/>
      <c r="BY123" s="149"/>
      <c r="BZ123" s="149"/>
      <c r="CA123" s="149"/>
      <c r="CB123" s="149">
        <v>214.77</v>
      </c>
      <c r="CC123" s="231">
        <f t="shared" si="300"/>
        <v>16800</v>
      </c>
    </row>
    <row r="124" spans="2:81" x14ac:dyDescent="0.25">
      <c r="B124" s="155">
        <v>16850</v>
      </c>
      <c r="C124" s="147">
        <f t="shared" si="252"/>
        <v>56.008099999999999</v>
      </c>
      <c r="D124" s="147">
        <f t="shared" si="253"/>
        <v>3820.6945000000001</v>
      </c>
      <c r="E124" s="147">
        <f t="shared" si="336"/>
        <v>0</v>
      </c>
      <c r="F124" s="147">
        <f t="shared" si="254"/>
        <v>0</v>
      </c>
      <c r="G124" s="147">
        <f t="shared" si="205"/>
        <v>0</v>
      </c>
      <c r="H124" s="147">
        <f t="shared" si="206"/>
        <v>0</v>
      </c>
      <c r="I124" s="147">
        <f t="shared" si="207"/>
        <v>0</v>
      </c>
      <c r="J124" s="156">
        <f t="shared" si="208"/>
        <v>0</v>
      </c>
      <c r="K124" s="157">
        <f t="shared" si="209"/>
        <v>225.6</v>
      </c>
      <c r="L124" s="151">
        <f t="shared" si="301"/>
        <v>86</v>
      </c>
      <c r="M124" s="147">
        <f t="shared" si="302"/>
        <v>7122</v>
      </c>
      <c r="N124" s="147"/>
      <c r="O124" s="147">
        <f t="shared" si="256"/>
        <v>0</v>
      </c>
      <c r="P124" s="147">
        <f t="shared" si="303"/>
        <v>0</v>
      </c>
      <c r="Q124" s="147">
        <f t="shared" si="304"/>
        <v>0</v>
      </c>
      <c r="R124" s="147">
        <f t="shared" si="305"/>
        <v>0</v>
      </c>
      <c r="S124" s="147">
        <f t="shared" si="306"/>
        <v>0</v>
      </c>
      <c r="T124" s="147">
        <f t="shared" si="307"/>
        <v>1224</v>
      </c>
      <c r="V124" s="146"/>
      <c r="W124" s="147"/>
      <c r="X124" s="147"/>
      <c r="Y124" s="147"/>
      <c r="Z124" s="147"/>
      <c r="AA124" s="147"/>
      <c r="AB124" s="147"/>
      <c r="AC124" s="147"/>
      <c r="AD124" s="148"/>
      <c r="AF124" s="155">
        <f t="shared" si="255"/>
        <v>16850</v>
      </c>
      <c r="AG124" s="78">
        <v>56.008099999999999</v>
      </c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78">
        <v>3820.6945000000001</v>
      </c>
      <c r="AY124" s="78"/>
      <c r="AZ124" s="78"/>
      <c r="BA124" s="78"/>
      <c r="BB124" s="78"/>
      <c r="BC124" s="78"/>
      <c r="BD124" s="78"/>
      <c r="BE124" s="78"/>
      <c r="BF124" s="78"/>
      <c r="BG124" s="78"/>
      <c r="BH124" s="78"/>
      <c r="BI124" s="78"/>
      <c r="BJ124" s="78"/>
      <c r="BK124" s="78"/>
      <c r="BL124" s="78"/>
      <c r="BM124" s="78"/>
      <c r="BN124" s="78"/>
      <c r="BO124" s="78"/>
      <c r="BP124" s="78"/>
      <c r="BQ124" s="78"/>
      <c r="BR124" s="78"/>
      <c r="BS124" s="78"/>
      <c r="BT124" s="78"/>
      <c r="BU124" s="78"/>
      <c r="BV124" s="78"/>
      <c r="BW124" s="78"/>
      <c r="BX124" s="78"/>
      <c r="BY124" s="78"/>
      <c r="BZ124" s="78"/>
      <c r="CA124" s="78"/>
      <c r="CB124" s="78">
        <v>225.6</v>
      </c>
      <c r="CC124" s="231">
        <f t="shared" si="300"/>
        <v>16850</v>
      </c>
    </row>
    <row r="125" spans="2:81" x14ac:dyDescent="0.25">
      <c r="B125" s="57">
        <v>16900</v>
      </c>
      <c r="C125" s="58">
        <f t="shared" si="252"/>
        <v>71.759799999999998</v>
      </c>
      <c r="D125" s="58">
        <f t="shared" si="253"/>
        <v>3600.6597000000002</v>
      </c>
      <c r="E125" s="58">
        <f t="shared" si="336"/>
        <v>0</v>
      </c>
      <c r="F125" s="58">
        <f t="shared" si="254"/>
        <v>0</v>
      </c>
      <c r="G125" s="58">
        <f t="shared" si="205"/>
        <v>0</v>
      </c>
      <c r="H125" s="58">
        <f t="shared" si="206"/>
        <v>0</v>
      </c>
      <c r="I125" s="58">
        <f t="shared" si="207"/>
        <v>0</v>
      </c>
      <c r="J125" s="51">
        <f t="shared" si="208"/>
        <v>0</v>
      </c>
      <c r="K125" s="99">
        <f t="shared" si="209"/>
        <v>234.09</v>
      </c>
      <c r="L125" s="105">
        <f t="shared" si="301"/>
        <v>119</v>
      </c>
      <c r="M125" s="58">
        <f t="shared" si="302"/>
        <v>6872</v>
      </c>
      <c r="N125" s="58"/>
      <c r="O125" s="58">
        <f t="shared" si="256"/>
        <v>0</v>
      </c>
      <c r="P125" s="58">
        <f t="shared" si="303"/>
        <v>0</v>
      </c>
      <c r="Q125" s="58">
        <f t="shared" si="304"/>
        <v>0</v>
      </c>
      <c r="R125" s="58">
        <f t="shared" si="305"/>
        <v>0</v>
      </c>
      <c r="S125" s="58">
        <f t="shared" si="306"/>
        <v>0</v>
      </c>
      <c r="T125" s="58">
        <f t="shared" si="307"/>
        <v>1277</v>
      </c>
      <c r="V125" s="137"/>
      <c r="W125" s="58"/>
      <c r="X125" s="58"/>
      <c r="Y125" s="58"/>
      <c r="Z125" s="58"/>
      <c r="AA125" s="58"/>
      <c r="AB125" s="58"/>
      <c r="AC125" s="58"/>
      <c r="AD125" s="138"/>
      <c r="AF125" s="57">
        <f t="shared" si="255"/>
        <v>16900</v>
      </c>
      <c r="AG125" s="49">
        <v>71.759799999999998</v>
      </c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>
        <v>3600.6597000000002</v>
      </c>
      <c r="AY125" s="49"/>
      <c r="AZ125" s="49"/>
      <c r="BA125" s="49"/>
      <c r="BB125" s="49"/>
      <c r="BC125" s="49"/>
      <c r="BD125" s="49"/>
      <c r="BE125" s="49"/>
      <c r="BF125" s="49"/>
      <c r="BG125" s="49"/>
      <c r="BH125" s="49"/>
      <c r="BI125" s="49"/>
      <c r="BJ125" s="49"/>
      <c r="BK125" s="49"/>
      <c r="BL125" s="49"/>
      <c r="BM125" s="49"/>
      <c r="BN125" s="49"/>
      <c r="BO125" s="49"/>
      <c r="BP125" s="49"/>
      <c r="BQ125" s="49"/>
      <c r="BR125" s="49"/>
      <c r="BS125" s="49"/>
      <c r="BT125" s="49"/>
      <c r="BU125" s="49"/>
      <c r="BV125" s="49"/>
      <c r="BW125" s="49"/>
      <c r="BX125" s="49"/>
      <c r="BY125" s="49"/>
      <c r="BZ125" s="49"/>
      <c r="CA125" s="49"/>
      <c r="CB125" s="49">
        <v>234.09</v>
      </c>
      <c r="CC125" s="231">
        <f t="shared" si="300"/>
        <v>16900</v>
      </c>
    </row>
    <row r="126" spans="2:81" s="3" customFormat="1" ht="15.75" thickBot="1" x14ac:dyDescent="0.3">
      <c r="B126" s="158">
        <v>16950</v>
      </c>
      <c r="C126" s="144">
        <f t="shared" si="252"/>
        <v>10.9954</v>
      </c>
      <c r="D126" s="144">
        <f t="shared" si="253"/>
        <v>3341.5167999999999</v>
      </c>
      <c r="E126" s="144">
        <f t="shared" si="336"/>
        <v>0</v>
      </c>
      <c r="F126" s="144">
        <f t="shared" si="254"/>
        <v>0</v>
      </c>
      <c r="G126" s="144">
        <f t="shared" si="205"/>
        <v>0</v>
      </c>
      <c r="H126" s="144">
        <f t="shared" si="206"/>
        <v>0</v>
      </c>
      <c r="I126" s="144">
        <f t="shared" si="207"/>
        <v>0</v>
      </c>
      <c r="J126" s="159">
        <f t="shared" si="208"/>
        <v>0</v>
      </c>
      <c r="K126" s="160">
        <f t="shared" si="209"/>
        <v>222.71</v>
      </c>
      <c r="L126" s="152">
        <f t="shared" si="301"/>
        <v>77</v>
      </c>
      <c r="M126" s="144">
        <f t="shared" si="302"/>
        <v>6428</v>
      </c>
      <c r="N126" s="144"/>
      <c r="O126" s="144">
        <f t="shared" si="256"/>
        <v>0</v>
      </c>
      <c r="P126" s="144">
        <f t="shared" si="303"/>
        <v>0</v>
      </c>
      <c r="Q126" s="144">
        <f t="shared" si="304"/>
        <v>0</v>
      </c>
      <c r="R126" s="144">
        <f t="shared" si="305"/>
        <v>0</v>
      </c>
      <c r="S126" s="144">
        <f t="shared" si="306"/>
        <v>0</v>
      </c>
      <c r="T126" s="144">
        <f t="shared" si="307"/>
        <v>1269</v>
      </c>
      <c r="V126" s="150">
        <f>L124+L125+L126</f>
        <v>282</v>
      </c>
      <c r="W126" s="150">
        <f t="shared" ref="W126" si="351">M124+M125+M126</f>
        <v>20422</v>
      </c>
      <c r="X126" s="150"/>
      <c r="Y126" s="150">
        <f t="shared" ref="Y126" si="352">O124+O125+O126</f>
        <v>0</v>
      </c>
      <c r="Z126" s="150">
        <f t="shared" ref="Z126" si="353">P124+P125+P126</f>
        <v>0</v>
      </c>
      <c r="AA126" s="150">
        <f t="shared" ref="AA126" si="354">Q124+Q125+Q126</f>
        <v>0</v>
      </c>
      <c r="AB126" s="150">
        <f t="shared" ref="AB126" si="355">R124+R125+R126</f>
        <v>0</v>
      </c>
      <c r="AC126" s="150">
        <f t="shared" ref="AC126" si="356">S124+S125+S126</f>
        <v>0</v>
      </c>
      <c r="AD126" s="150">
        <f t="shared" ref="AD126" si="357">T124+T125+T126</f>
        <v>3770</v>
      </c>
      <c r="AF126" s="158">
        <f t="shared" si="255"/>
        <v>16950</v>
      </c>
      <c r="AG126" s="149">
        <v>10.9954</v>
      </c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>
        <v>3341.5167999999999</v>
      </c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  <c r="BI126" s="149"/>
      <c r="BJ126" s="149"/>
      <c r="BK126" s="149"/>
      <c r="BL126" s="149"/>
      <c r="BM126" s="149"/>
      <c r="BN126" s="149"/>
      <c r="BO126" s="149"/>
      <c r="BP126" s="149"/>
      <c r="BQ126" s="149"/>
      <c r="BR126" s="149"/>
      <c r="BS126" s="149"/>
      <c r="BT126" s="149"/>
      <c r="BU126" s="149"/>
      <c r="BV126" s="149"/>
      <c r="BW126" s="149"/>
      <c r="BX126" s="149"/>
      <c r="BY126" s="149"/>
      <c r="BZ126" s="149"/>
      <c r="CA126" s="149"/>
      <c r="CB126" s="149">
        <v>222.71</v>
      </c>
      <c r="CC126" s="231">
        <f t="shared" si="300"/>
        <v>16950</v>
      </c>
    </row>
    <row r="127" spans="2:81" x14ac:dyDescent="0.25">
      <c r="B127" s="155">
        <v>17000</v>
      </c>
      <c r="C127" s="147">
        <f t="shared" si="252"/>
        <v>20.621700000000001</v>
      </c>
      <c r="D127" s="147">
        <f t="shared" si="253"/>
        <v>3283.7060999999999</v>
      </c>
      <c r="E127" s="147">
        <f t="shared" si="336"/>
        <v>0</v>
      </c>
      <c r="F127" s="147">
        <f t="shared" si="254"/>
        <v>0</v>
      </c>
      <c r="G127" s="147">
        <f t="shared" si="205"/>
        <v>0</v>
      </c>
      <c r="H127" s="147">
        <f t="shared" si="206"/>
        <v>0</v>
      </c>
      <c r="I127" s="147">
        <f t="shared" si="207"/>
        <v>0</v>
      </c>
      <c r="J127" s="156">
        <f t="shared" si="208"/>
        <v>0</v>
      </c>
      <c r="K127" s="157">
        <f t="shared" si="209"/>
        <v>234.3</v>
      </c>
      <c r="L127" s="151">
        <f t="shared" si="301"/>
        <v>30</v>
      </c>
      <c r="M127" s="147">
        <f t="shared" si="302"/>
        <v>6135</v>
      </c>
      <c r="N127" s="147"/>
      <c r="O127" s="147">
        <f t="shared" si="256"/>
        <v>0</v>
      </c>
      <c r="P127" s="147">
        <f t="shared" si="303"/>
        <v>0</v>
      </c>
      <c r="Q127" s="147">
        <f t="shared" si="304"/>
        <v>0</v>
      </c>
      <c r="R127" s="147">
        <f t="shared" si="305"/>
        <v>0</v>
      </c>
      <c r="S127" s="147">
        <f t="shared" si="306"/>
        <v>0</v>
      </c>
      <c r="T127" s="147">
        <f t="shared" si="307"/>
        <v>1270</v>
      </c>
      <c r="V127" s="146"/>
      <c r="W127" s="147"/>
      <c r="X127" s="147"/>
      <c r="Y127" s="147"/>
      <c r="Z127" s="147"/>
      <c r="AA127" s="147"/>
      <c r="AB127" s="147"/>
      <c r="AC127" s="147"/>
      <c r="AD127" s="148"/>
      <c r="AF127" s="155">
        <f t="shared" si="255"/>
        <v>17000</v>
      </c>
      <c r="AG127" s="78">
        <v>6.6513</v>
      </c>
      <c r="AH127" s="78">
        <v>13.9704</v>
      </c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78">
        <v>9.3794000000000004</v>
      </c>
      <c r="AY127" s="78">
        <v>3273.5237999999999</v>
      </c>
      <c r="AZ127" s="78">
        <v>0.80289999999999995</v>
      </c>
      <c r="BA127" s="78"/>
      <c r="BB127" s="78"/>
      <c r="BC127" s="78"/>
      <c r="BD127" s="78"/>
      <c r="BE127" s="78"/>
      <c r="BF127" s="78"/>
      <c r="BG127" s="78"/>
      <c r="BH127" s="78"/>
      <c r="BI127" s="78"/>
      <c r="BJ127" s="78"/>
      <c r="BK127" s="78"/>
      <c r="BL127" s="78"/>
      <c r="BM127" s="78"/>
      <c r="BN127" s="78"/>
      <c r="BO127" s="78"/>
      <c r="BP127" s="78"/>
      <c r="BQ127" s="78"/>
      <c r="BR127" s="78"/>
      <c r="BS127" s="78"/>
      <c r="BT127" s="78"/>
      <c r="BU127" s="78"/>
      <c r="BV127" s="78"/>
      <c r="BW127" s="78"/>
      <c r="BX127" s="78"/>
      <c r="BY127" s="78"/>
      <c r="BZ127" s="78"/>
      <c r="CA127" s="78"/>
      <c r="CB127" s="78">
        <v>234.3</v>
      </c>
      <c r="CC127" s="231">
        <f t="shared" si="300"/>
        <v>17000</v>
      </c>
    </row>
    <row r="128" spans="2:81" x14ac:dyDescent="0.25">
      <c r="B128" s="57">
        <v>17050</v>
      </c>
      <c r="C128" s="58">
        <f t="shared" si="252"/>
        <v>101.97980000000001</v>
      </c>
      <c r="D128" s="58">
        <f t="shared" si="253"/>
        <v>3432.0794000000001</v>
      </c>
      <c r="E128" s="58">
        <f t="shared" si="336"/>
        <v>0</v>
      </c>
      <c r="F128" s="58">
        <f t="shared" si="254"/>
        <v>0</v>
      </c>
      <c r="G128" s="58">
        <f t="shared" si="205"/>
        <v>0</v>
      </c>
      <c r="H128" s="58">
        <f t="shared" si="206"/>
        <v>0</v>
      </c>
      <c r="I128" s="58">
        <f t="shared" si="207"/>
        <v>0</v>
      </c>
      <c r="J128" s="51">
        <f t="shared" si="208"/>
        <v>0</v>
      </c>
      <c r="K128" s="99">
        <f t="shared" si="209"/>
        <v>245.29</v>
      </c>
      <c r="L128" s="105">
        <f t="shared" si="301"/>
        <v>114</v>
      </c>
      <c r="M128" s="58">
        <f t="shared" si="302"/>
        <v>6219</v>
      </c>
      <c r="N128" s="58"/>
      <c r="O128" s="58">
        <f t="shared" si="256"/>
        <v>0</v>
      </c>
      <c r="P128" s="58">
        <f t="shared" si="303"/>
        <v>0</v>
      </c>
      <c r="Q128" s="58">
        <f t="shared" si="304"/>
        <v>0</v>
      </c>
      <c r="R128" s="58">
        <f t="shared" si="305"/>
        <v>0</v>
      </c>
      <c r="S128" s="58">
        <f t="shared" si="306"/>
        <v>0</v>
      </c>
      <c r="T128" s="58">
        <f t="shared" si="307"/>
        <v>1333</v>
      </c>
      <c r="V128" s="137"/>
      <c r="W128" s="58"/>
      <c r="X128" s="58"/>
      <c r="Y128" s="58"/>
      <c r="Z128" s="58"/>
      <c r="AA128" s="58"/>
      <c r="AB128" s="58"/>
      <c r="AC128" s="58"/>
      <c r="AD128" s="138"/>
      <c r="AF128" s="57">
        <f t="shared" si="255"/>
        <v>17050</v>
      </c>
      <c r="AG128" s="49">
        <v>16.450500000000002</v>
      </c>
      <c r="AH128" s="49">
        <v>85.529300000000006</v>
      </c>
      <c r="AI128" s="49"/>
      <c r="AJ128" s="49"/>
      <c r="AK128" s="49"/>
      <c r="AL128" s="49"/>
      <c r="AM128" s="49"/>
      <c r="AN128" s="49"/>
      <c r="AO128" s="49"/>
      <c r="AP128" s="49"/>
      <c r="AQ128" s="49"/>
      <c r="AR128" s="49"/>
      <c r="AS128" s="49"/>
      <c r="AT128" s="49"/>
      <c r="AU128" s="49"/>
      <c r="AV128" s="49"/>
      <c r="AW128" s="49"/>
      <c r="AX128" s="49">
        <v>3432.0794000000001</v>
      </c>
      <c r="AY128" s="49"/>
      <c r="AZ128" s="49"/>
      <c r="BA128" s="49"/>
      <c r="BB128" s="49"/>
      <c r="BC128" s="49"/>
      <c r="BD128" s="49"/>
      <c r="BE128" s="49"/>
      <c r="BF128" s="49"/>
      <c r="BG128" s="49"/>
      <c r="BH128" s="49"/>
      <c r="BI128" s="49"/>
      <c r="BJ128" s="49"/>
      <c r="BK128" s="49"/>
      <c r="BL128" s="49"/>
      <c r="BM128" s="49"/>
      <c r="BN128" s="49"/>
      <c r="BO128" s="49"/>
      <c r="BP128" s="49"/>
      <c r="BQ128" s="49"/>
      <c r="BR128" s="49"/>
      <c r="BS128" s="49"/>
      <c r="BT128" s="49"/>
      <c r="BU128" s="49"/>
      <c r="BV128" s="49"/>
      <c r="BW128" s="49"/>
      <c r="BX128" s="49"/>
      <c r="BY128" s="49"/>
      <c r="BZ128" s="49"/>
      <c r="CA128" s="49"/>
      <c r="CB128" s="49">
        <v>245.29</v>
      </c>
      <c r="CC128" s="231">
        <f t="shared" si="300"/>
        <v>17050</v>
      </c>
    </row>
    <row r="129" spans="2:81" s="3" customFormat="1" ht="15.75" thickBot="1" x14ac:dyDescent="0.3">
      <c r="B129" s="158">
        <v>17100</v>
      </c>
      <c r="C129" s="144">
        <f t="shared" si="252"/>
        <v>28.1325</v>
      </c>
      <c r="D129" s="144">
        <f t="shared" si="253"/>
        <v>3635.9850000000001</v>
      </c>
      <c r="E129" s="144">
        <f t="shared" si="336"/>
        <v>0</v>
      </c>
      <c r="F129" s="144">
        <f t="shared" si="254"/>
        <v>0</v>
      </c>
      <c r="G129" s="144">
        <f t="shared" si="205"/>
        <v>0</v>
      </c>
      <c r="H129" s="144">
        <f t="shared" si="206"/>
        <v>0</v>
      </c>
      <c r="I129" s="144">
        <f t="shared" si="207"/>
        <v>0</v>
      </c>
      <c r="J129" s="159">
        <f t="shared" si="208"/>
        <v>0</v>
      </c>
      <c r="K129" s="160">
        <f t="shared" si="209"/>
        <v>218.62</v>
      </c>
      <c r="L129" s="152">
        <f t="shared" si="301"/>
        <v>121</v>
      </c>
      <c r="M129" s="144">
        <f t="shared" si="302"/>
        <v>6545</v>
      </c>
      <c r="N129" s="144"/>
      <c r="O129" s="144">
        <f t="shared" si="256"/>
        <v>0</v>
      </c>
      <c r="P129" s="144">
        <f t="shared" si="303"/>
        <v>0</v>
      </c>
      <c r="Q129" s="144">
        <f t="shared" si="304"/>
        <v>0</v>
      </c>
      <c r="R129" s="144">
        <f t="shared" si="305"/>
        <v>0</v>
      </c>
      <c r="S129" s="144">
        <f t="shared" si="306"/>
        <v>0</v>
      </c>
      <c r="T129" s="144">
        <f t="shared" si="307"/>
        <v>1289</v>
      </c>
      <c r="V129" s="150">
        <f>L127+L128+L129</f>
        <v>265</v>
      </c>
      <c r="W129" s="150">
        <f t="shared" ref="W129" si="358">M127+M128+M129</f>
        <v>18899</v>
      </c>
      <c r="X129" s="150"/>
      <c r="Y129" s="150">
        <f t="shared" ref="Y129" si="359">O127+O128+O129</f>
        <v>0</v>
      </c>
      <c r="Z129" s="150">
        <f t="shared" ref="Z129" si="360">P127+P128+P129</f>
        <v>0</v>
      </c>
      <c r="AA129" s="150">
        <f t="shared" ref="AA129" si="361">Q127+Q128+Q129</f>
        <v>0</v>
      </c>
      <c r="AB129" s="150">
        <f t="shared" ref="AB129" si="362">R127+R128+R129</f>
        <v>0</v>
      </c>
      <c r="AC129" s="150">
        <f t="shared" ref="AC129" si="363">S127+S128+S129</f>
        <v>0</v>
      </c>
      <c r="AD129" s="150">
        <f t="shared" ref="AD129" si="364">T127+T128+T129</f>
        <v>3892</v>
      </c>
      <c r="AF129" s="158">
        <f t="shared" si="255"/>
        <v>17100</v>
      </c>
      <c r="AG129" s="149">
        <v>28.1325</v>
      </c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>
        <v>3635.9850000000001</v>
      </c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  <c r="BI129" s="149"/>
      <c r="BJ129" s="149"/>
      <c r="BK129" s="149"/>
      <c r="BL129" s="149"/>
      <c r="BM129" s="149"/>
      <c r="BN129" s="149"/>
      <c r="BO129" s="149"/>
      <c r="BP129" s="149"/>
      <c r="BQ129" s="149"/>
      <c r="BR129" s="149"/>
      <c r="BS129" s="149"/>
      <c r="BT129" s="149"/>
      <c r="BU129" s="149"/>
      <c r="BV129" s="149"/>
      <c r="BW129" s="149"/>
      <c r="BX129" s="149"/>
      <c r="BY129" s="149"/>
      <c r="BZ129" s="149"/>
      <c r="CA129" s="149"/>
      <c r="CB129" s="149">
        <v>218.62</v>
      </c>
      <c r="CC129" s="231">
        <f t="shared" si="300"/>
        <v>17100</v>
      </c>
    </row>
    <row r="130" spans="2:81" x14ac:dyDescent="0.25">
      <c r="B130" s="155">
        <v>17150</v>
      </c>
      <c r="C130" s="147">
        <f t="shared" si="252"/>
        <v>8.1349999999999998</v>
      </c>
      <c r="D130" s="147">
        <f>AX130+AY130+AZ130+BA130+BB130+BC130</f>
        <v>3640.5663</v>
      </c>
      <c r="E130" s="147">
        <f t="shared" si="336"/>
        <v>0</v>
      </c>
      <c r="F130" s="147">
        <f t="shared" si="254"/>
        <v>0</v>
      </c>
      <c r="G130" s="147">
        <f t="shared" si="205"/>
        <v>0</v>
      </c>
      <c r="H130" s="147">
        <f t="shared" si="206"/>
        <v>0</v>
      </c>
      <c r="I130" s="147">
        <f t="shared" si="207"/>
        <v>0</v>
      </c>
      <c r="J130" s="156">
        <f t="shared" si="208"/>
        <v>0</v>
      </c>
      <c r="K130" s="157">
        <f t="shared" si="209"/>
        <v>199.71</v>
      </c>
      <c r="L130" s="151">
        <f t="shared" si="301"/>
        <v>34</v>
      </c>
      <c r="M130" s="147">
        <f t="shared" si="302"/>
        <v>6738</v>
      </c>
      <c r="N130" s="147"/>
      <c r="O130" s="147">
        <f t="shared" si="256"/>
        <v>0</v>
      </c>
      <c r="P130" s="147">
        <f t="shared" si="303"/>
        <v>0</v>
      </c>
      <c r="Q130" s="147">
        <f t="shared" si="304"/>
        <v>0</v>
      </c>
      <c r="R130" s="147">
        <f t="shared" si="305"/>
        <v>0</v>
      </c>
      <c r="S130" s="147">
        <f t="shared" si="306"/>
        <v>0</v>
      </c>
      <c r="T130" s="147">
        <f t="shared" si="307"/>
        <v>1163</v>
      </c>
      <c r="V130" s="146"/>
      <c r="W130" s="147"/>
      <c r="X130" s="147"/>
      <c r="Y130" s="147"/>
      <c r="Z130" s="147"/>
      <c r="AA130" s="147"/>
      <c r="AB130" s="147"/>
      <c r="AC130" s="147"/>
      <c r="AD130" s="148"/>
      <c r="AF130" s="155">
        <f t="shared" si="255"/>
        <v>17150</v>
      </c>
      <c r="AG130" s="78">
        <v>8.1349999999999998</v>
      </c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78">
        <v>3636.8829000000001</v>
      </c>
      <c r="AY130" s="78">
        <v>3.6833999999999998</v>
      </c>
      <c r="AZ130" s="78"/>
      <c r="BA130" s="78"/>
      <c r="BB130" s="78"/>
      <c r="BC130" s="78"/>
      <c r="BD130" s="78"/>
      <c r="BE130" s="78"/>
      <c r="BF130" s="78"/>
      <c r="BG130" s="78"/>
      <c r="BH130" s="78"/>
      <c r="BI130" s="78"/>
      <c r="BJ130" s="78"/>
      <c r="BK130" s="78"/>
      <c r="BL130" s="78"/>
      <c r="BM130" s="78"/>
      <c r="BN130" s="78"/>
      <c r="BO130" s="78"/>
      <c r="BP130" s="78"/>
      <c r="BQ130" s="78"/>
      <c r="BR130" s="78"/>
      <c r="BS130" s="78"/>
      <c r="BT130" s="78"/>
      <c r="BU130" s="78"/>
      <c r="BV130" s="78"/>
      <c r="BW130" s="78"/>
      <c r="BX130" s="78"/>
      <c r="BY130" s="78"/>
      <c r="BZ130" s="78"/>
      <c r="CA130" s="78"/>
      <c r="CB130" s="78">
        <v>199.71</v>
      </c>
      <c r="CC130" s="231">
        <f t="shared" si="300"/>
        <v>17150</v>
      </c>
    </row>
    <row r="131" spans="2:81" x14ac:dyDescent="0.25">
      <c r="B131" s="57">
        <v>17200</v>
      </c>
      <c r="C131" s="58">
        <f t="shared" si="252"/>
        <v>0</v>
      </c>
      <c r="D131" s="58">
        <f t="shared" si="253"/>
        <v>3407.5439000000001</v>
      </c>
      <c r="E131" s="58">
        <f t="shared" si="336"/>
        <v>0</v>
      </c>
      <c r="F131" s="58">
        <f t="shared" si="254"/>
        <v>0</v>
      </c>
      <c r="G131" s="58">
        <f t="shared" si="205"/>
        <v>0</v>
      </c>
      <c r="H131" s="58">
        <f t="shared" si="206"/>
        <v>0</v>
      </c>
      <c r="I131" s="58">
        <f t="shared" si="207"/>
        <v>0</v>
      </c>
      <c r="J131" s="51">
        <f t="shared" si="208"/>
        <v>0</v>
      </c>
      <c r="K131" s="99">
        <f t="shared" si="209"/>
        <v>182.99</v>
      </c>
      <c r="L131" s="105">
        <f t="shared" si="301"/>
        <v>8</v>
      </c>
      <c r="M131" s="58">
        <f t="shared" si="302"/>
        <v>6527</v>
      </c>
      <c r="N131" s="58"/>
      <c r="O131" s="58">
        <f t="shared" si="256"/>
        <v>0</v>
      </c>
      <c r="P131" s="58">
        <f t="shared" si="303"/>
        <v>0</v>
      </c>
      <c r="Q131" s="58">
        <f t="shared" si="304"/>
        <v>0</v>
      </c>
      <c r="R131" s="58">
        <f t="shared" si="305"/>
        <v>0</v>
      </c>
      <c r="S131" s="58">
        <f t="shared" si="306"/>
        <v>0</v>
      </c>
      <c r="T131" s="58">
        <f t="shared" si="307"/>
        <v>1064</v>
      </c>
      <c r="V131" s="137"/>
      <c r="W131" s="58"/>
      <c r="X131" s="58"/>
      <c r="Y131" s="58"/>
      <c r="Z131" s="58"/>
      <c r="AA131" s="58"/>
      <c r="AB131" s="58"/>
      <c r="AC131" s="58"/>
      <c r="AD131" s="138"/>
      <c r="AF131" s="57">
        <f t="shared" si="255"/>
        <v>17200</v>
      </c>
      <c r="AG131" s="49"/>
      <c r="AH131" s="49"/>
      <c r="AI131" s="49"/>
      <c r="AJ131" s="49"/>
      <c r="AK131" s="49"/>
      <c r="AL131" s="49"/>
      <c r="AM131" s="49"/>
      <c r="AN131" s="49"/>
      <c r="AO131" s="49"/>
      <c r="AP131" s="49"/>
      <c r="AQ131" s="49"/>
      <c r="AR131" s="49"/>
      <c r="AS131" s="49"/>
      <c r="AT131" s="49"/>
      <c r="AU131" s="49"/>
      <c r="AV131" s="49"/>
      <c r="AW131" s="49"/>
      <c r="AX131" s="49">
        <v>3394.1743000000001</v>
      </c>
      <c r="AY131" s="49">
        <v>13.3696</v>
      </c>
      <c r="AZ131" s="49"/>
      <c r="BA131" s="49"/>
      <c r="BB131" s="49"/>
      <c r="BC131" s="49"/>
      <c r="BD131" s="49"/>
      <c r="BE131" s="49"/>
      <c r="BF131" s="49"/>
      <c r="BG131" s="49"/>
      <c r="BH131" s="49"/>
      <c r="BI131" s="49"/>
      <c r="BJ131" s="49"/>
      <c r="BK131" s="49"/>
      <c r="BL131" s="49"/>
      <c r="BM131" s="49"/>
      <c r="BN131" s="49"/>
      <c r="BO131" s="49"/>
      <c r="BP131" s="49"/>
      <c r="BQ131" s="49"/>
      <c r="BR131" s="49"/>
      <c r="BS131" s="49"/>
      <c r="BT131" s="49"/>
      <c r="BU131" s="49"/>
      <c r="BV131" s="49"/>
      <c r="BW131" s="49"/>
      <c r="BX131" s="49"/>
      <c r="BY131" s="49"/>
      <c r="BZ131" s="49"/>
      <c r="CA131" s="49"/>
      <c r="CB131" s="49">
        <v>182.99</v>
      </c>
      <c r="CC131" s="231">
        <f t="shared" si="300"/>
        <v>17200</v>
      </c>
    </row>
    <row r="132" spans="2:81" s="3" customFormat="1" ht="15.75" thickBot="1" x14ac:dyDescent="0.3">
      <c r="B132" s="158">
        <v>17250</v>
      </c>
      <c r="C132" s="144">
        <f t="shared" si="252"/>
        <v>0</v>
      </c>
      <c r="D132" s="144">
        <f t="shared" si="253"/>
        <v>2681.0822000000003</v>
      </c>
      <c r="E132" s="144">
        <f t="shared" si="336"/>
        <v>0</v>
      </c>
      <c r="F132" s="144">
        <f t="shared" si="254"/>
        <v>0</v>
      </c>
      <c r="G132" s="144">
        <f t="shared" si="205"/>
        <v>0</v>
      </c>
      <c r="H132" s="144">
        <f t="shared" si="206"/>
        <v>0</v>
      </c>
      <c r="I132" s="144">
        <f t="shared" si="207"/>
        <v>0</v>
      </c>
      <c r="J132" s="159">
        <f t="shared" si="208"/>
        <v>0</v>
      </c>
      <c r="K132" s="160">
        <f t="shared" si="209"/>
        <v>157.15</v>
      </c>
      <c r="L132" s="152">
        <f t="shared" si="301"/>
        <v>0</v>
      </c>
      <c r="M132" s="144">
        <f t="shared" si="302"/>
        <v>5638</v>
      </c>
      <c r="N132" s="144"/>
      <c r="O132" s="144">
        <f t="shared" si="256"/>
        <v>0</v>
      </c>
      <c r="P132" s="144">
        <f t="shared" si="303"/>
        <v>0</v>
      </c>
      <c r="Q132" s="144">
        <f t="shared" si="304"/>
        <v>0</v>
      </c>
      <c r="R132" s="144">
        <f t="shared" si="305"/>
        <v>0</v>
      </c>
      <c r="S132" s="144">
        <f t="shared" si="306"/>
        <v>0</v>
      </c>
      <c r="T132" s="144">
        <f t="shared" si="307"/>
        <v>945</v>
      </c>
      <c r="V132" s="150">
        <f>L130+L131+L132</f>
        <v>42</v>
      </c>
      <c r="W132" s="150">
        <f t="shared" ref="W132" si="365">M130+M131+M132</f>
        <v>18903</v>
      </c>
      <c r="X132" s="150"/>
      <c r="Y132" s="150">
        <f t="shared" ref="Y132" si="366">O130+O131+O132</f>
        <v>0</v>
      </c>
      <c r="Z132" s="150">
        <f t="shared" ref="Z132" si="367">P130+P131+P132</f>
        <v>0</v>
      </c>
      <c r="AA132" s="150">
        <f t="shared" ref="AA132" si="368">Q130+Q131+Q132</f>
        <v>0</v>
      </c>
      <c r="AB132" s="150">
        <f t="shared" ref="AB132" si="369">R130+R131+R132</f>
        <v>0</v>
      </c>
      <c r="AC132" s="150">
        <f t="shared" ref="AC132" si="370">S130+S131+S132</f>
        <v>0</v>
      </c>
      <c r="AD132" s="150">
        <f t="shared" ref="AD132" si="371">T130+T131+T132</f>
        <v>3172</v>
      </c>
      <c r="AF132" s="158">
        <f t="shared" si="255"/>
        <v>17250</v>
      </c>
      <c r="AG132" s="149"/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>
        <v>2667.5057000000002</v>
      </c>
      <c r="AY132" s="149">
        <v>13.576499999999999</v>
      </c>
      <c r="AZ132" s="149"/>
      <c r="BA132" s="149"/>
      <c r="BB132" s="149"/>
      <c r="BC132" s="149"/>
      <c r="BD132" s="149"/>
      <c r="BE132" s="149"/>
      <c r="BF132" s="149"/>
      <c r="BG132" s="149"/>
      <c r="BH132" s="149"/>
      <c r="BI132" s="149"/>
      <c r="BJ132" s="149"/>
      <c r="BK132" s="149"/>
      <c r="BL132" s="149"/>
      <c r="BM132" s="149"/>
      <c r="BN132" s="149"/>
      <c r="BO132" s="149"/>
      <c r="BP132" s="149"/>
      <c r="BQ132" s="149"/>
      <c r="BR132" s="149"/>
      <c r="BS132" s="149"/>
      <c r="BT132" s="149"/>
      <c r="BU132" s="149"/>
      <c r="BV132" s="149"/>
      <c r="BW132" s="149"/>
      <c r="BX132" s="149"/>
      <c r="BY132" s="149"/>
      <c r="BZ132" s="149"/>
      <c r="CA132" s="149"/>
      <c r="CB132" s="149">
        <v>157.15</v>
      </c>
      <c r="CC132" s="231">
        <f t="shared" si="300"/>
        <v>17250</v>
      </c>
    </row>
    <row r="133" spans="2:81" x14ac:dyDescent="0.25">
      <c r="B133" s="155">
        <v>17300</v>
      </c>
      <c r="C133" s="147">
        <f t="shared" si="252"/>
        <v>0</v>
      </c>
      <c r="D133" s="147">
        <f t="shared" si="253"/>
        <v>2374.6995999999999</v>
      </c>
      <c r="E133" s="147">
        <f t="shared" si="336"/>
        <v>0</v>
      </c>
      <c r="F133" s="147">
        <f t="shared" si="254"/>
        <v>0</v>
      </c>
      <c r="G133" s="147">
        <f t="shared" si="205"/>
        <v>0</v>
      </c>
      <c r="H133" s="147">
        <f t="shared" si="206"/>
        <v>0</v>
      </c>
      <c r="I133" s="147">
        <f t="shared" si="207"/>
        <v>0</v>
      </c>
      <c r="J133" s="156">
        <f t="shared" si="208"/>
        <v>0</v>
      </c>
      <c r="K133" s="157">
        <f t="shared" si="209"/>
        <v>163.46</v>
      </c>
      <c r="L133" s="151">
        <f t="shared" si="301"/>
        <v>0</v>
      </c>
      <c r="M133" s="147">
        <f t="shared" si="302"/>
        <v>4682</v>
      </c>
      <c r="N133" s="147"/>
      <c r="O133" s="147">
        <f t="shared" si="256"/>
        <v>0</v>
      </c>
      <c r="P133" s="147">
        <f t="shared" si="303"/>
        <v>0</v>
      </c>
      <c r="Q133" s="147">
        <f t="shared" si="304"/>
        <v>0</v>
      </c>
      <c r="R133" s="147">
        <f t="shared" si="305"/>
        <v>0</v>
      </c>
      <c r="S133" s="147">
        <f t="shared" si="306"/>
        <v>0</v>
      </c>
      <c r="T133" s="147">
        <f t="shared" si="307"/>
        <v>891</v>
      </c>
      <c r="V133" s="146"/>
      <c r="W133" s="147"/>
      <c r="X133" s="147"/>
      <c r="Y133" s="147"/>
      <c r="Z133" s="147"/>
      <c r="AA133" s="147"/>
      <c r="AB133" s="147"/>
      <c r="AC133" s="147"/>
      <c r="AD133" s="148"/>
      <c r="AF133" s="155">
        <f t="shared" si="255"/>
        <v>17300</v>
      </c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>
        <v>2362.6316999999999</v>
      </c>
      <c r="AY133" s="78">
        <v>12.0679</v>
      </c>
      <c r="AZ133" s="78"/>
      <c r="BA133" s="78"/>
      <c r="BB133" s="78"/>
      <c r="BC133" s="78"/>
      <c r="BD133" s="78"/>
      <c r="BE133" s="78"/>
      <c r="BF133" s="78"/>
      <c r="BG133" s="78"/>
      <c r="BH133" s="78"/>
      <c r="BI133" s="78"/>
      <c r="BJ133" s="78"/>
      <c r="BK133" s="78"/>
      <c r="BL133" s="78"/>
      <c r="BM133" s="78"/>
      <c r="BN133" s="78"/>
      <c r="BO133" s="78"/>
      <c r="BP133" s="78"/>
      <c r="BQ133" s="78"/>
      <c r="BR133" s="78"/>
      <c r="BS133" s="78"/>
      <c r="BT133" s="78"/>
      <c r="BU133" s="78"/>
      <c r="BV133" s="78"/>
      <c r="BW133" s="78"/>
      <c r="BX133" s="78"/>
      <c r="BY133" s="78"/>
      <c r="BZ133" s="78"/>
      <c r="CA133" s="78"/>
      <c r="CB133" s="78">
        <v>163.46</v>
      </c>
      <c r="CC133" s="231">
        <f t="shared" si="300"/>
        <v>17300</v>
      </c>
    </row>
    <row r="134" spans="2:81" x14ac:dyDescent="0.25">
      <c r="B134" s="57">
        <v>17350</v>
      </c>
      <c r="C134" s="58">
        <f t="shared" si="252"/>
        <v>641.41319999999996</v>
      </c>
      <c r="D134" s="58">
        <f>AX134+AY134+AZ134+BA134+BB134+BC134</f>
        <v>2822.9479000000001</v>
      </c>
      <c r="E134" s="58">
        <f t="shared" si="336"/>
        <v>0</v>
      </c>
      <c r="F134" s="58">
        <f t="shared" si="254"/>
        <v>0</v>
      </c>
      <c r="G134" s="58">
        <f t="shared" si="205"/>
        <v>0</v>
      </c>
      <c r="H134" s="58">
        <f t="shared" si="206"/>
        <v>0</v>
      </c>
      <c r="I134" s="58">
        <f t="shared" si="207"/>
        <v>0</v>
      </c>
      <c r="J134" s="51">
        <f t="shared" si="208"/>
        <v>0</v>
      </c>
      <c r="K134" s="99">
        <f t="shared" si="209"/>
        <v>187.17</v>
      </c>
      <c r="L134" s="105">
        <f t="shared" si="301"/>
        <v>594</v>
      </c>
      <c r="M134" s="58">
        <f t="shared" si="302"/>
        <v>4813</v>
      </c>
      <c r="N134" s="58"/>
      <c r="O134" s="58">
        <f t="shared" si="256"/>
        <v>0</v>
      </c>
      <c r="P134" s="58">
        <f t="shared" si="303"/>
        <v>0</v>
      </c>
      <c r="Q134" s="58">
        <f t="shared" si="304"/>
        <v>0</v>
      </c>
      <c r="R134" s="58">
        <f t="shared" si="305"/>
        <v>0</v>
      </c>
      <c r="S134" s="58">
        <f t="shared" si="306"/>
        <v>0</v>
      </c>
      <c r="T134" s="58">
        <f t="shared" si="307"/>
        <v>974</v>
      </c>
      <c r="V134" s="137"/>
      <c r="W134" s="58"/>
      <c r="X134" s="58"/>
      <c r="Y134" s="58"/>
      <c r="Z134" s="58"/>
      <c r="AA134" s="58"/>
      <c r="AB134" s="58"/>
      <c r="AC134" s="58"/>
      <c r="AD134" s="138"/>
      <c r="AF134" s="57">
        <f t="shared" si="255"/>
        <v>17350</v>
      </c>
      <c r="AG134" s="49">
        <v>141.23580000000001</v>
      </c>
      <c r="AH134" s="49">
        <v>347.45339999999999</v>
      </c>
      <c r="AI134" s="49">
        <v>152.72399999999999</v>
      </c>
      <c r="AJ134" s="49"/>
      <c r="AK134" s="49"/>
      <c r="AL134" s="49"/>
      <c r="AM134" s="49"/>
      <c r="AN134" s="49"/>
      <c r="AO134" s="49"/>
      <c r="AP134" s="49"/>
      <c r="AQ134" s="49"/>
      <c r="AR134" s="49"/>
      <c r="AS134" s="49"/>
      <c r="AT134" s="49"/>
      <c r="AU134" s="49"/>
      <c r="AV134" s="49"/>
      <c r="AW134" s="49"/>
      <c r="AX134" s="49">
        <v>141.23580000000001</v>
      </c>
      <c r="AY134" s="49">
        <v>347.45339999999999</v>
      </c>
      <c r="AZ134" s="49">
        <v>152.72399999999999</v>
      </c>
      <c r="BA134" s="49">
        <v>2169.7820000000002</v>
      </c>
      <c r="BB134" s="49">
        <v>11.752700000000001</v>
      </c>
      <c r="BC134" s="49"/>
      <c r="BD134" s="49"/>
      <c r="BE134" s="49"/>
      <c r="BF134" s="49"/>
      <c r="BG134" s="49"/>
      <c r="BH134" s="49"/>
      <c r="BI134" s="49"/>
      <c r="BJ134" s="49"/>
      <c r="BK134" s="49"/>
      <c r="BL134" s="49"/>
      <c r="BM134" s="49"/>
      <c r="BN134" s="49"/>
      <c r="BO134" s="49"/>
      <c r="BP134" s="49"/>
      <c r="BQ134" s="49"/>
      <c r="BR134" s="49"/>
      <c r="BS134" s="49"/>
      <c r="BT134" s="49"/>
      <c r="BU134" s="49"/>
      <c r="BV134" s="49"/>
      <c r="BW134" s="49"/>
      <c r="BX134" s="49"/>
      <c r="BY134" s="49"/>
      <c r="BZ134" s="49"/>
      <c r="CA134" s="49"/>
      <c r="CB134" s="49">
        <v>187.17</v>
      </c>
      <c r="CC134" s="231">
        <f t="shared" si="300"/>
        <v>17350</v>
      </c>
    </row>
    <row r="135" spans="2:81" s="3" customFormat="1" ht="15.75" thickBot="1" x14ac:dyDescent="0.3">
      <c r="B135" s="158">
        <v>17400</v>
      </c>
      <c r="C135" s="144">
        <f t="shared" si="252"/>
        <v>835.65509999999995</v>
      </c>
      <c r="D135" s="144">
        <f>AX135+AY135+AZ135+BA135+BB135+BC135</f>
        <v>2024.3105</v>
      </c>
      <c r="E135" s="144">
        <f t="shared" si="336"/>
        <v>0</v>
      </c>
      <c r="F135" s="144">
        <f t="shared" si="254"/>
        <v>0</v>
      </c>
      <c r="G135" s="144">
        <f t="shared" si="205"/>
        <v>0</v>
      </c>
      <c r="H135" s="144">
        <f t="shared" si="206"/>
        <v>0</v>
      </c>
      <c r="I135" s="144">
        <f t="shared" si="207"/>
        <v>0</v>
      </c>
      <c r="J135" s="159">
        <f t="shared" si="208"/>
        <v>0</v>
      </c>
      <c r="K135" s="160">
        <f t="shared" si="209"/>
        <v>227.02</v>
      </c>
      <c r="L135" s="152">
        <f t="shared" si="301"/>
        <v>1368</v>
      </c>
      <c r="M135" s="144">
        <f t="shared" si="302"/>
        <v>4489</v>
      </c>
      <c r="N135" s="144"/>
      <c r="O135" s="144">
        <f t="shared" si="256"/>
        <v>0</v>
      </c>
      <c r="P135" s="144">
        <f t="shared" si="303"/>
        <v>0</v>
      </c>
      <c r="Q135" s="144">
        <f t="shared" si="304"/>
        <v>0</v>
      </c>
      <c r="R135" s="144">
        <f t="shared" si="305"/>
        <v>0</v>
      </c>
      <c r="S135" s="144">
        <f t="shared" si="306"/>
        <v>0</v>
      </c>
      <c r="T135" s="144">
        <f t="shared" si="307"/>
        <v>1151</v>
      </c>
      <c r="V135" s="150">
        <f>L133+L134+L135</f>
        <v>1962</v>
      </c>
      <c r="W135" s="150">
        <f t="shared" ref="W135" si="372">M133+M134+M135</f>
        <v>13984</v>
      </c>
      <c r="X135" s="150"/>
      <c r="Y135" s="150">
        <f t="shared" ref="Y135" si="373">O133+O134+O135</f>
        <v>0</v>
      </c>
      <c r="Z135" s="150">
        <f t="shared" ref="Z135" si="374">P133+P134+P135</f>
        <v>0</v>
      </c>
      <c r="AA135" s="150">
        <f t="shared" ref="AA135" si="375">Q133+Q134+Q135</f>
        <v>0</v>
      </c>
      <c r="AB135" s="150">
        <f t="shared" ref="AB135" si="376">R133+R134+R135</f>
        <v>0</v>
      </c>
      <c r="AC135" s="150">
        <f t="shared" ref="AC135" si="377">S133+S134+S135</f>
        <v>0</v>
      </c>
      <c r="AD135" s="150">
        <f t="shared" ref="AD135" si="378">T133+T134+T135</f>
        <v>3016</v>
      </c>
      <c r="AF135" s="158">
        <f t="shared" si="255"/>
        <v>17400</v>
      </c>
      <c r="AG135" s="149">
        <v>110.2008</v>
      </c>
      <c r="AH135" s="149">
        <v>379.00349999999997</v>
      </c>
      <c r="AI135" s="149">
        <v>230.58250000000001</v>
      </c>
      <c r="AJ135" s="149">
        <v>115.593</v>
      </c>
      <c r="AK135" s="149">
        <v>0.27529999999999999</v>
      </c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>
        <v>379.00349999999997</v>
      </c>
      <c r="AY135" s="149">
        <v>230.58250000000001</v>
      </c>
      <c r="AZ135" s="149">
        <v>115.593</v>
      </c>
      <c r="BA135" s="149">
        <v>1297.3047999999999</v>
      </c>
      <c r="BB135" s="149">
        <v>1.8267</v>
      </c>
      <c r="BC135" s="149"/>
      <c r="BD135" s="149"/>
      <c r="BE135" s="149"/>
      <c r="BF135" s="149"/>
      <c r="BG135" s="149"/>
      <c r="BH135" s="149"/>
      <c r="BI135" s="149"/>
      <c r="BJ135" s="149"/>
      <c r="BK135" s="149"/>
      <c r="BL135" s="149"/>
      <c r="BM135" s="149"/>
      <c r="BN135" s="149"/>
      <c r="BO135" s="149"/>
      <c r="BP135" s="149"/>
      <c r="BQ135" s="149"/>
      <c r="BR135" s="149"/>
      <c r="BS135" s="149"/>
      <c r="BT135" s="149"/>
      <c r="BU135" s="149"/>
      <c r="BV135" s="149"/>
      <c r="BW135" s="149"/>
      <c r="BX135" s="149"/>
      <c r="BY135" s="149"/>
      <c r="BZ135" s="149"/>
      <c r="CA135" s="149"/>
      <c r="CB135" s="149">
        <v>227.02</v>
      </c>
      <c r="CC135" s="231">
        <f t="shared" si="300"/>
        <v>17400</v>
      </c>
    </row>
    <row r="136" spans="2:81" x14ac:dyDescent="0.25">
      <c r="B136" s="155">
        <v>17450</v>
      </c>
      <c r="C136" s="147">
        <f t="shared" si="252"/>
        <v>1973.1788000000001</v>
      </c>
      <c r="D136" s="147">
        <f t="shared" si="253"/>
        <v>1438.4131</v>
      </c>
      <c r="E136" s="147">
        <f t="shared" si="336"/>
        <v>0</v>
      </c>
      <c r="F136" s="147">
        <f t="shared" si="254"/>
        <v>0</v>
      </c>
      <c r="G136" s="147">
        <f t="shared" si="205"/>
        <v>0</v>
      </c>
      <c r="H136" s="147">
        <f t="shared" si="206"/>
        <v>0</v>
      </c>
      <c r="I136" s="147">
        <f t="shared" si="207"/>
        <v>0</v>
      </c>
      <c r="J136" s="156">
        <f t="shared" si="208"/>
        <v>0</v>
      </c>
      <c r="K136" s="157">
        <f t="shared" si="209"/>
        <v>312.3</v>
      </c>
      <c r="L136" s="151">
        <f t="shared" si="301"/>
        <v>2601</v>
      </c>
      <c r="M136" s="147">
        <f t="shared" si="302"/>
        <v>3207</v>
      </c>
      <c r="N136" s="147"/>
      <c r="O136" s="147">
        <f t="shared" si="256"/>
        <v>0</v>
      </c>
      <c r="P136" s="147">
        <f t="shared" si="303"/>
        <v>0</v>
      </c>
      <c r="Q136" s="147">
        <f t="shared" si="304"/>
        <v>0</v>
      </c>
      <c r="R136" s="147">
        <f t="shared" si="305"/>
        <v>0</v>
      </c>
      <c r="S136" s="147">
        <f t="shared" si="306"/>
        <v>0</v>
      </c>
      <c r="T136" s="147">
        <f t="shared" si="307"/>
        <v>1499</v>
      </c>
      <c r="V136" s="146"/>
      <c r="W136" s="147"/>
      <c r="X136" s="147"/>
      <c r="Y136" s="147"/>
      <c r="Z136" s="147"/>
      <c r="AA136" s="147"/>
      <c r="AB136" s="147"/>
      <c r="AC136" s="147"/>
      <c r="AD136" s="148"/>
      <c r="AF136" s="155">
        <f t="shared" si="255"/>
        <v>17450</v>
      </c>
      <c r="AG136" s="78">
        <v>1380.1664000000001</v>
      </c>
      <c r="AH136" s="78">
        <v>371.27719999999999</v>
      </c>
      <c r="AI136" s="78">
        <v>221.73519999999999</v>
      </c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78">
        <v>371.27719999999999</v>
      </c>
      <c r="AY136" s="78">
        <v>221.73519999999999</v>
      </c>
      <c r="AZ136" s="78">
        <v>845.40070000000003</v>
      </c>
      <c r="BA136" s="78"/>
      <c r="BB136" s="78"/>
      <c r="BC136" s="78"/>
      <c r="BD136" s="78"/>
      <c r="BE136" s="78"/>
      <c r="BF136" s="78"/>
      <c r="BG136" s="78"/>
      <c r="BH136" s="78"/>
      <c r="BI136" s="78"/>
      <c r="BJ136" s="78"/>
      <c r="BK136" s="78"/>
      <c r="BL136" s="78"/>
      <c r="BM136" s="78"/>
      <c r="BN136" s="78"/>
      <c r="BO136" s="78"/>
      <c r="BP136" s="78"/>
      <c r="BQ136" s="78"/>
      <c r="BR136" s="78"/>
      <c r="BS136" s="78"/>
      <c r="BT136" s="78"/>
      <c r="BU136" s="78"/>
      <c r="BV136" s="78"/>
      <c r="BW136" s="78"/>
      <c r="BX136" s="78"/>
      <c r="BY136" s="78"/>
      <c r="BZ136" s="78"/>
      <c r="CA136" s="78"/>
      <c r="CB136" s="78">
        <v>312.3</v>
      </c>
      <c r="CC136" s="231">
        <f t="shared" si="300"/>
        <v>17450</v>
      </c>
    </row>
    <row r="137" spans="2:81" x14ac:dyDescent="0.25">
      <c r="B137" s="57">
        <v>17500</v>
      </c>
      <c r="C137" s="58">
        <f t="shared" si="252"/>
        <v>2410.5481</v>
      </c>
      <c r="D137" s="58">
        <f t="shared" si="253"/>
        <v>348.50530000000003</v>
      </c>
      <c r="E137" s="58">
        <f t="shared" si="336"/>
        <v>0</v>
      </c>
      <c r="F137" s="58">
        <f t="shared" si="254"/>
        <v>0</v>
      </c>
      <c r="G137" s="58">
        <f t="shared" ref="G137:G165" si="379">BN137+BO137+BP137</f>
        <v>0</v>
      </c>
      <c r="H137" s="58">
        <f t="shared" ref="H137:H165" si="380">BQ137+BR137+BS137</f>
        <v>0</v>
      </c>
      <c r="I137" s="58">
        <f t="shared" ref="I137:I165" si="381">BT137+BU137+BV137</f>
        <v>0</v>
      </c>
      <c r="J137" s="51">
        <f t="shared" ref="J137:J165" si="382">BW137+BX137+BY137</f>
        <v>0</v>
      </c>
      <c r="K137" s="99">
        <f t="shared" ref="K137:K201" si="383">BZ137+CA137+CB137</f>
        <v>211.38</v>
      </c>
      <c r="L137" s="105">
        <f t="shared" si="301"/>
        <v>4060</v>
      </c>
      <c r="M137" s="58">
        <f t="shared" si="302"/>
        <v>1655</v>
      </c>
      <c r="N137" s="58"/>
      <c r="O137" s="58">
        <f t="shared" si="256"/>
        <v>0</v>
      </c>
      <c r="P137" s="58">
        <f t="shared" si="303"/>
        <v>0</v>
      </c>
      <c r="Q137" s="58">
        <f t="shared" si="304"/>
        <v>0</v>
      </c>
      <c r="R137" s="58">
        <f t="shared" si="305"/>
        <v>0</v>
      </c>
      <c r="S137" s="58">
        <f t="shared" si="306"/>
        <v>0</v>
      </c>
      <c r="T137" s="58">
        <f t="shared" si="307"/>
        <v>1455</v>
      </c>
      <c r="V137" s="137"/>
      <c r="W137" s="58"/>
      <c r="X137" s="58"/>
      <c r="Y137" s="58"/>
      <c r="Z137" s="58"/>
      <c r="AA137" s="58"/>
      <c r="AB137" s="58"/>
      <c r="AC137" s="58"/>
      <c r="AD137" s="138"/>
      <c r="AF137" s="57">
        <f t="shared" si="255"/>
        <v>17500</v>
      </c>
      <c r="AG137" s="49">
        <v>2293.2716999999998</v>
      </c>
      <c r="AH137" s="49">
        <v>117.2764</v>
      </c>
      <c r="AI137" s="49"/>
      <c r="AJ137" s="49"/>
      <c r="AK137" s="49"/>
      <c r="AL137" s="49"/>
      <c r="AM137" s="49"/>
      <c r="AN137" s="49"/>
      <c r="AO137" s="49"/>
      <c r="AP137" s="49"/>
      <c r="AQ137" s="49"/>
      <c r="AR137" s="49"/>
      <c r="AS137" s="49"/>
      <c r="AT137" s="49"/>
      <c r="AU137" s="49"/>
      <c r="AV137" s="49"/>
      <c r="AW137" s="49"/>
      <c r="AX137" s="49">
        <v>117.2764</v>
      </c>
      <c r="AY137" s="49">
        <v>231.22890000000001</v>
      </c>
      <c r="AZ137" s="49"/>
      <c r="BA137" s="49"/>
      <c r="BB137" s="49"/>
      <c r="BC137" s="49"/>
      <c r="BD137" s="49"/>
      <c r="BE137" s="49"/>
      <c r="BF137" s="49"/>
      <c r="BG137" s="49"/>
      <c r="BH137" s="49"/>
      <c r="BI137" s="49"/>
      <c r="BJ137" s="49"/>
      <c r="BK137" s="49"/>
      <c r="BL137" s="49"/>
      <c r="BM137" s="49"/>
      <c r="BN137" s="49"/>
      <c r="BO137" s="49"/>
      <c r="BP137" s="49"/>
      <c r="BQ137" s="49"/>
      <c r="BR137" s="49"/>
      <c r="BS137" s="49"/>
      <c r="BT137" s="49"/>
      <c r="BU137" s="49"/>
      <c r="BV137" s="49"/>
      <c r="BW137" s="49"/>
      <c r="BX137" s="49"/>
      <c r="BY137" s="49"/>
      <c r="BZ137" s="49"/>
      <c r="CA137" s="49"/>
      <c r="CB137" s="49">
        <v>211.38</v>
      </c>
      <c r="CC137" s="231">
        <f t="shared" si="300"/>
        <v>17500</v>
      </c>
    </row>
    <row r="138" spans="2:81" s="3" customFormat="1" ht="15.75" thickBot="1" x14ac:dyDescent="0.3">
      <c r="B138" s="158">
        <v>17550</v>
      </c>
      <c r="C138" s="144">
        <f t="shared" si="252"/>
        <v>9164.8034000000007</v>
      </c>
      <c r="D138" s="144">
        <f t="shared" si="253"/>
        <v>91.822199999999995</v>
      </c>
      <c r="E138" s="144">
        <f t="shared" si="336"/>
        <v>0</v>
      </c>
      <c r="F138" s="144">
        <f t="shared" si="254"/>
        <v>0</v>
      </c>
      <c r="G138" s="144">
        <f t="shared" si="379"/>
        <v>0</v>
      </c>
      <c r="H138" s="144">
        <f t="shared" si="380"/>
        <v>0</v>
      </c>
      <c r="I138" s="144">
        <f t="shared" si="381"/>
        <v>0</v>
      </c>
      <c r="J138" s="159">
        <f t="shared" si="382"/>
        <v>0</v>
      </c>
      <c r="K138" s="160">
        <f t="shared" si="383"/>
        <v>525.23</v>
      </c>
      <c r="L138" s="152">
        <f t="shared" si="301"/>
        <v>10718</v>
      </c>
      <c r="M138" s="144">
        <f t="shared" si="302"/>
        <v>408</v>
      </c>
      <c r="N138" s="144"/>
      <c r="O138" s="144">
        <f t="shared" si="256"/>
        <v>0</v>
      </c>
      <c r="P138" s="144">
        <f t="shared" si="303"/>
        <v>0</v>
      </c>
      <c r="Q138" s="144">
        <f t="shared" si="304"/>
        <v>0</v>
      </c>
      <c r="R138" s="144">
        <f t="shared" si="305"/>
        <v>0</v>
      </c>
      <c r="S138" s="144">
        <f t="shared" si="306"/>
        <v>0</v>
      </c>
      <c r="T138" s="144">
        <f t="shared" si="307"/>
        <v>2047</v>
      </c>
      <c r="V138" s="150">
        <f>L136+L137+L138</f>
        <v>17379</v>
      </c>
      <c r="W138" s="150">
        <f t="shared" ref="W138" si="384">M136+M137+M138</f>
        <v>5270</v>
      </c>
      <c r="X138" s="150"/>
      <c r="Y138" s="150">
        <f t="shared" ref="Y138" si="385">O136+O137+O138</f>
        <v>0</v>
      </c>
      <c r="Z138" s="150">
        <f t="shared" ref="Z138" si="386">P136+P137+P138</f>
        <v>0</v>
      </c>
      <c r="AA138" s="150">
        <f t="shared" ref="AA138" si="387">Q136+Q137+Q138</f>
        <v>0</v>
      </c>
      <c r="AB138" s="150">
        <f t="shared" ref="AB138" si="388">R136+R137+R138</f>
        <v>0</v>
      </c>
      <c r="AC138" s="150">
        <f t="shared" ref="AC138" si="389">S136+S137+S138</f>
        <v>0</v>
      </c>
      <c r="AD138" s="150">
        <f t="shared" ref="AD138" si="390">T136+T137+T138</f>
        <v>5001</v>
      </c>
      <c r="AF138" s="158">
        <f t="shared" si="255"/>
        <v>17550</v>
      </c>
      <c r="AG138" s="149">
        <v>9164.8034000000007</v>
      </c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>
        <v>91.822199999999995</v>
      </c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  <c r="BI138" s="149"/>
      <c r="BJ138" s="149"/>
      <c r="BK138" s="149"/>
      <c r="BL138" s="149"/>
      <c r="BM138" s="149"/>
      <c r="BN138" s="149"/>
      <c r="BO138" s="149"/>
      <c r="BP138" s="149"/>
      <c r="BQ138" s="149"/>
      <c r="BR138" s="149"/>
      <c r="BS138" s="149"/>
      <c r="BT138" s="149"/>
      <c r="BU138" s="149"/>
      <c r="BV138" s="149"/>
      <c r="BW138" s="149"/>
      <c r="BX138" s="149"/>
      <c r="BY138" s="149"/>
      <c r="BZ138" s="149"/>
      <c r="CA138" s="149"/>
      <c r="CB138" s="149">
        <v>525.23</v>
      </c>
      <c r="CC138" s="231">
        <f t="shared" ref="CC138:CC169" si="391">B138</f>
        <v>17550</v>
      </c>
    </row>
    <row r="139" spans="2:81" x14ac:dyDescent="0.25">
      <c r="B139" s="155">
        <v>17600</v>
      </c>
      <c r="C139" s="147">
        <f t="shared" si="252"/>
        <v>11271.5538</v>
      </c>
      <c r="D139" s="147">
        <f t="shared" si="253"/>
        <v>17.9451</v>
      </c>
      <c r="E139" s="147">
        <f t="shared" si="336"/>
        <v>0</v>
      </c>
      <c r="F139" s="147">
        <f t="shared" si="254"/>
        <v>0</v>
      </c>
      <c r="G139" s="147">
        <f t="shared" si="379"/>
        <v>0</v>
      </c>
      <c r="H139" s="147">
        <f t="shared" si="380"/>
        <v>0</v>
      </c>
      <c r="I139" s="147">
        <f t="shared" si="381"/>
        <v>0</v>
      </c>
      <c r="J139" s="156">
        <f t="shared" si="382"/>
        <v>0</v>
      </c>
      <c r="K139" s="157">
        <f t="shared" si="383"/>
        <v>522.52</v>
      </c>
      <c r="L139" s="151">
        <f t="shared" si="301"/>
        <v>18923</v>
      </c>
      <c r="M139" s="147">
        <f t="shared" si="302"/>
        <v>102</v>
      </c>
      <c r="N139" s="147"/>
      <c r="O139" s="147">
        <f t="shared" si="256"/>
        <v>0</v>
      </c>
      <c r="P139" s="147">
        <f t="shared" si="303"/>
        <v>0</v>
      </c>
      <c r="Q139" s="147">
        <f t="shared" si="304"/>
        <v>0</v>
      </c>
      <c r="R139" s="147">
        <f t="shared" si="305"/>
        <v>0</v>
      </c>
      <c r="S139" s="147">
        <f t="shared" si="306"/>
        <v>0</v>
      </c>
      <c r="T139" s="147">
        <f t="shared" si="307"/>
        <v>2911</v>
      </c>
      <c r="V139" s="146"/>
      <c r="W139" s="147"/>
      <c r="X139" s="147"/>
      <c r="Y139" s="147"/>
      <c r="Z139" s="147"/>
      <c r="AA139" s="147"/>
      <c r="AB139" s="147"/>
      <c r="AC139" s="147"/>
      <c r="AD139" s="148"/>
      <c r="AF139" s="155">
        <f t="shared" si="255"/>
        <v>17600</v>
      </c>
      <c r="AG139" s="78">
        <v>11271.5538</v>
      </c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78">
        <v>17.9451</v>
      </c>
      <c r="AY139" s="78"/>
      <c r="AZ139" s="78"/>
      <c r="BA139" s="78"/>
      <c r="BB139" s="78"/>
      <c r="BC139" s="78"/>
      <c r="BD139" s="78"/>
      <c r="BE139" s="78"/>
      <c r="BF139" s="78"/>
      <c r="BG139" s="78"/>
      <c r="BH139" s="78"/>
      <c r="BI139" s="78"/>
      <c r="BJ139" s="78"/>
      <c r="BK139" s="78"/>
      <c r="BL139" s="78"/>
      <c r="BM139" s="78"/>
      <c r="BN139" s="78"/>
      <c r="BO139" s="78"/>
      <c r="BP139" s="78"/>
      <c r="BQ139" s="78"/>
      <c r="BR139" s="78"/>
      <c r="BS139" s="78"/>
      <c r="BT139" s="78"/>
      <c r="BU139" s="78"/>
      <c r="BV139" s="78"/>
      <c r="BW139" s="78"/>
      <c r="BX139" s="78"/>
      <c r="BY139" s="78"/>
      <c r="BZ139" s="78"/>
      <c r="CA139" s="78"/>
      <c r="CB139" s="78">
        <v>522.52</v>
      </c>
      <c r="CC139" s="231">
        <f t="shared" si="391"/>
        <v>17600</v>
      </c>
    </row>
    <row r="140" spans="2:81" s="3" customFormat="1" ht="15.75" thickBot="1" x14ac:dyDescent="0.3">
      <c r="B140" s="158">
        <v>17650</v>
      </c>
      <c r="C140" s="144">
        <f t="shared" si="252"/>
        <v>12614.7934</v>
      </c>
      <c r="D140" s="144">
        <f t="shared" si="253"/>
        <v>0</v>
      </c>
      <c r="E140" s="144">
        <f t="shared" si="336"/>
        <v>0</v>
      </c>
      <c r="F140" s="144">
        <f t="shared" si="254"/>
        <v>0</v>
      </c>
      <c r="G140" s="144">
        <f t="shared" si="379"/>
        <v>0</v>
      </c>
      <c r="H140" s="144">
        <f t="shared" si="380"/>
        <v>0</v>
      </c>
      <c r="I140" s="144">
        <f t="shared" si="381"/>
        <v>0</v>
      </c>
      <c r="J140" s="159">
        <f t="shared" si="382"/>
        <v>0</v>
      </c>
      <c r="K140" s="160">
        <f t="shared" si="383"/>
        <v>737.26</v>
      </c>
      <c r="L140" s="152">
        <f t="shared" si="301"/>
        <v>22117</v>
      </c>
      <c r="M140" s="144">
        <f t="shared" si="302"/>
        <v>17</v>
      </c>
      <c r="N140" s="144"/>
      <c r="O140" s="144">
        <f t="shared" si="256"/>
        <v>0</v>
      </c>
      <c r="P140" s="144">
        <f t="shared" si="303"/>
        <v>0</v>
      </c>
      <c r="Q140" s="144">
        <f t="shared" si="304"/>
        <v>0</v>
      </c>
      <c r="R140" s="144">
        <f t="shared" si="305"/>
        <v>0</v>
      </c>
      <c r="S140" s="144">
        <f t="shared" si="306"/>
        <v>0</v>
      </c>
      <c r="T140" s="144">
        <f t="shared" si="307"/>
        <v>3500</v>
      </c>
      <c r="V140" s="150">
        <f>L139+L140</f>
        <v>41040</v>
      </c>
      <c r="W140" s="150">
        <f t="shared" ref="W140" si="392">M139+M140</f>
        <v>119</v>
      </c>
      <c r="X140" s="150"/>
      <c r="Y140" s="150">
        <f t="shared" ref="Y140" si="393">O139+O140</f>
        <v>0</v>
      </c>
      <c r="Z140" s="150">
        <f t="shared" ref="Z140" si="394">P139+P140</f>
        <v>0</v>
      </c>
      <c r="AA140" s="150">
        <f t="shared" ref="AA140" si="395">Q139+Q140</f>
        <v>0</v>
      </c>
      <c r="AB140" s="150">
        <f t="shared" ref="AB140" si="396">R139+R140</f>
        <v>0</v>
      </c>
      <c r="AC140" s="150">
        <f t="shared" ref="AC140" si="397">S139+S140</f>
        <v>0</v>
      </c>
      <c r="AD140" s="150">
        <f t="shared" ref="AD140" si="398">T139+T140</f>
        <v>6411</v>
      </c>
      <c r="AF140" s="158">
        <f t="shared" si="255"/>
        <v>17650</v>
      </c>
      <c r="AG140" s="149">
        <v>12614.7934</v>
      </c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  <c r="BI140" s="149"/>
      <c r="BJ140" s="149"/>
      <c r="BK140" s="149"/>
      <c r="BL140" s="149"/>
      <c r="BM140" s="149"/>
      <c r="BN140" s="149"/>
      <c r="BO140" s="149"/>
      <c r="BP140" s="149"/>
      <c r="BQ140" s="149"/>
      <c r="BR140" s="149"/>
      <c r="BS140" s="149"/>
      <c r="BT140" s="149"/>
      <c r="BU140" s="149"/>
      <c r="BV140" s="149"/>
      <c r="BW140" s="149"/>
      <c r="BX140" s="149"/>
      <c r="BY140" s="149"/>
      <c r="BZ140" s="149"/>
      <c r="CA140" s="149"/>
      <c r="CB140" s="149">
        <v>737.26</v>
      </c>
      <c r="CC140" s="231">
        <f t="shared" si="391"/>
        <v>17650</v>
      </c>
    </row>
    <row r="141" spans="2:81" x14ac:dyDescent="0.25">
      <c r="B141" s="155">
        <v>17700</v>
      </c>
      <c r="C141" s="147">
        <f t="shared" si="252"/>
        <v>14010.146000000001</v>
      </c>
      <c r="D141" s="147">
        <f t="shared" si="253"/>
        <v>24.038599999999999</v>
      </c>
      <c r="E141" s="147">
        <f t="shared" si="336"/>
        <v>0</v>
      </c>
      <c r="F141" s="147">
        <f t="shared" si="254"/>
        <v>0</v>
      </c>
      <c r="G141" s="147">
        <f t="shared" si="379"/>
        <v>0</v>
      </c>
      <c r="H141" s="147">
        <f t="shared" si="380"/>
        <v>0</v>
      </c>
      <c r="I141" s="147">
        <f t="shared" si="381"/>
        <v>0</v>
      </c>
      <c r="J141" s="156">
        <f t="shared" si="382"/>
        <v>0</v>
      </c>
      <c r="K141" s="157">
        <f t="shared" si="383"/>
        <v>755.97</v>
      </c>
      <c r="L141" s="151">
        <f t="shared" si="301"/>
        <v>24653</v>
      </c>
      <c r="M141" s="147">
        <f t="shared" si="302"/>
        <v>23</v>
      </c>
      <c r="N141" s="147"/>
      <c r="O141" s="147">
        <f t="shared" si="256"/>
        <v>0</v>
      </c>
      <c r="P141" s="147">
        <f t="shared" si="303"/>
        <v>0</v>
      </c>
      <c r="Q141" s="147">
        <f t="shared" si="304"/>
        <v>0</v>
      </c>
      <c r="R141" s="147">
        <f t="shared" si="305"/>
        <v>0</v>
      </c>
      <c r="S141" s="147">
        <f t="shared" si="306"/>
        <v>0</v>
      </c>
      <c r="T141" s="147">
        <f t="shared" si="307"/>
        <v>4148</v>
      </c>
      <c r="V141" s="146"/>
      <c r="W141" s="147"/>
      <c r="X141" s="147"/>
      <c r="Y141" s="147"/>
      <c r="Z141" s="147"/>
      <c r="AA141" s="147"/>
      <c r="AB141" s="147"/>
      <c r="AC141" s="147"/>
      <c r="AD141" s="148"/>
      <c r="AF141" s="155">
        <f t="shared" si="255"/>
        <v>17700</v>
      </c>
      <c r="AG141" s="78">
        <v>14010.146000000001</v>
      </c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  <c r="AX141" s="78">
        <v>24.038599999999999</v>
      </c>
      <c r="AY141" s="78"/>
      <c r="AZ141" s="78"/>
      <c r="BA141" s="78"/>
      <c r="BB141" s="78"/>
      <c r="BC141" s="78"/>
      <c r="BD141" s="78"/>
      <c r="BE141" s="78"/>
      <c r="BF141" s="78"/>
      <c r="BG141" s="78"/>
      <c r="BH141" s="78"/>
      <c r="BI141" s="78"/>
      <c r="BJ141" s="78"/>
      <c r="BK141" s="78"/>
      <c r="BL141" s="78"/>
      <c r="BM141" s="78"/>
      <c r="BN141" s="78"/>
      <c r="BO141" s="78"/>
      <c r="BP141" s="78"/>
      <c r="BQ141" s="78"/>
      <c r="BR141" s="78"/>
      <c r="BS141" s="78"/>
      <c r="BT141" s="78"/>
      <c r="BU141" s="78"/>
      <c r="BV141" s="78"/>
      <c r="BW141" s="78"/>
      <c r="BX141" s="78"/>
      <c r="BY141" s="78"/>
      <c r="BZ141" s="78"/>
      <c r="CA141" s="78"/>
      <c r="CB141" s="78">
        <v>755.97</v>
      </c>
      <c r="CC141" s="231">
        <f t="shared" si="391"/>
        <v>17700</v>
      </c>
    </row>
    <row r="142" spans="2:81" s="3" customFormat="1" ht="15.75" thickBot="1" x14ac:dyDescent="0.3">
      <c r="B142" s="158">
        <v>17750</v>
      </c>
      <c r="C142" s="144">
        <f t="shared" si="252"/>
        <v>11841.491900000001</v>
      </c>
      <c r="D142" s="144">
        <f t="shared" si="253"/>
        <v>0</v>
      </c>
      <c r="E142" s="144">
        <f t="shared" si="336"/>
        <v>0</v>
      </c>
      <c r="F142" s="144">
        <f t="shared" si="254"/>
        <v>0</v>
      </c>
      <c r="G142" s="144">
        <f t="shared" si="379"/>
        <v>0</v>
      </c>
      <c r="H142" s="144">
        <f t="shared" si="380"/>
        <v>0</v>
      </c>
      <c r="I142" s="144">
        <f t="shared" si="381"/>
        <v>0</v>
      </c>
      <c r="J142" s="159">
        <f t="shared" si="382"/>
        <v>0</v>
      </c>
      <c r="K142" s="160">
        <f t="shared" si="383"/>
        <v>751.23</v>
      </c>
      <c r="L142" s="152">
        <f>ROUNDUP(((C141+C142)*0.5)*(B142-B141)/27,0)</f>
        <v>23937</v>
      </c>
      <c r="M142" s="144">
        <f t="shared" si="302"/>
        <v>23</v>
      </c>
      <c r="N142" s="144"/>
      <c r="O142" s="144">
        <f t="shared" si="256"/>
        <v>0</v>
      </c>
      <c r="P142" s="144">
        <f t="shared" si="303"/>
        <v>0</v>
      </c>
      <c r="Q142" s="144">
        <f t="shared" si="304"/>
        <v>0</v>
      </c>
      <c r="R142" s="144">
        <f t="shared" si="305"/>
        <v>0</v>
      </c>
      <c r="S142" s="144">
        <f t="shared" si="306"/>
        <v>0</v>
      </c>
      <c r="T142" s="144">
        <f t="shared" si="307"/>
        <v>4187</v>
      </c>
      <c r="V142" s="150">
        <f>L141+L142</f>
        <v>48590</v>
      </c>
      <c r="W142" s="150">
        <f t="shared" ref="W142" si="399">M141+M142</f>
        <v>46</v>
      </c>
      <c r="X142" s="150"/>
      <c r="Y142" s="150">
        <f t="shared" ref="Y142" si="400">O141+O142</f>
        <v>0</v>
      </c>
      <c r="Z142" s="150">
        <f t="shared" ref="Z142" si="401">P141+P142</f>
        <v>0</v>
      </c>
      <c r="AA142" s="150">
        <f t="shared" ref="AA142" si="402">Q141+Q142</f>
        <v>0</v>
      </c>
      <c r="AB142" s="150">
        <f t="shared" ref="AB142" si="403">R141+R142</f>
        <v>0</v>
      </c>
      <c r="AC142" s="150">
        <f t="shared" ref="AC142" si="404">S141+S142</f>
        <v>0</v>
      </c>
      <c r="AD142" s="150">
        <f t="shared" ref="AD142" si="405">T141+T142</f>
        <v>8335</v>
      </c>
      <c r="AF142" s="158">
        <f t="shared" si="255"/>
        <v>17750</v>
      </c>
      <c r="AG142" s="149">
        <v>11841.491900000001</v>
      </c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  <c r="BI142" s="149"/>
      <c r="BJ142" s="149"/>
      <c r="BK142" s="149"/>
      <c r="BL142" s="149"/>
      <c r="BM142" s="149"/>
      <c r="BN142" s="149"/>
      <c r="BO142" s="149"/>
      <c r="BP142" s="149"/>
      <c r="BQ142" s="149"/>
      <c r="BR142" s="149"/>
      <c r="BS142" s="149"/>
      <c r="BT142" s="149"/>
      <c r="BU142" s="149"/>
      <c r="BV142" s="149"/>
      <c r="BW142" s="149"/>
      <c r="BX142" s="149"/>
      <c r="BY142" s="149"/>
      <c r="BZ142" s="149"/>
      <c r="CA142" s="149"/>
      <c r="CB142" s="149">
        <v>751.23</v>
      </c>
      <c r="CC142" s="231">
        <f t="shared" si="391"/>
        <v>17750</v>
      </c>
    </row>
    <row r="143" spans="2:81" x14ac:dyDescent="0.25">
      <c r="B143" s="155">
        <v>17800</v>
      </c>
      <c r="C143" s="147">
        <f t="shared" si="252"/>
        <v>2994.58</v>
      </c>
      <c r="D143" s="147">
        <f t="shared" si="253"/>
        <v>0</v>
      </c>
      <c r="E143" s="147">
        <f t="shared" si="336"/>
        <v>0</v>
      </c>
      <c r="F143" s="147">
        <f t="shared" si="254"/>
        <v>0</v>
      </c>
      <c r="G143" s="147">
        <f t="shared" si="379"/>
        <v>0</v>
      </c>
      <c r="H143" s="147">
        <f t="shared" si="380"/>
        <v>0</v>
      </c>
      <c r="I143" s="147">
        <f t="shared" si="381"/>
        <v>0</v>
      </c>
      <c r="J143" s="156">
        <f t="shared" si="382"/>
        <v>0</v>
      </c>
      <c r="K143" s="157">
        <f t="shared" si="383"/>
        <v>174.16</v>
      </c>
      <c r="L143" s="151">
        <f>ROUNDUP(((C142+C143)*0.5)*(B143-B142)/27,0)</f>
        <v>13738</v>
      </c>
      <c r="M143" s="147">
        <f t="shared" si="302"/>
        <v>0</v>
      </c>
      <c r="N143" s="147"/>
      <c r="O143" s="147">
        <f t="shared" si="256"/>
        <v>0</v>
      </c>
      <c r="P143" s="147">
        <f t="shared" si="303"/>
        <v>0</v>
      </c>
      <c r="Q143" s="147">
        <f t="shared" si="304"/>
        <v>0</v>
      </c>
      <c r="R143" s="147">
        <f t="shared" si="305"/>
        <v>0</v>
      </c>
      <c r="S143" s="147">
        <f t="shared" si="306"/>
        <v>0</v>
      </c>
      <c r="T143" s="147">
        <f t="shared" si="307"/>
        <v>2571</v>
      </c>
      <c r="V143" s="146"/>
      <c r="W143" s="147"/>
      <c r="X143" s="147"/>
      <c r="Y143" s="147"/>
      <c r="Z143" s="147"/>
      <c r="AA143" s="147"/>
      <c r="AB143" s="147"/>
      <c r="AC143" s="147"/>
      <c r="AD143" s="148"/>
      <c r="AF143" s="155">
        <f t="shared" si="255"/>
        <v>17800</v>
      </c>
      <c r="AG143" s="78">
        <v>2994.58</v>
      </c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78"/>
      <c r="AY143" s="78"/>
      <c r="AZ143" s="78"/>
      <c r="BA143" s="78"/>
      <c r="BB143" s="78"/>
      <c r="BC143" s="78"/>
      <c r="BD143" s="78"/>
      <c r="BE143" s="78"/>
      <c r="BF143" s="78"/>
      <c r="BG143" s="78"/>
      <c r="BH143" s="78"/>
      <c r="BI143" s="78"/>
      <c r="BJ143" s="78"/>
      <c r="BK143" s="78"/>
      <c r="BL143" s="78"/>
      <c r="BM143" s="78"/>
      <c r="BN143" s="78"/>
      <c r="BO143" s="78"/>
      <c r="BP143" s="78"/>
      <c r="BQ143" s="78"/>
      <c r="BR143" s="78"/>
      <c r="BS143" s="78"/>
      <c r="BT143" s="78"/>
      <c r="BU143" s="78"/>
      <c r="BV143" s="78"/>
      <c r="BW143" s="78"/>
      <c r="BX143" s="78"/>
      <c r="BY143" s="78"/>
      <c r="BZ143" s="78"/>
      <c r="CA143" s="78"/>
      <c r="CB143" s="78">
        <v>174.16</v>
      </c>
      <c r="CC143" s="231">
        <f t="shared" si="391"/>
        <v>17800</v>
      </c>
    </row>
    <row r="144" spans="2:81" s="3" customFormat="1" ht="15.75" thickBot="1" x14ac:dyDescent="0.3">
      <c r="B144" s="158">
        <v>17850</v>
      </c>
      <c r="C144" s="144">
        <f t="shared" si="252"/>
        <v>3388.0221999999999</v>
      </c>
      <c r="D144" s="144">
        <f t="shared" si="253"/>
        <v>0</v>
      </c>
      <c r="E144" s="144">
        <f t="shared" si="336"/>
        <v>0</v>
      </c>
      <c r="F144" s="144">
        <f t="shared" si="254"/>
        <v>0</v>
      </c>
      <c r="G144" s="144">
        <f t="shared" si="379"/>
        <v>0</v>
      </c>
      <c r="H144" s="144">
        <f t="shared" si="380"/>
        <v>0</v>
      </c>
      <c r="I144" s="144">
        <f t="shared" si="381"/>
        <v>0</v>
      </c>
      <c r="J144" s="159">
        <f t="shared" si="382"/>
        <v>0</v>
      </c>
      <c r="K144" s="160">
        <f t="shared" si="383"/>
        <v>248.31</v>
      </c>
      <c r="L144" s="152">
        <f t="shared" si="301"/>
        <v>5910</v>
      </c>
      <c r="M144" s="144">
        <f t="shared" si="302"/>
        <v>0</v>
      </c>
      <c r="N144" s="144"/>
      <c r="O144" s="144">
        <f t="shared" si="256"/>
        <v>0</v>
      </c>
      <c r="P144" s="144">
        <f t="shared" si="303"/>
        <v>0</v>
      </c>
      <c r="Q144" s="144">
        <f t="shared" si="304"/>
        <v>0</v>
      </c>
      <c r="R144" s="144">
        <f t="shared" si="305"/>
        <v>0</v>
      </c>
      <c r="S144" s="144">
        <f t="shared" si="306"/>
        <v>0</v>
      </c>
      <c r="T144" s="144">
        <f t="shared" si="307"/>
        <v>1174</v>
      </c>
      <c r="V144" s="150">
        <f>L143+L144</f>
        <v>19648</v>
      </c>
      <c r="W144" s="150">
        <f t="shared" ref="W144" si="406">M143+M144</f>
        <v>0</v>
      </c>
      <c r="X144" s="150"/>
      <c r="Y144" s="150">
        <f t="shared" ref="Y144" si="407">O143+O144</f>
        <v>0</v>
      </c>
      <c r="Z144" s="150">
        <f t="shared" ref="Z144" si="408">P143+P144</f>
        <v>0</v>
      </c>
      <c r="AA144" s="150">
        <f t="shared" ref="AA144" si="409">Q143+Q144</f>
        <v>0</v>
      </c>
      <c r="AB144" s="150">
        <f t="shared" ref="AB144" si="410">R143+R144</f>
        <v>0</v>
      </c>
      <c r="AC144" s="150">
        <f t="shared" ref="AC144" si="411">S143+S144</f>
        <v>0</v>
      </c>
      <c r="AD144" s="150">
        <f t="shared" ref="AD144" si="412">T143+T144</f>
        <v>3745</v>
      </c>
      <c r="AF144" s="158">
        <f t="shared" si="255"/>
        <v>17850</v>
      </c>
      <c r="AG144" s="149">
        <v>3388.0221999999999</v>
      </c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  <c r="BI144" s="149"/>
      <c r="BJ144" s="149"/>
      <c r="BK144" s="149"/>
      <c r="BL144" s="149"/>
      <c r="BM144" s="149"/>
      <c r="BN144" s="149"/>
      <c r="BO144" s="149"/>
      <c r="BP144" s="149"/>
      <c r="BQ144" s="149"/>
      <c r="BR144" s="149"/>
      <c r="BS144" s="149"/>
      <c r="BT144" s="149"/>
      <c r="BU144" s="149"/>
      <c r="BV144" s="149"/>
      <c r="BW144" s="149"/>
      <c r="BX144" s="149"/>
      <c r="BY144" s="149"/>
      <c r="BZ144" s="149"/>
      <c r="CA144" s="149"/>
      <c r="CB144" s="149">
        <v>248.31</v>
      </c>
      <c r="CC144" s="231">
        <f t="shared" si="391"/>
        <v>17850</v>
      </c>
    </row>
    <row r="145" spans="2:81" x14ac:dyDescent="0.25">
      <c r="B145" s="155">
        <v>17900</v>
      </c>
      <c r="C145" s="147">
        <f t="shared" si="252"/>
        <v>2555.2872000000002</v>
      </c>
      <c r="D145" s="147">
        <f t="shared" si="253"/>
        <v>0</v>
      </c>
      <c r="E145" s="147">
        <f t="shared" si="336"/>
        <v>0</v>
      </c>
      <c r="F145" s="147">
        <f t="shared" si="254"/>
        <v>0</v>
      </c>
      <c r="G145" s="147">
        <f t="shared" si="379"/>
        <v>0</v>
      </c>
      <c r="H145" s="147">
        <f t="shared" si="380"/>
        <v>0</v>
      </c>
      <c r="I145" s="147">
        <f t="shared" si="381"/>
        <v>0</v>
      </c>
      <c r="J145" s="156">
        <f t="shared" si="382"/>
        <v>0</v>
      </c>
      <c r="K145" s="157">
        <f t="shared" si="383"/>
        <v>237.69</v>
      </c>
      <c r="L145" s="151">
        <f>ROUNDUP(((C144+C145)*0.5)*(B145-B144)/27,0)</f>
        <v>5504</v>
      </c>
      <c r="M145" s="147">
        <f t="shared" si="302"/>
        <v>0</v>
      </c>
      <c r="N145" s="147"/>
      <c r="O145" s="147">
        <f t="shared" si="256"/>
        <v>0</v>
      </c>
      <c r="P145" s="147">
        <f t="shared" si="303"/>
        <v>0</v>
      </c>
      <c r="Q145" s="147">
        <f t="shared" si="304"/>
        <v>0</v>
      </c>
      <c r="R145" s="147">
        <f t="shared" si="305"/>
        <v>0</v>
      </c>
      <c r="S145" s="147">
        <f t="shared" si="306"/>
        <v>0</v>
      </c>
      <c r="T145" s="147">
        <f t="shared" si="307"/>
        <v>1350</v>
      </c>
      <c r="V145" s="146"/>
      <c r="W145" s="147"/>
      <c r="X145" s="147"/>
      <c r="Y145" s="147"/>
      <c r="Z145" s="147"/>
      <c r="AA145" s="147"/>
      <c r="AB145" s="147"/>
      <c r="AC145" s="147"/>
      <c r="AD145" s="148"/>
      <c r="AF145" s="155">
        <f t="shared" si="255"/>
        <v>17900</v>
      </c>
      <c r="AG145" s="78">
        <v>2555.2872000000002</v>
      </c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  <c r="AV145" s="78"/>
      <c r="AW145" s="78"/>
      <c r="AX145" s="78"/>
      <c r="AY145" s="78"/>
      <c r="AZ145" s="78"/>
      <c r="BA145" s="78"/>
      <c r="BB145" s="78"/>
      <c r="BC145" s="78"/>
      <c r="BD145" s="78"/>
      <c r="BE145" s="78"/>
      <c r="BF145" s="78"/>
      <c r="BG145" s="78"/>
      <c r="BH145" s="78"/>
      <c r="BI145" s="78"/>
      <c r="BJ145" s="78"/>
      <c r="BK145" s="78"/>
      <c r="BL145" s="78"/>
      <c r="BM145" s="78"/>
      <c r="BN145" s="78"/>
      <c r="BO145" s="78"/>
      <c r="BP145" s="78"/>
      <c r="BQ145" s="78"/>
      <c r="BR145" s="78"/>
      <c r="BS145" s="78"/>
      <c r="BT145" s="78"/>
      <c r="BU145" s="78"/>
      <c r="BV145" s="78"/>
      <c r="BW145" s="78"/>
      <c r="BX145" s="78"/>
      <c r="BY145" s="78"/>
      <c r="BZ145" s="78"/>
      <c r="CA145" s="78"/>
      <c r="CB145" s="78">
        <v>237.69</v>
      </c>
      <c r="CC145" s="231">
        <f t="shared" si="391"/>
        <v>17900</v>
      </c>
    </row>
    <row r="146" spans="2:81" s="3" customFormat="1" ht="15.75" thickBot="1" x14ac:dyDescent="0.3">
      <c r="B146" s="158">
        <v>17950</v>
      </c>
      <c r="C146" s="144">
        <f t="shared" si="252"/>
        <v>1900.5572999999999</v>
      </c>
      <c r="D146" s="144">
        <f t="shared" si="253"/>
        <v>10.718500000000001</v>
      </c>
      <c r="E146" s="144">
        <f t="shared" si="336"/>
        <v>0</v>
      </c>
      <c r="F146" s="144">
        <f t="shared" si="254"/>
        <v>0</v>
      </c>
      <c r="G146" s="144">
        <f t="shared" si="379"/>
        <v>0</v>
      </c>
      <c r="H146" s="144">
        <f t="shared" si="380"/>
        <v>0</v>
      </c>
      <c r="I146" s="144">
        <f t="shared" si="381"/>
        <v>0</v>
      </c>
      <c r="J146" s="159">
        <f t="shared" si="382"/>
        <v>0</v>
      </c>
      <c r="K146" s="160">
        <f t="shared" si="383"/>
        <v>228.92</v>
      </c>
      <c r="L146" s="152">
        <f t="shared" si="301"/>
        <v>4126</v>
      </c>
      <c r="M146" s="144">
        <f t="shared" si="302"/>
        <v>10</v>
      </c>
      <c r="N146" s="144"/>
      <c r="O146" s="144">
        <f t="shared" si="256"/>
        <v>0</v>
      </c>
      <c r="P146" s="144">
        <f t="shared" si="303"/>
        <v>0</v>
      </c>
      <c r="Q146" s="144">
        <f t="shared" si="304"/>
        <v>0</v>
      </c>
      <c r="R146" s="144">
        <f t="shared" si="305"/>
        <v>0</v>
      </c>
      <c r="S146" s="144">
        <f t="shared" si="306"/>
        <v>0</v>
      </c>
      <c r="T146" s="144">
        <f t="shared" si="307"/>
        <v>1297</v>
      </c>
      <c r="V146" s="150">
        <f>L145+L146</f>
        <v>9630</v>
      </c>
      <c r="W146" s="150">
        <f t="shared" ref="W146" si="413">M145+M146</f>
        <v>10</v>
      </c>
      <c r="X146" s="150"/>
      <c r="Y146" s="150">
        <f t="shared" ref="Y146" si="414">O145+O146</f>
        <v>0</v>
      </c>
      <c r="Z146" s="150">
        <f t="shared" ref="Z146" si="415">P145+P146</f>
        <v>0</v>
      </c>
      <c r="AA146" s="150">
        <f t="shared" ref="AA146" si="416">Q145+Q146</f>
        <v>0</v>
      </c>
      <c r="AB146" s="150">
        <f t="shared" ref="AB146" si="417">R145+R146</f>
        <v>0</v>
      </c>
      <c r="AC146" s="150">
        <f t="shared" ref="AC146" si="418">S145+S146</f>
        <v>0</v>
      </c>
      <c r="AD146" s="150">
        <f t="shared" ref="AD146" si="419">T145+T146</f>
        <v>2647</v>
      </c>
      <c r="AF146" s="158">
        <f t="shared" si="255"/>
        <v>17950</v>
      </c>
      <c r="AG146" s="149">
        <v>1542.1749</v>
      </c>
      <c r="AH146" s="149">
        <v>358.38240000000002</v>
      </c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>
        <v>10.718500000000001</v>
      </c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  <c r="BI146" s="149"/>
      <c r="BJ146" s="149"/>
      <c r="BK146" s="149"/>
      <c r="BL146" s="149"/>
      <c r="BM146" s="149"/>
      <c r="BN146" s="149"/>
      <c r="BO146" s="149"/>
      <c r="BP146" s="149"/>
      <c r="BQ146" s="149"/>
      <c r="BR146" s="149"/>
      <c r="BS146" s="149"/>
      <c r="BT146" s="149"/>
      <c r="BU146" s="149"/>
      <c r="BV146" s="149"/>
      <c r="BW146" s="149"/>
      <c r="BX146" s="149"/>
      <c r="BY146" s="149"/>
      <c r="BZ146" s="149"/>
      <c r="CA146" s="149"/>
      <c r="CB146" s="149">
        <v>228.92</v>
      </c>
      <c r="CC146" s="231">
        <f t="shared" si="391"/>
        <v>17950</v>
      </c>
    </row>
    <row r="147" spans="2:81" x14ac:dyDescent="0.25">
      <c r="B147" s="155">
        <v>18000</v>
      </c>
      <c r="C147" s="147">
        <f t="shared" si="252"/>
        <v>1712.3598000000002</v>
      </c>
      <c r="D147" s="147">
        <f t="shared" si="253"/>
        <v>332.24930000000001</v>
      </c>
      <c r="E147" s="147">
        <f t="shared" si="336"/>
        <v>0</v>
      </c>
      <c r="F147" s="147">
        <f t="shared" si="254"/>
        <v>0</v>
      </c>
      <c r="G147" s="147">
        <f t="shared" si="379"/>
        <v>0</v>
      </c>
      <c r="H147" s="147">
        <f t="shared" si="380"/>
        <v>0</v>
      </c>
      <c r="I147" s="147">
        <f t="shared" si="381"/>
        <v>0</v>
      </c>
      <c r="J147" s="156">
        <f t="shared" si="382"/>
        <v>0</v>
      </c>
      <c r="K147" s="157">
        <f t="shared" si="383"/>
        <v>227.46</v>
      </c>
      <c r="L147" s="151">
        <f t="shared" si="301"/>
        <v>3346</v>
      </c>
      <c r="M147" s="147">
        <f t="shared" si="302"/>
        <v>318</v>
      </c>
      <c r="N147" s="147"/>
      <c r="O147" s="147">
        <f t="shared" si="256"/>
        <v>0</v>
      </c>
      <c r="P147" s="147">
        <f t="shared" si="303"/>
        <v>0</v>
      </c>
      <c r="Q147" s="147">
        <f t="shared" si="304"/>
        <v>0</v>
      </c>
      <c r="R147" s="147">
        <f t="shared" si="305"/>
        <v>0</v>
      </c>
      <c r="S147" s="147">
        <f t="shared" si="306"/>
        <v>0</v>
      </c>
      <c r="T147" s="147">
        <f t="shared" si="307"/>
        <v>1268</v>
      </c>
      <c r="V147" s="146"/>
      <c r="W147" s="147"/>
      <c r="X147" s="147"/>
      <c r="Y147" s="147"/>
      <c r="Z147" s="147"/>
      <c r="AA147" s="147"/>
      <c r="AB147" s="147"/>
      <c r="AC147" s="147"/>
      <c r="AD147" s="148"/>
      <c r="AF147" s="155">
        <f t="shared" si="255"/>
        <v>18000</v>
      </c>
      <c r="AG147" s="78">
        <v>1697.6084000000001</v>
      </c>
      <c r="AH147" s="78">
        <v>14.7514</v>
      </c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78"/>
      <c r="AV147" s="78"/>
      <c r="AW147" s="78"/>
      <c r="AX147" s="78">
        <v>332.24930000000001</v>
      </c>
      <c r="AY147" s="78"/>
      <c r="AZ147" s="78"/>
      <c r="BA147" s="78"/>
      <c r="BB147" s="78"/>
      <c r="BC147" s="78"/>
      <c r="BD147" s="78"/>
      <c r="BE147" s="78"/>
      <c r="BF147" s="78"/>
      <c r="BG147" s="78"/>
      <c r="BH147" s="78"/>
      <c r="BI147" s="78"/>
      <c r="BJ147" s="78"/>
      <c r="BK147" s="78"/>
      <c r="BL147" s="78"/>
      <c r="BM147" s="78"/>
      <c r="BN147" s="78"/>
      <c r="BO147" s="78"/>
      <c r="BP147" s="78"/>
      <c r="BQ147" s="78"/>
      <c r="BR147" s="78"/>
      <c r="BS147" s="78"/>
      <c r="BT147" s="78"/>
      <c r="BU147" s="78"/>
      <c r="BV147" s="78"/>
      <c r="BW147" s="78"/>
      <c r="BX147" s="78"/>
      <c r="BY147" s="78"/>
      <c r="BZ147" s="78"/>
      <c r="CA147" s="78"/>
      <c r="CB147" s="78">
        <v>227.46</v>
      </c>
      <c r="CC147" s="231">
        <f t="shared" si="391"/>
        <v>18000</v>
      </c>
    </row>
    <row r="148" spans="2:81" s="3" customFormat="1" ht="15.75" thickBot="1" x14ac:dyDescent="0.3">
      <c r="B148" s="158">
        <v>18050</v>
      </c>
      <c r="C148" s="144">
        <f t="shared" si="252"/>
        <v>1541.8942</v>
      </c>
      <c r="D148" s="144">
        <f t="shared" si="253"/>
        <v>1541.8942</v>
      </c>
      <c r="E148" s="144">
        <f t="shared" si="336"/>
        <v>0</v>
      </c>
      <c r="F148" s="144">
        <f t="shared" si="254"/>
        <v>0</v>
      </c>
      <c r="G148" s="144">
        <f t="shared" si="379"/>
        <v>0</v>
      </c>
      <c r="H148" s="144">
        <f t="shared" si="380"/>
        <v>0</v>
      </c>
      <c r="I148" s="144">
        <f t="shared" si="381"/>
        <v>0</v>
      </c>
      <c r="J148" s="159">
        <f t="shared" si="382"/>
        <v>0</v>
      </c>
      <c r="K148" s="160">
        <f t="shared" si="383"/>
        <v>240.09</v>
      </c>
      <c r="L148" s="152">
        <f t="shared" si="301"/>
        <v>3014</v>
      </c>
      <c r="M148" s="144">
        <f>ROUNDUP(((D147+D148)*0.5)*(B148-B147)/27,0)</f>
        <v>1736</v>
      </c>
      <c r="N148" s="144"/>
      <c r="O148" s="144">
        <f t="shared" si="256"/>
        <v>0</v>
      </c>
      <c r="P148" s="144">
        <f t="shared" si="303"/>
        <v>0</v>
      </c>
      <c r="Q148" s="144">
        <f t="shared" si="304"/>
        <v>0</v>
      </c>
      <c r="R148" s="144">
        <f t="shared" si="305"/>
        <v>0</v>
      </c>
      <c r="S148" s="144">
        <f t="shared" si="306"/>
        <v>0</v>
      </c>
      <c r="T148" s="144">
        <f t="shared" si="307"/>
        <v>1299</v>
      </c>
      <c r="V148" s="150">
        <f>L147+L148</f>
        <v>6360</v>
      </c>
      <c r="W148" s="150">
        <f t="shared" ref="W148" si="420">M147+M148</f>
        <v>2054</v>
      </c>
      <c r="X148" s="150"/>
      <c r="Y148" s="150">
        <f t="shared" ref="Y148" si="421">O147+O148</f>
        <v>0</v>
      </c>
      <c r="Z148" s="150">
        <f t="shared" ref="Z148" si="422">P147+P148</f>
        <v>0</v>
      </c>
      <c r="AA148" s="150">
        <f t="shared" ref="AA148" si="423">Q147+Q148</f>
        <v>0</v>
      </c>
      <c r="AB148" s="150">
        <f t="shared" ref="AB148" si="424">R147+R148</f>
        <v>0</v>
      </c>
      <c r="AC148" s="150">
        <f t="shared" ref="AC148" si="425">S147+S148</f>
        <v>0</v>
      </c>
      <c r="AD148" s="150">
        <f t="shared" ref="AD148" si="426">T147+T148</f>
        <v>2567</v>
      </c>
      <c r="AF148" s="158">
        <f t="shared" si="255"/>
        <v>18050</v>
      </c>
      <c r="AG148" s="149">
        <v>1541.8942</v>
      </c>
      <c r="AH148" s="149"/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>
        <v>1541.8942</v>
      </c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  <c r="BI148" s="149"/>
      <c r="BJ148" s="149"/>
      <c r="BK148" s="149"/>
      <c r="BL148" s="149"/>
      <c r="BM148" s="149"/>
      <c r="BN148" s="149"/>
      <c r="BO148" s="149"/>
      <c r="BP148" s="149"/>
      <c r="BQ148" s="149"/>
      <c r="BR148" s="149"/>
      <c r="BS148" s="149"/>
      <c r="BT148" s="149"/>
      <c r="BU148" s="149"/>
      <c r="BV148" s="149"/>
      <c r="BW148" s="149"/>
      <c r="BX148" s="149"/>
      <c r="BY148" s="149"/>
      <c r="BZ148" s="149"/>
      <c r="CA148" s="149"/>
      <c r="CB148" s="149">
        <v>240.09</v>
      </c>
      <c r="CC148" s="231">
        <f t="shared" si="391"/>
        <v>18050</v>
      </c>
    </row>
    <row r="149" spans="2:81" x14ac:dyDescent="0.25">
      <c r="B149" s="155">
        <v>18100</v>
      </c>
      <c r="C149" s="147">
        <f t="shared" si="252"/>
        <v>1807.6750999999999</v>
      </c>
      <c r="D149" s="147">
        <f t="shared" si="253"/>
        <v>910.58449999999993</v>
      </c>
      <c r="E149" s="147">
        <f t="shared" si="336"/>
        <v>0</v>
      </c>
      <c r="F149" s="147">
        <f t="shared" si="254"/>
        <v>785.84109999999998</v>
      </c>
      <c r="G149" s="147">
        <f t="shared" si="379"/>
        <v>0</v>
      </c>
      <c r="H149" s="147">
        <f t="shared" si="380"/>
        <v>0</v>
      </c>
      <c r="I149" s="147">
        <f t="shared" si="381"/>
        <v>0</v>
      </c>
      <c r="J149" s="156">
        <f t="shared" si="382"/>
        <v>0</v>
      </c>
      <c r="K149" s="157">
        <f t="shared" si="383"/>
        <v>268.82</v>
      </c>
      <c r="L149" s="151">
        <f t="shared" si="301"/>
        <v>3102</v>
      </c>
      <c r="M149" s="147">
        <f t="shared" si="302"/>
        <v>2271</v>
      </c>
      <c r="N149" s="147"/>
      <c r="O149" s="147">
        <f>ROUNDUP(((F148+F149)*0.5)*(B149-B148)/27,0)</f>
        <v>728</v>
      </c>
      <c r="P149" s="147">
        <f t="shared" si="303"/>
        <v>0</v>
      </c>
      <c r="Q149" s="147">
        <f t="shared" si="304"/>
        <v>0</v>
      </c>
      <c r="R149" s="147">
        <f t="shared" si="305"/>
        <v>0</v>
      </c>
      <c r="S149" s="147">
        <f t="shared" si="306"/>
        <v>0</v>
      </c>
      <c r="T149" s="147">
        <f t="shared" si="307"/>
        <v>1414</v>
      </c>
      <c r="V149" s="146"/>
      <c r="W149" s="147"/>
      <c r="X149" s="147"/>
      <c r="Y149" s="147"/>
      <c r="Z149" s="147"/>
      <c r="AA149" s="147"/>
      <c r="AB149" s="147"/>
      <c r="AC149" s="147"/>
      <c r="AD149" s="148"/>
      <c r="AF149" s="155">
        <f t="shared" si="255"/>
        <v>18100</v>
      </c>
      <c r="AG149" s="78">
        <v>1105.3896999999999</v>
      </c>
      <c r="AH149" s="78">
        <v>267.10939999999999</v>
      </c>
      <c r="AI149" s="78">
        <v>435.17599999999999</v>
      </c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  <c r="AV149" s="78"/>
      <c r="AW149" s="78"/>
      <c r="AX149" s="78">
        <v>267.10939999999999</v>
      </c>
      <c r="AY149" s="78">
        <v>643.4751</v>
      </c>
      <c r="AZ149" s="78"/>
      <c r="BA149" s="78"/>
      <c r="BB149" s="78"/>
      <c r="BC149" s="78"/>
      <c r="BD149" s="78"/>
      <c r="BE149" s="78"/>
      <c r="BF149" s="78"/>
      <c r="BG149" s="78"/>
      <c r="BH149" s="78"/>
      <c r="BI149" s="78"/>
      <c r="BJ149" s="78"/>
      <c r="BK149" s="78">
        <v>785.84109999999998</v>
      </c>
      <c r="BL149" s="78"/>
      <c r="BM149" s="78"/>
      <c r="BN149" s="78"/>
      <c r="BO149" s="78"/>
      <c r="BP149" s="78"/>
      <c r="BQ149" s="78"/>
      <c r="BR149" s="78"/>
      <c r="BS149" s="78"/>
      <c r="BT149" s="78"/>
      <c r="BU149" s="78"/>
      <c r="BV149" s="78"/>
      <c r="BW149" s="78"/>
      <c r="BX149" s="78"/>
      <c r="BY149" s="78"/>
      <c r="BZ149" s="78"/>
      <c r="CA149" s="78"/>
      <c r="CB149" s="78">
        <v>268.82</v>
      </c>
      <c r="CC149" s="231">
        <f t="shared" si="391"/>
        <v>18100</v>
      </c>
    </row>
    <row r="150" spans="2:81" x14ac:dyDescent="0.25">
      <c r="B150" s="57">
        <v>18150</v>
      </c>
      <c r="C150" s="58">
        <f t="shared" si="252"/>
        <v>1415.9002</v>
      </c>
      <c r="D150" s="58">
        <f t="shared" si="253"/>
        <v>817.50829999999996</v>
      </c>
      <c r="E150" s="58">
        <f t="shared" si="336"/>
        <v>0</v>
      </c>
      <c r="F150" s="58">
        <f t="shared" si="254"/>
        <v>706.40350000000001</v>
      </c>
      <c r="G150" s="58">
        <f t="shared" si="379"/>
        <v>0</v>
      </c>
      <c r="H150" s="58">
        <f t="shared" si="380"/>
        <v>0</v>
      </c>
      <c r="I150" s="58">
        <f t="shared" si="381"/>
        <v>0</v>
      </c>
      <c r="J150" s="51">
        <f t="shared" si="382"/>
        <v>0</v>
      </c>
      <c r="K150" s="99">
        <f t="shared" si="383"/>
        <v>254.46</v>
      </c>
      <c r="L150" s="105">
        <f t="shared" si="301"/>
        <v>2985</v>
      </c>
      <c r="M150" s="58">
        <f t="shared" si="302"/>
        <v>1601</v>
      </c>
      <c r="N150" s="58"/>
      <c r="O150" s="58">
        <f>ROUNDUP(((F149+F150)*0.5)*(B150-B149)/27,0)</f>
        <v>1382</v>
      </c>
      <c r="P150" s="58">
        <f t="shared" si="303"/>
        <v>0</v>
      </c>
      <c r="Q150" s="58">
        <f t="shared" si="304"/>
        <v>0</v>
      </c>
      <c r="R150" s="58">
        <f t="shared" si="305"/>
        <v>0</v>
      </c>
      <c r="S150" s="58">
        <f t="shared" si="306"/>
        <v>0</v>
      </c>
      <c r="T150" s="58">
        <f t="shared" si="307"/>
        <v>1454</v>
      </c>
      <c r="V150" s="137"/>
      <c r="W150" s="58"/>
      <c r="X150" s="58"/>
      <c r="Y150" s="58"/>
      <c r="Z150" s="58"/>
      <c r="AA150" s="58"/>
      <c r="AB150" s="58"/>
      <c r="AC150" s="58"/>
      <c r="AD150" s="138"/>
      <c r="AF150" s="57">
        <f t="shared" si="255"/>
        <v>18150</v>
      </c>
      <c r="AG150" s="49">
        <v>762.71749999999997</v>
      </c>
      <c r="AH150" s="49">
        <v>254.5761</v>
      </c>
      <c r="AI150" s="49">
        <v>398.60660000000001</v>
      </c>
      <c r="AJ150" s="49"/>
      <c r="AK150" s="49"/>
      <c r="AL150" s="49"/>
      <c r="AM150" s="49"/>
      <c r="AN150" s="49"/>
      <c r="AO150" s="49"/>
      <c r="AP150" s="49"/>
      <c r="AQ150" s="49"/>
      <c r="AR150" s="49"/>
      <c r="AS150" s="49"/>
      <c r="AT150" s="49"/>
      <c r="AU150" s="49"/>
      <c r="AV150" s="49"/>
      <c r="AW150" s="49"/>
      <c r="AX150" s="49">
        <v>254.5761</v>
      </c>
      <c r="AY150" s="49">
        <v>562.93219999999997</v>
      </c>
      <c r="AZ150" s="49"/>
      <c r="BA150" s="49"/>
      <c r="BB150" s="49"/>
      <c r="BC150" s="49"/>
      <c r="BD150" s="49"/>
      <c r="BE150" s="49"/>
      <c r="BF150" s="49"/>
      <c r="BG150" s="49"/>
      <c r="BH150" s="49"/>
      <c r="BI150" s="49"/>
      <c r="BJ150" s="49"/>
      <c r="BK150" s="49">
        <v>706.40350000000001</v>
      </c>
      <c r="BL150" s="49"/>
      <c r="BM150" s="49"/>
      <c r="BN150" s="49"/>
      <c r="BO150" s="49"/>
      <c r="BP150" s="49"/>
      <c r="BQ150" s="49"/>
      <c r="BR150" s="49"/>
      <c r="BS150" s="49"/>
      <c r="BT150" s="49"/>
      <c r="BU150" s="49"/>
      <c r="BV150" s="49"/>
      <c r="BW150" s="49"/>
      <c r="BX150" s="49"/>
      <c r="BY150" s="49"/>
      <c r="BZ150" s="49"/>
      <c r="CA150" s="49"/>
      <c r="CB150" s="49">
        <v>254.46</v>
      </c>
      <c r="CC150" s="231">
        <f t="shared" si="391"/>
        <v>18150</v>
      </c>
    </row>
    <row r="151" spans="2:81" s="3" customFormat="1" ht="15.75" thickBot="1" x14ac:dyDescent="0.3">
      <c r="B151" s="158">
        <v>18200</v>
      </c>
      <c r="C151" s="144">
        <f t="shared" si="252"/>
        <v>905.32529999999997</v>
      </c>
      <c r="D151" s="144">
        <f t="shared" si="253"/>
        <v>796.00430000000006</v>
      </c>
      <c r="E151" s="144">
        <f t="shared" si="336"/>
        <v>0</v>
      </c>
      <c r="F151" s="144">
        <f t="shared" si="254"/>
        <v>0</v>
      </c>
      <c r="G151" s="144">
        <f t="shared" si="379"/>
        <v>0</v>
      </c>
      <c r="H151" s="144">
        <f t="shared" si="380"/>
        <v>0</v>
      </c>
      <c r="I151" s="144">
        <f t="shared" si="381"/>
        <v>0</v>
      </c>
      <c r="J151" s="159">
        <f t="shared" si="382"/>
        <v>0</v>
      </c>
      <c r="K151" s="160">
        <f t="shared" si="383"/>
        <v>176.2</v>
      </c>
      <c r="L151" s="152">
        <f t="shared" si="301"/>
        <v>2150</v>
      </c>
      <c r="M151" s="144">
        <f t="shared" si="302"/>
        <v>1494</v>
      </c>
      <c r="N151" s="144"/>
      <c r="O151" s="144">
        <f t="shared" si="256"/>
        <v>655</v>
      </c>
      <c r="P151" s="144">
        <f t="shared" si="303"/>
        <v>0</v>
      </c>
      <c r="Q151" s="144">
        <f t="shared" si="304"/>
        <v>0</v>
      </c>
      <c r="R151" s="144">
        <f t="shared" si="305"/>
        <v>0</v>
      </c>
      <c r="S151" s="144">
        <f t="shared" si="306"/>
        <v>0</v>
      </c>
      <c r="T151" s="144">
        <f t="shared" si="307"/>
        <v>1197</v>
      </c>
      <c r="V151" s="150">
        <f>L149+L150+L151</f>
        <v>8237</v>
      </c>
      <c r="W151" s="150">
        <f t="shared" ref="W151" si="427">M149+M150+M151</f>
        <v>5366</v>
      </c>
      <c r="X151" s="150"/>
      <c r="Y151" s="150">
        <f t="shared" ref="Y151" si="428">O149+O150+O151</f>
        <v>2765</v>
      </c>
      <c r="Z151" s="150">
        <f t="shared" ref="Z151" si="429">P149+P150+P151</f>
        <v>0</v>
      </c>
      <c r="AA151" s="150">
        <f t="shared" ref="AA151" si="430">Q149+Q150+Q151</f>
        <v>0</v>
      </c>
      <c r="AB151" s="150">
        <f t="shared" ref="AB151" si="431">R149+R150+R151</f>
        <v>0</v>
      </c>
      <c r="AC151" s="150">
        <f t="shared" ref="AC151" si="432">S149+S150+S151</f>
        <v>0</v>
      </c>
      <c r="AD151" s="150">
        <f t="shared" ref="AD151" si="433">T149+T150+T151</f>
        <v>4065</v>
      </c>
      <c r="AF151" s="158">
        <f t="shared" si="255"/>
        <v>18200</v>
      </c>
      <c r="AG151" s="149">
        <v>523.46389999999997</v>
      </c>
      <c r="AH151" s="149">
        <v>302.06020000000001</v>
      </c>
      <c r="AI151" s="149">
        <v>79.801199999999994</v>
      </c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>
        <v>302.06020000000001</v>
      </c>
      <c r="AY151" s="149">
        <v>79.801199999999994</v>
      </c>
      <c r="AZ151" s="149">
        <v>414.1429</v>
      </c>
      <c r="BA151" s="149"/>
      <c r="BB151" s="149"/>
      <c r="BC151" s="149"/>
      <c r="BD151" s="149"/>
      <c r="BE151" s="149"/>
      <c r="BF151" s="149"/>
      <c r="BG151" s="149"/>
      <c r="BH151" s="149"/>
      <c r="BI151" s="149"/>
      <c r="BJ151" s="149"/>
      <c r="BK151" s="149"/>
      <c r="BL151" s="149"/>
      <c r="BM151" s="149"/>
      <c r="BN151" s="149"/>
      <c r="BO151" s="149"/>
      <c r="BP151" s="149"/>
      <c r="BQ151" s="149"/>
      <c r="BR151" s="149"/>
      <c r="BS151" s="149"/>
      <c r="BT151" s="149"/>
      <c r="BU151" s="149"/>
      <c r="BV151" s="149"/>
      <c r="BW151" s="149"/>
      <c r="BX151" s="149"/>
      <c r="BY151" s="149"/>
      <c r="BZ151" s="149"/>
      <c r="CA151" s="149"/>
      <c r="CB151" s="149">
        <v>176.2</v>
      </c>
      <c r="CC151" s="231">
        <f t="shared" si="391"/>
        <v>18200</v>
      </c>
    </row>
    <row r="152" spans="2:81" x14ac:dyDescent="0.25">
      <c r="B152" s="155">
        <v>18250</v>
      </c>
      <c r="C152" s="147">
        <f t="shared" si="252"/>
        <v>967.07850000000008</v>
      </c>
      <c r="D152" s="147">
        <f t="shared" si="253"/>
        <v>2042.8861000000002</v>
      </c>
      <c r="E152" s="147">
        <f t="shared" si="336"/>
        <v>0</v>
      </c>
      <c r="F152" s="147">
        <f t="shared" si="254"/>
        <v>0</v>
      </c>
      <c r="G152" s="147">
        <f t="shared" si="379"/>
        <v>0</v>
      </c>
      <c r="H152" s="147">
        <f t="shared" si="380"/>
        <v>0</v>
      </c>
      <c r="I152" s="147">
        <f t="shared" si="381"/>
        <v>0</v>
      </c>
      <c r="J152" s="156">
        <f t="shared" si="382"/>
        <v>0</v>
      </c>
      <c r="K152" s="157">
        <f t="shared" si="383"/>
        <v>136.77000000000001</v>
      </c>
      <c r="L152" s="151">
        <f t="shared" si="301"/>
        <v>1734</v>
      </c>
      <c r="M152" s="147">
        <f t="shared" si="302"/>
        <v>2629</v>
      </c>
      <c r="N152" s="147"/>
      <c r="O152" s="147">
        <f t="shared" si="256"/>
        <v>0</v>
      </c>
      <c r="P152" s="147">
        <f t="shared" si="303"/>
        <v>0</v>
      </c>
      <c r="Q152" s="147">
        <f t="shared" si="304"/>
        <v>0</v>
      </c>
      <c r="R152" s="147">
        <f t="shared" si="305"/>
        <v>0</v>
      </c>
      <c r="S152" s="147">
        <f t="shared" si="306"/>
        <v>0</v>
      </c>
      <c r="T152" s="147">
        <f t="shared" si="307"/>
        <v>870</v>
      </c>
      <c r="V152" s="146"/>
      <c r="W152" s="147"/>
      <c r="X152" s="147"/>
      <c r="Y152" s="147"/>
      <c r="Z152" s="147"/>
      <c r="AA152" s="147"/>
      <c r="AB152" s="147"/>
      <c r="AC152" s="147"/>
      <c r="AD152" s="148"/>
      <c r="AF152" s="155">
        <f t="shared" si="255"/>
        <v>18250</v>
      </c>
      <c r="AG152" s="78">
        <v>27.537500000000001</v>
      </c>
      <c r="AH152" s="78">
        <v>284.18340000000001</v>
      </c>
      <c r="AI152" s="78">
        <v>655.35760000000005</v>
      </c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  <c r="AV152" s="78"/>
      <c r="AW152" s="78"/>
      <c r="AX152" s="78">
        <v>284.18340000000001</v>
      </c>
      <c r="AY152" s="78">
        <v>655.35760000000005</v>
      </c>
      <c r="AZ152" s="78">
        <v>1103.3451</v>
      </c>
      <c r="BA152" s="78"/>
      <c r="BB152" s="78"/>
      <c r="BC152" s="78"/>
      <c r="BD152" s="78"/>
      <c r="BE152" s="78"/>
      <c r="BF152" s="78"/>
      <c r="BG152" s="78"/>
      <c r="BH152" s="78"/>
      <c r="BI152" s="78"/>
      <c r="BJ152" s="78"/>
      <c r="BK152" s="78"/>
      <c r="BL152" s="78"/>
      <c r="BM152" s="78"/>
      <c r="BN152" s="78"/>
      <c r="BO152" s="78"/>
      <c r="BP152" s="78"/>
      <c r="BQ152" s="78"/>
      <c r="BR152" s="78"/>
      <c r="BS152" s="78"/>
      <c r="BT152" s="78"/>
      <c r="BU152" s="78"/>
      <c r="BV152" s="78"/>
      <c r="BW152" s="78"/>
      <c r="BX152" s="78"/>
      <c r="BY152" s="78"/>
      <c r="BZ152" s="78"/>
      <c r="CA152" s="78"/>
      <c r="CB152" s="78">
        <v>136.77000000000001</v>
      </c>
      <c r="CC152" s="231">
        <f t="shared" si="391"/>
        <v>18250</v>
      </c>
    </row>
    <row r="153" spans="2:81" x14ac:dyDescent="0.25">
      <c r="B153" s="57">
        <v>18300</v>
      </c>
      <c r="C153" s="58">
        <f t="shared" ref="C153:C215" si="434">AG153+AH153+AI153+AJ153+AK153+AL153+AM153</f>
        <v>957.59589999999992</v>
      </c>
      <c r="D153" s="58">
        <f t="shared" ref="D153:D184" si="435">AX153+AY153+AZ153+BA153+BB153+BC153</f>
        <v>5147.5974999999999</v>
      </c>
      <c r="E153" s="58">
        <f t="shared" si="336"/>
        <v>0</v>
      </c>
      <c r="F153" s="58">
        <f t="shared" ref="F153:F217" si="436">BK153+BL153+BM153</f>
        <v>0</v>
      </c>
      <c r="G153" s="58">
        <f t="shared" si="379"/>
        <v>0</v>
      </c>
      <c r="H153" s="58">
        <f t="shared" si="380"/>
        <v>0</v>
      </c>
      <c r="I153" s="58">
        <f t="shared" si="381"/>
        <v>0</v>
      </c>
      <c r="J153" s="51">
        <f t="shared" si="382"/>
        <v>0</v>
      </c>
      <c r="K153" s="99">
        <f t="shared" si="383"/>
        <v>260.68</v>
      </c>
      <c r="L153" s="105">
        <f t="shared" si="301"/>
        <v>1783</v>
      </c>
      <c r="M153" s="58">
        <f t="shared" si="302"/>
        <v>6658</v>
      </c>
      <c r="N153" s="58"/>
      <c r="O153" s="58">
        <f t="shared" si="256"/>
        <v>0</v>
      </c>
      <c r="P153" s="58">
        <f t="shared" si="303"/>
        <v>0</v>
      </c>
      <c r="Q153" s="58">
        <f t="shared" si="304"/>
        <v>0</v>
      </c>
      <c r="R153" s="58">
        <f t="shared" si="305"/>
        <v>0</v>
      </c>
      <c r="S153" s="58">
        <f t="shared" si="306"/>
        <v>0</v>
      </c>
      <c r="T153" s="58">
        <f t="shared" si="307"/>
        <v>1105</v>
      </c>
      <c r="V153" s="137"/>
      <c r="W153" s="58"/>
      <c r="X153" s="58"/>
      <c r="Y153" s="58"/>
      <c r="Z153" s="58"/>
      <c r="AA153" s="58"/>
      <c r="AB153" s="58"/>
      <c r="AC153" s="58"/>
      <c r="AD153" s="138"/>
      <c r="AF153" s="57">
        <f t="shared" si="255"/>
        <v>18300</v>
      </c>
      <c r="AG153" s="49">
        <v>338.47829999999999</v>
      </c>
      <c r="AH153" s="49">
        <v>131.2106</v>
      </c>
      <c r="AI153" s="49">
        <v>250.0472</v>
      </c>
      <c r="AJ153" s="49">
        <v>137.3502</v>
      </c>
      <c r="AK153" s="49">
        <v>100.50960000000001</v>
      </c>
      <c r="AL153" s="49"/>
      <c r="AM153" s="49"/>
      <c r="AN153" s="49"/>
      <c r="AO153" s="49"/>
      <c r="AP153" s="49"/>
      <c r="AQ153" s="49"/>
      <c r="AR153" s="49"/>
      <c r="AS153" s="49"/>
      <c r="AT153" s="49"/>
      <c r="AU153" s="49"/>
      <c r="AV153" s="49"/>
      <c r="AW153" s="49"/>
      <c r="AX153" s="49">
        <v>338.47829999999999</v>
      </c>
      <c r="AY153" s="49">
        <v>131.2106</v>
      </c>
      <c r="AZ153" s="49">
        <v>250.0472</v>
      </c>
      <c r="BA153" s="49">
        <v>137.3502</v>
      </c>
      <c r="BB153" s="49">
        <v>100.50960000000001</v>
      </c>
      <c r="BC153" s="49">
        <v>4190.0015999999996</v>
      </c>
      <c r="BD153" s="49"/>
      <c r="BE153" s="49"/>
      <c r="BF153" s="49"/>
      <c r="BG153" s="49"/>
      <c r="BH153" s="49"/>
      <c r="BI153" s="49"/>
      <c r="BJ153" s="49"/>
      <c r="BK153" s="49"/>
      <c r="BL153" s="49"/>
      <c r="BM153" s="49"/>
      <c r="BN153" s="49"/>
      <c r="BO153" s="49"/>
      <c r="BP153" s="49"/>
      <c r="BQ153" s="49"/>
      <c r="BR153" s="49"/>
      <c r="BS153" s="49"/>
      <c r="BT153" s="49"/>
      <c r="BU153" s="49"/>
      <c r="BV153" s="49"/>
      <c r="BW153" s="49"/>
      <c r="BX153" s="49"/>
      <c r="BY153" s="49"/>
      <c r="BZ153" s="49"/>
      <c r="CA153" s="49"/>
      <c r="CB153" s="49">
        <v>260.68</v>
      </c>
      <c r="CC153" s="231">
        <f t="shared" si="391"/>
        <v>18300</v>
      </c>
    </row>
    <row r="154" spans="2:81" s="3" customFormat="1" ht="15.75" thickBot="1" x14ac:dyDescent="0.3">
      <c r="B154" s="158">
        <v>18350</v>
      </c>
      <c r="C154" s="144">
        <f t="shared" si="434"/>
        <v>8.6036999999999999</v>
      </c>
      <c r="D154" s="144">
        <f t="shared" si="435"/>
        <v>7505.7713999999996</v>
      </c>
      <c r="E154" s="144">
        <f t="shared" si="336"/>
        <v>0</v>
      </c>
      <c r="F154" s="144">
        <f t="shared" si="436"/>
        <v>0</v>
      </c>
      <c r="G154" s="144">
        <f t="shared" si="379"/>
        <v>0</v>
      </c>
      <c r="H154" s="144">
        <f t="shared" si="380"/>
        <v>0</v>
      </c>
      <c r="I154" s="144">
        <f t="shared" si="381"/>
        <v>0</v>
      </c>
      <c r="J154" s="159">
        <f t="shared" si="382"/>
        <v>0</v>
      </c>
      <c r="K154" s="160">
        <f t="shared" si="383"/>
        <v>321.38</v>
      </c>
      <c r="L154" s="152">
        <f t="shared" si="301"/>
        <v>895</v>
      </c>
      <c r="M154" s="144">
        <f t="shared" si="302"/>
        <v>11717</v>
      </c>
      <c r="N154" s="144"/>
      <c r="O154" s="144">
        <f t="shared" ref="O154:O178" si="437">ROUNDUP(((F153+F154)*0.5)*(B154-B153)/27,0)</f>
        <v>0</v>
      </c>
      <c r="P154" s="144">
        <f t="shared" si="303"/>
        <v>0</v>
      </c>
      <c r="Q154" s="144">
        <f t="shared" si="304"/>
        <v>0</v>
      </c>
      <c r="R154" s="144">
        <f t="shared" si="305"/>
        <v>0</v>
      </c>
      <c r="S154" s="144">
        <f t="shared" si="306"/>
        <v>0</v>
      </c>
      <c r="T154" s="144">
        <f t="shared" si="307"/>
        <v>1617</v>
      </c>
      <c r="V154" s="150">
        <f>L152+L153+L154</f>
        <v>4412</v>
      </c>
      <c r="W154" s="150">
        <f t="shared" ref="W154" si="438">M152+M153+M154</f>
        <v>21004</v>
      </c>
      <c r="X154" s="150"/>
      <c r="Y154" s="150">
        <f t="shared" ref="Y154" si="439">O152+O153+O154</f>
        <v>0</v>
      </c>
      <c r="Z154" s="150">
        <f t="shared" ref="Z154" si="440">P152+P153+P154</f>
        <v>0</v>
      </c>
      <c r="AA154" s="150">
        <f t="shared" ref="AA154" si="441">Q152+Q153+Q154</f>
        <v>0</v>
      </c>
      <c r="AB154" s="150">
        <f t="shared" ref="AB154" si="442">R152+R153+R154</f>
        <v>0</v>
      </c>
      <c r="AC154" s="150">
        <f t="shared" ref="AC154" si="443">S152+S153+S154</f>
        <v>0</v>
      </c>
      <c r="AD154" s="150">
        <f t="shared" ref="AD154" si="444">T152+T153+T154</f>
        <v>3592</v>
      </c>
      <c r="AF154" s="158">
        <f t="shared" si="255"/>
        <v>18350</v>
      </c>
      <c r="AG154" s="149">
        <v>8.6036999999999999</v>
      </c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>
        <v>7505.7713999999996</v>
      </c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  <c r="BI154" s="149"/>
      <c r="BJ154" s="149"/>
      <c r="BK154" s="149"/>
      <c r="BL154" s="149"/>
      <c r="BM154" s="149"/>
      <c r="BN154" s="149"/>
      <c r="BO154" s="149"/>
      <c r="BP154" s="149"/>
      <c r="BQ154" s="149"/>
      <c r="BR154" s="149"/>
      <c r="BS154" s="149"/>
      <c r="BT154" s="149"/>
      <c r="BU154" s="149"/>
      <c r="BV154" s="149"/>
      <c r="BW154" s="149"/>
      <c r="BX154" s="149"/>
      <c r="BY154" s="149"/>
      <c r="BZ154" s="149"/>
      <c r="CA154" s="149"/>
      <c r="CB154" s="149">
        <v>321.38</v>
      </c>
      <c r="CC154" s="231">
        <f t="shared" si="391"/>
        <v>18350</v>
      </c>
    </row>
    <row r="155" spans="2:81" x14ac:dyDescent="0.25">
      <c r="B155" s="155">
        <v>18400</v>
      </c>
      <c r="C155" s="147">
        <f t="shared" si="434"/>
        <v>148.64769999999999</v>
      </c>
      <c r="D155" s="147">
        <f t="shared" si="435"/>
        <v>10067.4635</v>
      </c>
      <c r="E155" s="147">
        <f t="shared" si="336"/>
        <v>0</v>
      </c>
      <c r="F155" s="147">
        <f t="shared" si="436"/>
        <v>0</v>
      </c>
      <c r="G155" s="147">
        <f t="shared" si="379"/>
        <v>0</v>
      </c>
      <c r="H155" s="147">
        <f t="shared" si="380"/>
        <v>0</v>
      </c>
      <c r="I155" s="147">
        <f t="shared" si="381"/>
        <v>0</v>
      </c>
      <c r="J155" s="156">
        <f t="shared" si="382"/>
        <v>0</v>
      </c>
      <c r="K155" s="157">
        <f t="shared" si="383"/>
        <v>377.82</v>
      </c>
      <c r="L155" s="151">
        <f t="shared" si="301"/>
        <v>146</v>
      </c>
      <c r="M155" s="147">
        <f t="shared" si="302"/>
        <v>16272</v>
      </c>
      <c r="N155" s="147"/>
      <c r="O155" s="147">
        <f t="shared" si="437"/>
        <v>0</v>
      </c>
      <c r="P155" s="147">
        <f t="shared" si="303"/>
        <v>0</v>
      </c>
      <c r="Q155" s="147">
        <f t="shared" si="304"/>
        <v>0</v>
      </c>
      <c r="R155" s="147">
        <f t="shared" si="305"/>
        <v>0</v>
      </c>
      <c r="S155" s="147">
        <f t="shared" si="306"/>
        <v>0</v>
      </c>
      <c r="T155" s="147">
        <f t="shared" si="307"/>
        <v>1943</v>
      </c>
      <c r="V155" s="146"/>
      <c r="W155" s="147"/>
      <c r="X155" s="147"/>
      <c r="Y155" s="147"/>
      <c r="Z155" s="147"/>
      <c r="AA155" s="147"/>
      <c r="AB155" s="147"/>
      <c r="AC155" s="147"/>
      <c r="AD155" s="148"/>
      <c r="AF155" s="155">
        <f t="shared" ref="AF155:AF219" si="445">B155</f>
        <v>18400</v>
      </c>
      <c r="AG155" s="78">
        <v>148.64769999999999</v>
      </c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78">
        <v>10039.0872</v>
      </c>
      <c r="AY155" s="78">
        <v>28.376300000000001</v>
      </c>
      <c r="AZ155" s="78"/>
      <c r="BA155" s="78"/>
      <c r="BB155" s="78"/>
      <c r="BC155" s="78"/>
      <c r="BD155" s="78"/>
      <c r="BE155" s="78"/>
      <c r="BF155" s="78"/>
      <c r="BG155" s="78"/>
      <c r="BH155" s="78"/>
      <c r="BI155" s="78"/>
      <c r="BJ155" s="78"/>
      <c r="BK155" s="78"/>
      <c r="BL155" s="78"/>
      <c r="BM155" s="78"/>
      <c r="BN155" s="78"/>
      <c r="BO155" s="78"/>
      <c r="BP155" s="78"/>
      <c r="BQ155" s="78"/>
      <c r="BR155" s="78"/>
      <c r="BS155" s="78"/>
      <c r="BT155" s="78"/>
      <c r="BU155" s="78"/>
      <c r="BV155" s="78"/>
      <c r="BW155" s="78"/>
      <c r="BX155" s="78"/>
      <c r="BY155" s="78"/>
      <c r="BZ155" s="78"/>
      <c r="CA155" s="78"/>
      <c r="CB155" s="78">
        <v>377.82</v>
      </c>
      <c r="CC155" s="231">
        <f t="shared" si="391"/>
        <v>18400</v>
      </c>
    </row>
    <row r="156" spans="2:81" x14ac:dyDescent="0.25">
      <c r="B156" s="57">
        <v>18450</v>
      </c>
      <c r="C156" s="58">
        <f t="shared" si="434"/>
        <v>4.4713000000000003</v>
      </c>
      <c r="D156" s="58">
        <f t="shared" si="435"/>
        <v>10955.034300000001</v>
      </c>
      <c r="E156" s="58">
        <f t="shared" si="336"/>
        <v>0</v>
      </c>
      <c r="F156" s="58">
        <f t="shared" si="436"/>
        <v>0</v>
      </c>
      <c r="G156" s="58">
        <f t="shared" si="379"/>
        <v>0</v>
      </c>
      <c r="H156" s="58">
        <f t="shared" si="380"/>
        <v>0</v>
      </c>
      <c r="I156" s="58">
        <f t="shared" si="381"/>
        <v>0</v>
      </c>
      <c r="J156" s="51">
        <f t="shared" si="382"/>
        <v>0</v>
      </c>
      <c r="K156" s="99">
        <f t="shared" si="383"/>
        <v>414.15</v>
      </c>
      <c r="L156" s="105">
        <f t="shared" si="301"/>
        <v>142</v>
      </c>
      <c r="M156" s="58">
        <f t="shared" si="302"/>
        <v>19466</v>
      </c>
      <c r="N156" s="58"/>
      <c r="O156" s="58">
        <f t="shared" si="437"/>
        <v>0</v>
      </c>
      <c r="P156" s="58">
        <f t="shared" si="303"/>
        <v>0</v>
      </c>
      <c r="Q156" s="58">
        <f t="shared" si="304"/>
        <v>0</v>
      </c>
      <c r="R156" s="58">
        <f t="shared" si="305"/>
        <v>0</v>
      </c>
      <c r="S156" s="58">
        <f t="shared" si="306"/>
        <v>0</v>
      </c>
      <c r="T156" s="58">
        <f t="shared" si="307"/>
        <v>2200</v>
      </c>
      <c r="V156" s="137"/>
      <c r="W156" s="58"/>
      <c r="X156" s="58"/>
      <c r="Y156" s="58"/>
      <c r="Z156" s="58"/>
      <c r="AA156" s="58"/>
      <c r="AB156" s="58"/>
      <c r="AC156" s="58"/>
      <c r="AD156" s="138"/>
      <c r="AF156" s="57">
        <f t="shared" si="445"/>
        <v>18450</v>
      </c>
      <c r="AG156" s="49">
        <v>4.4713000000000003</v>
      </c>
      <c r="AH156" s="49"/>
      <c r="AI156" s="49"/>
      <c r="AJ156" s="49"/>
      <c r="AK156" s="49"/>
      <c r="AL156" s="49"/>
      <c r="AM156" s="49"/>
      <c r="AN156" s="49"/>
      <c r="AO156" s="49"/>
      <c r="AP156" s="49"/>
      <c r="AQ156" s="49"/>
      <c r="AR156" s="49"/>
      <c r="AS156" s="49"/>
      <c r="AT156" s="49"/>
      <c r="AU156" s="49"/>
      <c r="AV156" s="49"/>
      <c r="AW156" s="49"/>
      <c r="AX156" s="49">
        <v>52.859699999999997</v>
      </c>
      <c r="AY156" s="49">
        <v>10879.7389</v>
      </c>
      <c r="AZ156" s="49">
        <v>22.435700000000001</v>
      </c>
      <c r="BA156" s="49"/>
      <c r="BB156" s="49"/>
      <c r="BC156" s="49"/>
      <c r="BD156" s="49"/>
      <c r="BE156" s="49"/>
      <c r="BF156" s="49"/>
      <c r="BG156" s="49"/>
      <c r="BH156" s="49"/>
      <c r="BI156" s="49"/>
      <c r="BJ156" s="49"/>
      <c r="BK156" s="49"/>
      <c r="BL156" s="49"/>
      <c r="BM156" s="49"/>
      <c r="BN156" s="49"/>
      <c r="BO156" s="49"/>
      <c r="BP156" s="49"/>
      <c r="BQ156" s="49"/>
      <c r="BR156" s="49"/>
      <c r="BS156" s="49"/>
      <c r="BT156" s="49"/>
      <c r="BU156" s="49"/>
      <c r="BV156" s="49"/>
      <c r="BW156" s="49"/>
      <c r="BX156" s="49"/>
      <c r="BY156" s="49"/>
      <c r="BZ156" s="49"/>
      <c r="CA156" s="49"/>
      <c r="CB156" s="49">
        <v>414.15</v>
      </c>
      <c r="CC156" s="231">
        <f t="shared" si="391"/>
        <v>18450</v>
      </c>
    </row>
    <row r="157" spans="2:81" s="3" customFormat="1" ht="15.75" thickBot="1" x14ac:dyDescent="0.3">
      <c r="B157" s="158">
        <v>18500</v>
      </c>
      <c r="C157" s="144">
        <f t="shared" si="434"/>
        <v>0</v>
      </c>
      <c r="D157" s="144">
        <f t="shared" si="435"/>
        <v>7218.3941000000004</v>
      </c>
      <c r="E157" s="144">
        <f t="shared" si="336"/>
        <v>0</v>
      </c>
      <c r="F157" s="144">
        <f t="shared" si="436"/>
        <v>0</v>
      </c>
      <c r="G157" s="144">
        <f t="shared" si="379"/>
        <v>0</v>
      </c>
      <c r="H157" s="144">
        <f t="shared" si="380"/>
        <v>0</v>
      </c>
      <c r="I157" s="144">
        <f t="shared" si="381"/>
        <v>0</v>
      </c>
      <c r="J157" s="159">
        <f t="shared" si="382"/>
        <v>0</v>
      </c>
      <c r="K157" s="160">
        <f t="shared" si="383"/>
        <v>269.75</v>
      </c>
      <c r="L157" s="152">
        <f t="shared" si="301"/>
        <v>5</v>
      </c>
      <c r="M157" s="144">
        <f t="shared" si="302"/>
        <v>16828</v>
      </c>
      <c r="N157" s="144"/>
      <c r="O157" s="144">
        <f t="shared" si="437"/>
        <v>0</v>
      </c>
      <c r="P157" s="144">
        <f t="shared" si="303"/>
        <v>0</v>
      </c>
      <c r="Q157" s="144">
        <f t="shared" si="304"/>
        <v>0</v>
      </c>
      <c r="R157" s="144">
        <f t="shared" si="305"/>
        <v>0</v>
      </c>
      <c r="S157" s="144">
        <f t="shared" si="306"/>
        <v>0</v>
      </c>
      <c r="T157" s="144">
        <f t="shared" si="307"/>
        <v>1900</v>
      </c>
      <c r="V157" s="150">
        <f>L155+L156+L157</f>
        <v>293</v>
      </c>
      <c r="W157" s="150">
        <f t="shared" ref="W157" si="446">M155+M156+M157</f>
        <v>52566</v>
      </c>
      <c r="X157" s="150"/>
      <c r="Y157" s="150">
        <f t="shared" ref="Y157" si="447">O155+O156+O157</f>
        <v>0</v>
      </c>
      <c r="Z157" s="150">
        <f t="shared" ref="Z157" si="448">P155+P156+P157</f>
        <v>0</v>
      </c>
      <c r="AA157" s="150">
        <f t="shared" ref="AA157" si="449">Q155+Q156+Q157</f>
        <v>0</v>
      </c>
      <c r="AB157" s="150">
        <f t="shared" ref="AB157" si="450">R155+R156+R157</f>
        <v>0</v>
      </c>
      <c r="AC157" s="150">
        <f t="shared" ref="AC157" si="451">S155+S156+S157</f>
        <v>0</v>
      </c>
      <c r="AD157" s="150">
        <f t="shared" ref="AD157" si="452">T155+T156+T157</f>
        <v>6043</v>
      </c>
      <c r="AF157" s="158">
        <f t="shared" si="445"/>
        <v>18500</v>
      </c>
      <c r="AG157" s="149"/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>
        <v>7218.3941000000004</v>
      </c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  <c r="BI157" s="149"/>
      <c r="BJ157" s="149"/>
      <c r="BK157" s="149"/>
      <c r="BL157" s="149"/>
      <c r="BM157" s="149"/>
      <c r="BN157" s="149"/>
      <c r="BO157" s="149"/>
      <c r="BP157" s="149"/>
      <c r="BQ157" s="149"/>
      <c r="BR157" s="149"/>
      <c r="BS157" s="149"/>
      <c r="BT157" s="149"/>
      <c r="BU157" s="149"/>
      <c r="BV157" s="149"/>
      <c r="BW157" s="149"/>
      <c r="BX157" s="149"/>
      <c r="BY157" s="149"/>
      <c r="BZ157" s="149"/>
      <c r="CA157" s="149"/>
      <c r="CB157" s="149">
        <v>269.75</v>
      </c>
      <c r="CC157" s="231">
        <f t="shared" si="391"/>
        <v>18500</v>
      </c>
    </row>
    <row r="158" spans="2:81" x14ac:dyDescent="0.25">
      <c r="B158" s="155">
        <v>18550</v>
      </c>
      <c r="C158" s="147">
        <f t="shared" si="434"/>
        <v>294.41980000000001</v>
      </c>
      <c r="D158" s="147">
        <f t="shared" si="435"/>
        <v>2625.6127000000001</v>
      </c>
      <c r="E158" s="147">
        <f t="shared" si="336"/>
        <v>0</v>
      </c>
      <c r="F158" s="147">
        <f t="shared" si="436"/>
        <v>0</v>
      </c>
      <c r="G158" s="147">
        <f t="shared" si="379"/>
        <v>0</v>
      </c>
      <c r="H158" s="147">
        <f t="shared" si="380"/>
        <v>0</v>
      </c>
      <c r="I158" s="147">
        <f t="shared" si="381"/>
        <v>0</v>
      </c>
      <c r="J158" s="156">
        <f t="shared" si="382"/>
        <v>0</v>
      </c>
      <c r="K158" s="157">
        <f t="shared" si="383"/>
        <v>232.61</v>
      </c>
      <c r="L158" s="151">
        <f t="shared" si="301"/>
        <v>273</v>
      </c>
      <c r="M158" s="147">
        <f t="shared" si="302"/>
        <v>9115</v>
      </c>
      <c r="N158" s="147"/>
      <c r="O158" s="147">
        <f t="shared" si="437"/>
        <v>0</v>
      </c>
      <c r="P158" s="147">
        <f t="shared" si="303"/>
        <v>0</v>
      </c>
      <c r="Q158" s="147">
        <f t="shared" si="304"/>
        <v>0</v>
      </c>
      <c r="R158" s="147">
        <f t="shared" si="305"/>
        <v>0</v>
      </c>
      <c r="S158" s="147">
        <f t="shared" si="306"/>
        <v>0</v>
      </c>
      <c r="T158" s="147">
        <f t="shared" si="307"/>
        <v>1396</v>
      </c>
      <c r="V158" s="146"/>
      <c r="W158" s="147"/>
      <c r="X158" s="147"/>
      <c r="Y158" s="147"/>
      <c r="Z158" s="147"/>
      <c r="AA158" s="147"/>
      <c r="AB158" s="147"/>
      <c r="AC158" s="147"/>
      <c r="AD158" s="148"/>
      <c r="AF158" s="155">
        <f t="shared" si="445"/>
        <v>18550</v>
      </c>
      <c r="AG158" s="78">
        <v>294.41980000000001</v>
      </c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  <c r="AS158" s="78"/>
      <c r="AT158" s="78"/>
      <c r="AU158" s="78"/>
      <c r="AV158" s="78"/>
      <c r="AW158" s="78"/>
      <c r="AX158" s="78">
        <v>2609.8186000000001</v>
      </c>
      <c r="AY158" s="78">
        <v>15.7941</v>
      </c>
      <c r="AZ158" s="78"/>
      <c r="BA158" s="78"/>
      <c r="BB158" s="78"/>
      <c r="BC158" s="78"/>
      <c r="BD158" s="78"/>
      <c r="BE158" s="78"/>
      <c r="BF158" s="78"/>
      <c r="BG158" s="78"/>
      <c r="BH158" s="78"/>
      <c r="BI158" s="78"/>
      <c r="BJ158" s="78"/>
      <c r="BK158" s="78"/>
      <c r="BL158" s="78"/>
      <c r="BM158" s="78"/>
      <c r="BN158" s="78"/>
      <c r="BO158" s="78"/>
      <c r="BP158" s="78"/>
      <c r="BQ158" s="78"/>
      <c r="BR158" s="78"/>
      <c r="BS158" s="78"/>
      <c r="BT158" s="78"/>
      <c r="BU158" s="78"/>
      <c r="BV158" s="78"/>
      <c r="BW158" s="78"/>
      <c r="BX158" s="78"/>
      <c r="BY158" s="78"/>
      <c r="BZ158" s="78"/>
      <c r="CA158" s="78"/>
      <c r="CB158" s="78">
        <v>232.61</v>
      </c>
      <c r="CC158" s="231">
        <f t="shared" si="391"/>
        <v>18550</v>
      </c>
    </row>
    <row r="159" spans="2:81" x14ac:dyDescent="0.25">
      <c r="B159" s="57">
        <v>18600</v>
      </c>
      <c r="C159" s="58">
        <f t="shared" si="434"/>
        <v>1721.4047999999998</v>
      </c>
      <c r="D159" s="58">
        <f t="shared" si="435"/>
        <v>808.91480000000001</v>
      </c>
      <c r="E159" s="58">
        <f t="shared" si="336"/>
        <v>0</v>
      </c>
      <c r="F159" s="58">
        <f t="shared" si="436"/>
        <v>0</v>
      </c>
      <c r="G159" s="58">
        <f t="shared" si="379"/>
        <v>0</v>
      </c>
      <c r="H159" s="58">
        <f t="shared" si="380"/>
        <v>0</v>
      </c>
      <c r="I159" s="58">
        <f t="shared" si="381"/>
        <v>0</v>
      </c>
      <c r="J159" s="51">
        <f t="shared" si="382"/>
        <v>0</v>
      </c>
      <c r="K159" s="99">
        <f t="shared" si="383"/>
        <v>246.47</v>
      </c>
      <c r="L159" s="105">
        <f t="shared" si="301"/>
        <v>1867</v>
      </c>
      <c r="M159" s="58">
        <f t="shared" si="302"/>
        <v>3181</v>
      </c>
      <c r="N159" s="58"/>
      <c r="O159" s="58">
        <f t="shared" si="437"/>
        <v>0</v>
      </c>
      <c r="P159" s="58">
        <f t="shared" si="303"/>
        <v>0</v>
      </c>
      <c r="Q159" s="58">
        <f t="shared" si="304"/>
        <v>0</v>
      </c>
      <c r="R159" s="58">
        <f t="shared" si="305"/>
        <v>0</v>
      </c>
      <c r="S159" s="58">
        <f t="shared" si="306"/>
        <v>0</v>
      </c>
      <c r="T159" s="58">
        <f t="shared" si="307"/>
        <v>1331</v>
      </c>
      <c r="V159" s="137"/>
      <c r="W159" s="58"/>
      <c r="X159" s="58"/>
      <c r="Y159" s="58"/>
      <c r="Z159" s="58"/>
      <c r="AA159" s="58"/>
      <c r="AB159" s="58"/>
      <c r="AC159" s="58"/>
      <c r="AD159" s="138"/>
      <c r="AF159" s="57">
        <f t="shared" si="445"/>
        <v>18600</v>
      </c>
      <c r="AG159" s="49">
        <v>1676.5646999999999</v>
      </c>
      <c r="AH159" s="49">
        <v>44.8401</v>
      </c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  <c r="AV159" s="49"/>
      <c r="AW159" s="49"/>
      <c r="AX159" s="49">
        <v>770.40499999999997</v>
      </c>
      <c r="AY159" s="49">
        <v>38.509799999999998</v>
      </c>
      <c r="AZ159" s="49"/>
      <c r="BA159" s="49"/>
      <c r="BB159" s="49"/>
      <c r="BC159" s="49"/>
      <c r="BD159" s="49"/>
      <c r="BE159" s="49"/>
      <c r="BF159" s="49"/>
      <c r="BG159" s="49"/>
      <c r="BH159" s="49"/>
      <c r="BI159" s="49"/>
      <c r="BJ159" s="49"/>
      <c r="BK159" s="49"/>
      <c r="BL159" s="49"/>
      <c r="BM159" s="49"/>
      <c r="BN159" s="49"/>
      <c r="BO159" s="49"/>
      <c r="BP159" s="49"/>
      <c r="BQ159" s="49"/>
      <c r="BR159" s="49"/>
      <c r="BS159" s="49"/>
      <c r="BT159" s="49"/>
      <c r="BU159" s="49"/>
      <c r="BV159" s="49"/>
      <c r="BW159" s="49"/>
      <c r="BX159" s="49"/>
      <c r="BY159" s="49"/>
      <c r="BZ159" s="49"/>
      <c r="CA159" s="49"/>
      <c r="CB159" s="49">
        <v>246.47</v>
      </c>
      <c r="CC159" s="231">
        <f t="shared" si="391"/>
        <v>18600</v>
      </c>
    </row>
    <row r="160" spans="2:81" s="3" customFormat="1" ht="15.75" thickBot="1" x14ac:dyDescent="0.3">
      <c r="B160" s="158">
        <v>18650</v>
      </c>
      <c r="C160" s="144">
        <f t="shared" si="434"/>
        <v>4355.8581999999997</v>
      </c>
      <c r="D160" s="144">
        <f t="shared" si="435"/>
        <v>0</v>
      </c>
      <c r="E160" s="144">
        <f t="shared" si="336"/>
        <v>0</v>
      </c>
      <c r="F160" s="144">
        <f t="shared" si="436"/>
        <v>0</v>
      </c>
      <c r="G160" s="144">
        <f t="shared" si="379"/>
        <v>0</v>
      </c>
      <c r="H160" s="144">
        <f t="shared" si="380"/>
        <v>0</v>
      </c>
      <c r="I160" s="144">
        <f t="shared" si="381"/>
        <v>0</v>
      </c>
      <c r="J160" s="159">
        <f t="shared" si="382"/>
        <v>0</v>
      </c>
      <c r="K160" s="160">
        <f t="shared" si="383"/>
        <v>258.25</v>
      </c>
      <c r="L160" s="152">
        <f t="shared" si="301"/>
        <v>5628</v>
      </c>
      <c r="M160" s="144">
        <f t="shared" si="302"/>
        <v>749</v>
      </c>
      <c r="N160" s="144"/>
      <c r="O160" s="144">
        <f t="shared" si="437"/>
        <v>0</v>
      </c>
      <c r="P160" s="144">
        <f t="shared" si="303"/>
        <v>0</v>
      </c>
      <c r="Q160" s="144">
        <f t="shared" si="304"/>
        <v>0</v>
      </c>
      <c r="R160" s="144">
        <f t="shared" si="305"/>
        <v>0</v>
      </c>
      <c r="S160" s="144">
        <f t="shared" si="306"/>
        <v>0</v>
      </c>
      <c r="T160" s="144">
        <f t="shared" si="307"/>
        <v>1402</v>
      </c>
      <c r="V160" s="150">
        <f>L158+L159+L160</f>
        <v>7768</v>
      </c>
      <c r="W160" s="150">
        <f t="shared" ref="W160" si="453">M158+M159+M160</f>
        <v>13045</v>
      </c>
      <c r="X160" s="150"/>
      <c r="Y160" s="150">
        <f t="shared" ref="Y160" si="454">O158+O159+O160</f>
        <v>0</v>
      </c>
      <c r="Z160" s="150">
        <f t="shared" ref="Z160" si="455">P158+P159+P160</f>
        <v>0</v>
      </c>
      <c r="AA160" s="150">
        <f t="shared" ref="AA160" si="456">Q158+Q159+Q160</f>
        <v>0</v>
      </c>
      <c r="AB160" s="150">
        <f t="shared" ref="AB160" si="457">R158+R159+R160</f>
        <v>0</v>
      </c>
      <c r="AC160" s="150">
        <f t="shared" ref="AC160" si="458">S158+S159+S160</f>
        <v>0</v>
      </c>
      <c r="AD160" s="150">
        <f t="shared" ref="AD160" si="459">T158+T159+T160</f>
        <v>4129</v>
      </c>
      <c r="AF160" s="158">
        <f t="shared" si="445"/>
        <v>18650</v>
      </c>
      <c r="AG160" s="149">
        <v>4355.8581999999997</v>
      </c>
      <c r="AH160" s="149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  <c r="BI160" s="149"/>
      <c r="BJ160" s="149"/>
      <c r="BK160" s="149"/>
      <c r="BL160" s="149"/>
      <c r="BM160" s="149"/>
      <c r="BN160" s="149"/>
      <c r="BO160" s="149"/>
      <c r="BP160" s="149"/>
      <c r="BQ160" s="149"/>
      <c r="BR160" s="149"/>
      <c r="BS160" s="149"/>
      <c r="BT160" s="149"/>
      <c r="BU160" s="149"/>
      <c r="BV160" s="149"/>
      <c r="BW160" s="149"/>
      <c r="BX160" s="149"/>
      <c r="BY160" s="149"/>
      <c r="BZ160" s="149"/>
      <c r="CA160" s="149"/>
      <c r="CB160" s="149">
        <v>258.25</v>
      </c>
      <c r="CC160" s="231">
        <f t="shared" si="391"/>
        <v>18650</v>
      </c>
    </row>
    <row r="161" spans="2:81" x14ac:dyDescent="0.25">
      <c r="B161" s="155">
        <v>18700</v>
      </c>
      <c r="C161" s="147">
        <f t="shared" si="434"/>
        <v>7001.3261000000002</v>
      </c>
      <c r="D161" s="147">
        <f t="shared" si="435"/>
        <v>0</v>
      </c>
      <c r="E161" s="147">
        <f t="shared" si="336"/>
        <v>0</v>
      </c>
      <c r="F161" s="147">
        <f t="shared" si="436"/>
        <v>0</v>
      </c>
      <c r="G161" s="147">
        <f t="shared" si="379"/>
        <v>27.579799999999999</v>
      </c>
      <c r="H161" s="147">
        <f t="shared" si="380"/>
        <v>27.579799999999999</v>
      </c>
      <c r="I161" s="147">
        <f t="shared" si="381"/>
        <v>54.767200000000003</v>
      </c>
      <c r="J161" s="156">
        <f t="shared" si="382"/>
        <v>54.767200000000003</v>
      </c>
      <c r="K161" s="157">
        <f t="shared" si="383"/>
        <v>334.77</v>
      </c>
      <c r="L161" s="151">
        <f t="shared" si="301"/>
        <v>10516</v>
      </c>
      <c r="M161" s="147">
        <f t="shared" si="302"/>
        <v>0</v>
      </c>
      <c r="N161" s="147"/>
      <c r="O161" s="147">
        <f t="shared" si="437"/>
        <v>0</v>
      </c>
      <c r="P161" s="147">
        <f>ROUNDUP(((G161+G160)*0.5)*(B161-B160)/27,0)</f>
        <v>26</v>
      </c>
      <c r="Q161" s="147">
        <f t="shared" si="304"/>
        <v>26</v>
      </c>
      <c r="R161" s="147">
        <f>ROUNDUP(((I161+I160)*0.5)*(B161-B160)/9,0)</f>
        <v>153</v>
      </c>
      <c r="S161" s="147">
        <f>ROUNDUP(((J161+J160)*0.5)*(B161-B160)/9,0)</f>
        <v>153</v>
      </c>
      <c r="T161" s="147">
        <f t="shared" si="307"/>
        <v>1648</v>
      </c>
      <c r="V161" s="146"/>
      <c r="W161" s="147"/>
      <c r="X161" s="147"/>
      <c r="Y161" s="147"/>
      <c r="Z161" s="147"/>
      <c r="AA161" s="147"/>
      <c r="AB161" s="147"/>
      <c r="AC161" s="147"/>
      <c r="AD161" s="148"/>
      <c r="AF161" s="155">
        <f t="shared" si="445"/>
        <v>18700</v>
      </c>
      <c r="AG161" s="78">
        <v>7001.3261000000002</v>
      </c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  <c r="AV161" s="78"/>
      <c r="AW161" s="78"/>
      <c r="AX161" s="78"/>
      <c r="AY161" s="78"/>
      <c r="AZ161" s="78"/>
      <c r="BA161" s="78"/>
      <c r="BB161" s="78"/>
      <c r="BC161" s="78"/>
      <c r="BD161" s="78"/>
      <c r="BE161" s="78"/>
      <c r="BF161" s="78"/>
      <c r="BG161" s="78"/>
      <c r="BH161" s="78"/>
      <c r="BI161" s="78"/>
      <c r="BJ161" s="78"/>
      <c r="BK161" s="78"/>
      <c r="BL161" s="78"/>
      <c r="BM161" s="78"/>
      <c r="BN161" s="78">
        <v>27.579799999999999</v>
      </c>
      <c r="BO161" s="78"/>
      <c r="BP161" s="78"/>
      <c r="BQ161" s="78">
        <f>BN161</f>
        <v>27.579799999999999</v>
      </c>
      <c r="BR161" s="78"/>
      <c r="BS161" s="78"/>
      <c r="BT161" s="78">
        <v>54.767200000000003</v>
      </c>
      <c r="BU161" s="78"/>
      <c r="BV161" s="78"/>
      <c r="BW161" s="78">
        <f>BT161</f>
        <v>54.767200000000003</v>
      </c>
      <c r="BX161" s="78">
        <f>BU161</f>
        <v>0</v>
      </c>
      <c r="BY161" s="78">
        <f>BV161</f>
        <v>0</v>
      </c>
      <c r="BZ161" s="78"/>
      <c r="CA161" s="78"/>
      <c r="CB161" s="78">
        <v>334.77</v>
      </c>
      <c r="CC161" s="231">
        <f t="shared" si="391"/>
        <v>18700</v>
      </c>
    </row>
    <row r="162" spans="2:81" x14ac:dyDescent="0.25">
      <c r="B162" s="57">
        <v>18750</v>
      </c>
      <c r="C162" s="58">
        <f t="shared" si="434"/>
        <v>9253.1200000000008</v>
      </c>
      <c r="D162" s="58">
        <f t="shared" si="435"/>
        <v>42.389299999999999</v>
      </c>
      <c r="E162" s="58">
        <f t="shared" si="336"/>
        <v>0</v>
      </c>
      <c r="F162" s="58">
        <f t="shared" si="436"/>
        <v>0</v>
      </c>
      <c r="G162" s="58">
        <f t="shared" si="379"/>
        <v>27.163799999999998</v>
      </c>
      <c r="H162" s="58">
        <f t="shared" si="380"/>
        <v>27.163799999999998</v>
      </c>
      <c r="I162" s="58">
        <f t="shared" si="381"/>
        <v>53.9208</v>
      </c>
      <c r="J162" s="51">
        <f t="shared" si="382"/>
        <v>53.9208</v>
      </c>
      <c r="K162" s="99">
        <f t="shared" si="383"/>
        <v>374.4</v>
      </c>
      <c r="L162" s="105">
        <f t="shared" si="301"/>
        <v>15051</v>
      </c>
      <c r="M162" s="58">
        <f t="shared" si="302"/>
        <v>40</v>
      </c>
      <c r="N162" s="58"/>
      <c r="O162" s="58">
        <f t="shared" si="437"/>
        <v>0</v>
      </c>
      <c r="P162" s="58">
        <f t="shared" si="303"/>
        <v>51</v>
      </c>
      <c r="Q162" s="58">
        <f>ROUNDUP(((H162+H161)*0.5)*(B162-B161)/27,0)</f>
        <v>51</v>
      </c>
      <c r="R162" s="58">
        <f>ROUNDUP(((I162+I161)*0.5)*(B162-B161)/9,0)</f>
        <v>302</v>
      </c>
      <c r="S162" s="58">
        <f>ROUNDUP(((J162+J161)*0.5)*(B162-B161)/9,0)</f>
        <v>302</v>
      </c>
      <c r="T162" s="58">
        <f t="shared" si="307"/>
        <v>1970</v>
      </c>
      <c r="V162" s="137"/>
      <c r="W162" s="58"/>
      <c r="X162" s="58"/>
      <c r="Y162" s="58"/>
      <c r="Z162" s="58"/>
      <c r="AA162" s="58"/>
      <c r="AB162" s="58"/>
      <c r="AC162" s="58"/>
      <c r="AD162" s="138"/>
      <c r="AF162" s="57">
        <f t="shared" si="445"/>
        <v>18750</v>
      </c>
      <c r="AG162" s="49">
        <v>9253.1200000000008</v>
      </c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49">
        <v>42.389299999999999</v>
      </c>
      <c r="AY162" s="49"/>
      <c r="AZ162" s="49"/>
      <c r="BA162" s="49"/>
      <c r="BB162" s="49"/>
      <c r="BC162" s="49"/>
      <c r="BD162" s="49"/>
      <c r="BE162" s="49"/>
      <c r="BF162" s="49"/>
      <c r="BG162" s="49"/>
      <c r="BH162" s="49"/>
      <c r="BI162" s="49"/>
      <c r="BJ162" s="49"/>
      <c r="BK162" s="49"/>
      <c r="BL162" s="49"/>
      <c r="BM162" s="49"/>
      <c r="BN162" s="49">
        <v>27.163799999999998</v>
      </c>
      <c r="BO162" s="49"/>
      <c r="BP162" s="49"/>
      <c r="BQ162" s="49">
        <f>BN162</f>
        <v>27.163799999999998</v>
      </c>
      <c r="BR162" s="49"/>
      <c r="BS162" s="49"/>
      <c r="BT162" s="49">
        <v>53.9208</v>
      </c>
      <c r="BU162" s="49"/>
      <c r="BV162" s="49"/>
      <c r="BW162" s="78">
        <f t="shared" ref="BW162:BW165" si="460">BT162</f>
        <v>53.9208</v>
      </c>
      <c r="BX162" s="78">
        <f t="shared" ref="BX162:BY165" si="461">BU162</f>
        <v>0</v>
      </c>
      <c r="BY162" s="78">
        <f t="shared" si="461"/>
        <v>0</v>
      </c>
      <c r="BZ162" s="49"/>
      <c r="CA162" s="49"/>
      <c r="CB162" s="49">
        <v>374.4</v>
      </c>
      <c r="CC162" s="231">
        <f t="shared" si="391"/>
        <v>18750</v>
      </c>
    </row>
    <row r="163" spans="2:81" s="3" customFormat="1" ht="15.75" thickBot="1" x14ac:dyDescent="0.3">
      <c r="B163" s="158">
        <v>18800</v>
      </c>
      <c r="C163" s="144">
        <f t="shared" si="434"/>
        <v>9032.7345999999998</v>
      </c>
      <c r="D163" s="144">
        <f t="shared" si="435"/>
        <v>0</v>
      </c>
      <c r="E163" s="144">
        <f t="shared" si="336"/>
        <v>0</v>
      </c>
      <c r="F163" s="144">
        <f t="shared" si="436"/>
        <v>0</v>
      </c>
      <c r="G163" s="144">
        <f t="shared" si="379"/>
        <v>26.748000000000001</v>
      </c>
      <c r="H163" s="144">
        <f t="shared" si="380"/>
        <v>26.748000000000001</v>
      </c>
      <c r="I163" s="144">
        <f t="shared" si="381"/>
        <v>53.078499999999998</v>
      </c>
      <c r="J163" s="159">
        <f t="shared" si="382"/>
        <v>53.078499999999998</v>
      </c>
      <c r="K163" s="160">
        <f t="shared" si="383"/>
        <v>349.42</v>
      </c>
      <c r="L163" s="152">
        <f t="shared" si="301"/>
        <v>16932</v>
      </c>
      <c r="M163" s="144">
        <f t="shared" si="302"/>
        <v>40</v>
      </c>
      <c r="N163" s="144"/>
      <c r="O163" s="144">
        <f t="shared" si="437"/>
        <v>0</v>
      </c>
      <c r="P163" s="144">
        <f t="shared" si="303"/>
        <v>50</v>
      </c>
      <c r="Q163" s="144">
        <f t="shared" si="304"/>
        <v>50</v>
      </c>
      <c r="R163" s="144">
        <f t="shared" si="305"/>
        <v>298</v>
      </c>
      <c r="S163" s="144">
        <f t="shared" si="306"/>
        <v>298</v>
      </c>
      <c r="T163" s="144">
        <f t="shared" si="307"/>
        <v>2011</v>
      </c>
      <c r="V163" s="150">
        <f>L161+L162+L163</f>
        <v>42499</v>
      </c>
      <c r="W163" s="150">
        <f t="shared" ref="W163" si="462">M161+M162+M163</f>
        <v>80</v>
      </c>
      <c r="X163" s="150"/>
      <c r="Y163" s="150">
        <f t="shared" ref="Y163" si="463">O161+O162+O163</f>
        <v>0</v>
      </c>
      <c r="Z163" s="150">
        <f t="shared" ref="Z163" si="464">P161+P162+P163</f>
        <v>127</v>
      </c>
      <c r="AA163" s="150">
        <f t="shared" ref="AA163" si="465">Q161+Q162+Q163</f>
        <v>127</v>
      </c>
      <c r="AB163" s="150">
        <f t="shared" ref="AB163" si="466">R161+R162+R163</f>
        <v>753</v>
      </c>
      <c r="AC163" s="150">
        <f t="shared" ref="AC163" si="467">S161+S162+S163</f>
        <v>753</v>
      </c>
      <c r="AD163" s="150">
        <f t="shared" ref="AD163" si="468">T161+T162+T163</f>
        <v>5629</v>
      </c>
      <c r="AF163" s="158">
        <f t="shared" si="445"/>
        <v>18800</v>
      </c>
      <c r="AG163" s="149">
        <v>9032.7345999999998</v>
      </c>
      <c r="AH163" s="149"/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  <c r="BI163" s="149"/>
      <c r="BJ163" s="149"/>
      <c r="BK163" s="149"/>
      <c r="BL163" s="149"/>
      <c r="BM163" s="149"/>
      <c r="BN163" s="149">
        <v>26.748000000000001</v>
      </c>
      <c r="BO163" s="149"/>
      <c r="BP163" s="149"/>
      <c r="BQ163" s="149">
        <f>BN163</f>
        <v>26.748000000000001</v>
      </c>
      <c r="BR163" s="149"/>
      <c r="BS163" s="149"/>
      <c r="BT163" s="149">
        <v>53.078499999999998</v>
      </c>
      <c r="BU163" s="149"/>
      <c r="BV163" s="149"/>
      <c r="BW163" s="78">
        <f t="shared" si="460"/>
        <v>53.078499999999998</v>
      </c>
      <c r="BX163" s="78">
        <f t="shared" si="461"/>
        <v>0</v>
      </c>
      <c r="BY163" s="78">
        <f t="shared" si="461"/>
        <v>0</v>
      </c>
      <c r="BZ163" s="149"/>
      <c r="CA163" s="149"/>
      <c r="CB163" s="149">
        <v>349.42</v>
      </c>
      <c r="CC163" s="231">
        <f t="shared" si="391"/>
        <v>18800</v>
      </c>
    </row>
    <row r="164" spans="2:81" x14ac:dyDescent="0.25">
      <c r="B164" s="155">
        <v>18850</v>
      </c>
      <c r="C164" s="147">
        <f t="shared" si="434"/>
        <v>6514.0299000000005</v>
      </c>
      <c r="D164" s="147">
        <f t="shared" si="435"/>
        <v>0</v>
      </c>
      <c r="E164" s="147">
        <f t="shared" si="336"/>
        <v>0</v>
      </c>
      <c r="F164" s="147">
        <f t="shared" si="436"/>
        <v>0</v>
      </c>
      <c r="G164" s="147">
        <f t="shared" si="379"/>
        <v>26.331499999999998</v>
      </c>
      <c r="H164" s="147">
        <f t="shared" si="380"/>
        <v>26.331499999999998</v>
      </c>
      <c r="I164" s="147">
        <f t="shared" si="381"/>
        <v>52.238</v>
      </c>
      <c r="J164" s="156">
        <f t="shared" si="382"/>
        <v>52.238</v>
      </c>
      <c r="K164" s="157">
        <f t="shared" si="383"/>
        <v>310.83</v>
      </c>
      <c r="L164" s="151">
        <f t="shared" si="301"/>
        <v>14396</v>
      </c>
      <c r="M164" s="147">
        <f t="shared" si="302"/>
        <v>0</v>
      </c>
      <c r="N164" s="147"/>
      <c r="O164" s="147">
        <f t="shared" si="437"/>
        <v>0</v>
      </c>
      <c r="P164" s="147">
        <f t="shared" si="303"/>
        <v>50</v>
      </c>
      <c r="Q164" s="147">
        <f t="shared" si="304"/>
        <v>50</v>
      </c>
      <c r="R164" s="147">
        <f t="shared" si="305"/>
        <v>293</v>
      </c>
      <c r="S164" s="147">
        <f t="shared" si="306"/>
        <v>293</v>
      </c>
      <c r="T164" s="147">
        <f t="shared" si="307"/>
        <v>1835</v>
      </c>
      <c r="V164" s="146"/>
      <c r="W164" s="147"/>
      <c r="X164" s="147"/>
      <c r="Y164" s="147"/>
      <c r="Z164" s="147"/>
      <c r="AA164" s="147"/>
      <c r="AB164" s="147"/>
      <c r="AC164" s="147"/>
      <c r="AD164" s="148"/>
      <c r="AF164" s="155">
        <f t="shared" si="445"/>
        <v>18850</v>
      </c>
      <c r="AG164" s="78">
        <v>6514.0299000000005</v>
      </c>
      <c r="AH164" s="78"/>
      <c r="AI164" s="78"/>
      <c r="AJ164" s="78"/>
      <c r="AK164" s="78"/>
      <c r="AL164" s="78"/>
      <c r="AM164" s="78"/>
      <c r="AN164" s="78"/>
      <c r="AO164" s="78"/>
      <c r="AP164" s="78"/>
      <c r="AQ164" s="78"/>
      <c r="AR164" s="78"/>
      <c r="AS164" s="78"/>
      <c r="AT164" s="78"/>
      <c r="AU164" s="78"/>
      <c r="AV164" s="78"/>
      <c r="AW164" s="78"/>
      <c r="AX164" s="78"/>
      <c r="AY164" s="78"/>
      <c r="AZ164" s="78"/>
      <c r="BA164" s="78"/>
      <c r="BB164" s="78"/>
      <c r="BC164" s="78"/>
      <c r="BD164" s="78"/>
      <c r="BE164" s="78"/>
      <c r="BF164" s="78"/>
      <c r="BG164" s="78"/>
      <c r="BH164" s="78"/>
      <c r="BI164" s="78"/>
      <c r="BJ164" s="78"/>
      <c r="BK164" s="78"/>
      <c r="BL164" s="78"/>
      <c r="BM164" s="78"/>
      <c r="BN164" s="78">
        <v>26.331499999999998</v>
      </c>
      <c r="BO164" s="78"/>
      <c r="BP164" s="78"/>
      <c r="BQ164" s="78">
        <f>BN164</f>
        <v>26.331499999999998</v>
      </c>
      <c r="BR164" s="78"/>
      <c r="BS164" s="78"/>
      <c r="BT164" s="78">
        <v>52.238</v>
      </c>
      <c r="BU164" s="78"/>
      <c r="BV164" s="78"/>
      <c r="BW164" s="78">
        <f t="shared" si="460"/>
        <v>52.238</v>
      </c>
      <c r="BX164" s="78">
        <f t="shared" si="461"/>
        <v>0</v>
      </c>
      <c r="BY164" s="78">
        <f t="shared" si="461"/>
        <v>0</v>
      </c>
      <c r="BZ164" s="78"/>
      <c r="CA164" s="78"/>
      <c r="CB164" s="78">
        <v>310.83</v>
      </c>
      <c r="CC164" s="231">
        <f t="shared" si="391"/>
        <v>18850</v>
      </c>
    </row>
    <row r="165" spans="2:81" x14ac:dyDescent="0.25">
      <c r="B165" s="57">
        <v>18900</v>
      </c>
      <c r="C165" s="58">
        <f t="shared" si="434"/>
        <v>4472.4233999999997</v>
      </c>
      <c r="D165" s="58">
        <f t="shared" si="435"/>
        <v>0</v>
      </c>
      <c r="E165" s="58">
        <f t="shared" si="336"/>
        <v>0</v>
      </c>
      <c r="F165" s="58">
        <f t="shared" si="436"/>
        <v>0</v>
      </c>
      <c r="G165" s="58">
        <f t="shared" si="379"/>
        <v>25.916</v>
      </c>
      <c r="H165" s="58">
        <f t="shared" si="380"/>
        <v>25.916</v>
      </c>
      <c r="I165" s="58">
        <f t="shared" si="381"/>
        <v>51.405000000000001</v>
      </c>
      <c r="J165" s="51">
        <f t="shared" si="382"/>
        <v>51.405000000000001</v>
      </c>
      <c r="K165" s="99">
        <f t="shared" si="383"/>
        <v>272.27</v>
      </c>
      <c r="L165" s="105">
        <f t="shared" si="301"/>
        <v>10173</v>
      </c>
      <c r="M165" s="58">
        <f t="shared" si="302"/>
        <v>0</v>
      </c>
      <c r="N165" s="58"/>
      <c r="O165" s="58">
        <f t="shared" si="437"/>
        <v>0</v>
      </c>
      <c r="P165" s="58">
        <f t="shared" si="303"/>
        <v>49</v>
      </c>
      <c r="Q165" s="58">
        <f t="shared" si="304"/>
        <v>49</v>
      </c>
      <c r="R165" s="58">
        <f t="shared" si="305"/>
        <v>288</v>
      </c>
      <c r="S165" s="58">
        <f t="shared" si="306"/>
        <v>288</v>
      </c>
      <c r="T165" s="58">
        <f t="shared" si="307"/>
        <v>1620</v>
      </c>
      <c r="V165" s="137"/>
      <c r="W165" s="58"/>
      <c r="X165" s="58"/>
      <c r="Y165" s="58"/>
      <c r="Z165" s="58"/>
      <c r="AA165" s="58"/>
      <c r="AB165" s="58"/>
      <c r="AC165" s="58"/>
      <c r="AD165" s="138"/>
      <c r="AF165" s="57">
        <f t="shared" si="445"/>
        <v>18900</v>
      </c>
      <c r="AG165" s="49">
        <v>4472.4233999999997</v>
      </c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49"/>
      <c r="AZ165" s="49"/>
      <c r="BA165" s="49"/>
      <c r="BB165" s="49"/>
      <c r="BC165" s="49"/>
      <c r="BD165" s="49"/>
      <c r="BE165" s="49"/>
      <c r="BF165" s="49"/>
      <c r="BG165" s="49"/>
      <c r="BH165" s="49"/>
      <c r="BI165" s="49"/>
      <c r="BJ165" s="49"/>
      <c r="BK165" s="49"/>
      <c r="BL165" s="49"/>
      <c r="BM165" s="49"/>
      <c r="BN165" s="49">
        <v>25.916</v>
      </c>
      <c r="BO165" s="49"/>
      <c r="BP165" s="49"/>
      <c r="BQ165" s="49">
        <f>BN165</f>
        <v>25.916</v>
      </c>
      <c r="BR165" s="49"/>
      <c r="BS165" s="49"/>
      <c r="BT165" s="49">
        <v>51.405000000000001</v>
      </c>
      <c r="BU165" s="49"/>
      <c r="BV165" s="49"/>
      <c r="BW165" s="78">
        <f t="shared" si="460"/>
        <v>51.405000000000001</v>
      </c>
      <c r="BX165" s="78">
        <f t="shared" si="461"/>
        <v>0</v>
      </c>
      <c r="BY165" s="78">
        <f t="shared" si="461"/>
        <v>0</v>
      </c>
      <c r="BZ165" s="49"/>
      <c r="CA165" s="49"/>
      <c r="CB165" s="49">
        <v>272.27</v>
      </c>
      <c r="CC165" s="231">
        <f t="shared" si="391"/>
        <v>18900</v>
      </c>
    </row>
    <row r="166" spans="2:81" s="3" customFormat="1" ht="15.75" thickBot="1" x14ac:dyDescent="0.3">
      <c r="B166" s="158">
        <v>18950</v>
      </c>
      <c r="C166" s="144">
        <f t="shared" si="434"/>
        <v>2896.51</v>
      </c>
      <c r="D166" s="144">
        <f t="shared" si="435"/>
        <v>0</v>
      </c>
      <c r="E166" s="144">
        <f t="shared" si="336"/>
        <v>0</v>
      </c>
      <c r="F166" s="144">
        <f t="shared" si="436"/>
        <v>0</v>
      </c>
      <c r="G166" s="144">
        <f t="shared" ref="G166:G230" si="469">BN166+BO166+BP166</f>
        <v>0</v>
      </c>
      <c r="H166" s="144">
        <f t="shared" ref="H166:H230" si="470">BQ166+BR166+BS166</f>
        <v>0</v>
      </c>
      <c r="I166" s="144">
        <f t="shared" ref="I166:I230" si="471">BT166+BU166+BV166</f>
        <v>0</v>
      </c>
      <c r="J166" s="159">
        <f t="shared" ref="J166:J230" si="472">BW166+BX166+BY166</f>
        <v>0</v>
      </c>
      <c r="K166" s="160">
        <f t="shared" si="383"/>
        <v>234.21</v>
      </c>
      <c r="L166" s="152">
        <f t="shared" si="301"/>
        <v>6824</v>
      </c>
      <c r="M166" s="144">
        <f t="shared" si="302"/>
        <v>0</v>
      </c>
      <c r="N166" s="144"/>
      <c r="O166" s="144">
        <f t="shared" si="437"/>
        <v>0</v>
      </c>
      <c r="P166" s="144">
        <f t="shared" si="303"/>
        <v>24</v>
      </c>
      <c r="Q166" s="144">
        <f t="shared" si="304"/>
        <v>24</v>
      </c>
      <c r="R166" s="144">
        <f t="shared" si="305"/>
        <v>143</v>
      </c>
      <c r="S166" s="144">
        <f t="shared" si="306"/>
        <v>143</v>
      </c>
      <c r="T166" s="144">
        <f t="shared" si="307"/>
        <v>1407</v>
      </c>
      <c r="V166" s="150">
        <f>L164+L165+L166</f>
        <v>31393</v>
      </c>
      <c r="W166" s="150">
        <f t="shared" ref="W166" si="473">M164+M165+M166</f>
        <v>0</v>
      </c>
      <c r="X166" s="150"/>
      <c r="Y166" s="150">
        <f t="shared" ref="Y166" si="474">O164+O165+O166</f>
        <v>0</v>
      </c>
      <c r="Z166" s="150">
        <f t="shared" ref="Z166" si="475">P164+P165+P166</f>
        <v>123</v>
      </c>
      <c r="AA166" s="150">
        <f t="shared" ref="AA166" si="476">Q164+Q165+Q166</f>
        <v>123</v>
      </c>
      <c r="AB166" s="150">
        <f t="shared" ref="AB166" si="477">R164+R165+R166</f>
        <v>724</v>
      </c>
      <c r="AC166" s="150">
        <f t="shared" ref="AC166" si="478">S164+S165+S166</f>
        <v>724</v>
      </c>
      <c r="AD166" s="150">
        <f t="shared" ref="AD166" si="479">T164+T165+T166</f>
        <v>4862</v>
      </c>
      <c r="AF166" s="158">
        <f t="shared" si="445"/>
        <v>18950</v>
      </c>
      <c r="AG166" s="149">
        <v>2896.51</v>
      </c>
      <c r="AH166" s="149"/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  <c r="BI166" s="149"/>
      <c r="BJ166" s="149"/>
      <c r="BK166" s="149"/>
      <c r="BL166" s="149"/>
      <c r="BM166" s="149"/>
      <c r="BN166" s="149"/>
      <c r="BO166" s="149"/>
      <c r="BP166" s="149"/>
      <c r="BQ166" s="149"/>
      <c r="BR166" s="149"/>
      <c r="BS166" s="149"/>
      <c r="BT166" s="149"/>
      <c r="BU166" s="149"/>
      <c r="BV166" s="149"/>
      <c r="BW166" s="149"/>
      <c r="BX166" s="149"/>
      <c r="BY166" s="149"/>
      <c r="BZ166" s="149"/>
      <c r="CA166" s="149"/>
      <c r="CB166" s="149">
        <v>234.21</v>
      </c>
      <c r="CC166" s="231">
        <f t="shared" si="391"/>
        <v>18950</v>
      </c>
    </row>
    <row r="167" spans="2:81" x14ac:dyDescent="0.25">
      <c r="B167" s="155">
        <v>19000</v>
      </c>
      <c r="C167" s="147">
        <f t="shared" si="434"/>
        <v>1472.8099</v>
      </c>
      <c r="D167" s="147">
        <f t="shared" si="435"/>
        <v>56.773899999999998</v>
      </c>
      <c r="E167" s="147">
        <f t="shared" si="336"/>
        <v>0</v>
      </c>
      <c r="F167" s="147">
        <f t="shared" si="436"/>
        <v>0</v>
      </c>
      <c r="G167" s="147">
        <f t="shared" si="469"/>
        <v>0</v>
      </c>
      <c r="H167" s="147">
        <f t="shared" si="470"/>
        <v>0</v>
      </c>
      <c r="I167" s="147">
        <f t="shared" si="471"/>
        <v>0</v>
      </c>
      <c r="J167" s="156">
        <f t="shared" si="472"/>
        <v>0</v>
      </c>
      <c r="K167" s="157">
        <f t="shared" si="383"/>
        <v>232.4</v>
      </c>
      <c r="L167" s="151">
        <f t="shared" si="301"/>
        <v>4046</v>
      </c>
      <c r="M167" s="147">
        <f t="shared" si="302"/>
        <v>53</v>
      </c>
      <c r="N167" s="147"/>
      <c r="O167" s="147">
        <f t="shared" si="437"/>
        <v>0</v>
      </c>
      <c r="P167" s="147">
        <f t="shared" si="303"/>
        <v>0</v>
      </c>
      <c r="Q167" s="147">
        <f t="shared" si="304"/>
        <v>0</v>
      </c>
      <c r="R167" s="147">
        <f t="shared" si="305"/>
        <v>0</v>
      </c>
      <c r="S167" s="147">
        <f t="shared" si="306"/>
        <v>0</v>
      </c>
      <c r="T167" s="147">
        <f t="shared" si="307"/>
        <v>1297</v>
      </c>
      <c r="V167" s="146"/>
      <c r="W167" s="147"/>
      <c r="X167" s="147"/>
      <c r="Y167" s="147"/>
      <c r="Z167" s="147"/>
      <c r="AA167" s="147"/>
      <c r="AB167" s="147"/>
      <c r="AC167" s="147"/>
      <c r="AD167" s="148"/>
      <c r="AF167" s="155">
        <f t="shared" si="445"/>
        <v>19000</v>
      </c>
      <c r="AG167" s="78">
        <v>1472.8099</v>
      </c>
      <c r="AH167" s="78"/>
      <c r="AI167" s="78"/>
      <c r="AJ167" s="78"/>
      <c r="AK167" s="78"/>
      <c r="AL167" s="78"/>
      <c r="AM167" s="78"/>
      <c r="AN167" s="78"/>
      <c r="AO167" s="78"/>
      <c r="AP167" s="78"/>
      <c r="AQ167" s="78"/>
      <c r="AR167" s="78"/>
      <c r="AS167" s="78"/>
      <c r="AT167" s="78"/>
      <c r="AU167" s="78"/>
      <c r="AV167" s="78"/>
      <c r="AW167" s="78"/>
      <c r="AX167" s="78">
        <v>56.773899999999998</v>
      </c>
      <c r="AY167" s="78"/>
      <c r="AZ167" s="78"/>
      <c r="BA167" s="78"/>
      <c r="BB167" s="78"/>
      <c r="BC167" s="78"/>
      <c r="BD167" s="78"/>
      <c r="BE167" s="78"/>
      <c r="BF167" s="78"/>
      <c r="BG167" s="78"/>
      <c r="BH167" s="78"/>
      <c r="BI167" s="78"/>
      <c r="BJ167" s="78"/>
      <c r="BK167" s="78"/>
      <c r="BL167" s="78"/>
      <c r="BM167" s="78"/>
      <c r="BN167" s="78"/>
      <c r="BO167" s="78"/>
      <c r="BP167" s="78"/>
      <c r="BQ167" s="78"/>
      <c r="BR167" s="78"/>
      <c r="BS167" s="78"/>
      <c r="BT167" s="78"/>
      <c r="BU167" s="78"/>
      <c r="BV167" s="78"/>
      <c r="BW167" s="78"/>
      <c r="BX167" s="78"/>
      <c r="BY167" s="78"/>
      <c r="BZ167" s="78"/>
      <c r="CA167" s="78"/>
      <c r="CB167" s="78">
        <v>232.4</v>
      </c>
      <c r="CC167" s="231">
        <f t="shared" si="391"/>
        <v>19000</v>
      </c>
    </row>
    <row r="168" spans="2:81" x14ac:dyDescent="0.25">
      <c r="B168" s="57">
        <v>19050</v>
      </c>
      <c r="C168" s="58">
        <f t="shared" si="434"/>
        <v>1045.6971000000001</v>
      </c>
      <c r="D168" s="58">
        <f t="shared" si="435"/>
        <v>338.774</v>
      </c>
      <c r="E168" s="58">
        <f t="shared" si="336"/>
        <v>0</v>
      </c>
      <c r="F168" s="58">
        <f t="shared" si="436"/>
        <v>0</v>
      </c>
      <c r="G168" s="58">
        <f t="shared" si="469"/>
        <v>0</v>
      </c>
      <c r="H168" s="58">
        <f t="shared" si="470"/>
        <v>0</v>
      </c>
      <c r="I168" s="58">
        <f t="shared" si="471"/>
        <v>0</v>
      </c>
      <c r="J168" s="51">
        <f t="shared" si="472"/>
        <v>0</v>
      </c>
      <c r="K168" s="99">
        <f t="shared" si="383"/>
        <v>204.6</v>
      </c>
      <c r="L168" s="105">
        <f t="shared" si="301"/>
        <v>2332</v>
      </c>
      <c r="M168" s="58">
        <f t="shared" si="302"/>
        <v>367</v>
      </c>
      <c r="N168" s="58"/>
      <c r="O168" s="58">
        <f t="shared" si="437"/>
        <v>0</v>
      </c>
      <c r="P168" s="58">
        <f t="shared" si="303"/>
        <v>0</v>
      </c>
      <c r="Q168" s="58">
        <f t="shared" si="304"/>
        <v>0</v>
      </c>
      <c r="R168" s="58">
        <f t="shared" si="305"/>
        <v>0</v>
      </c>
      <c r="S168" s="58">
        <f t="shared" si="306"/>
        <v>0</v>
      </c>
      <c r="T168" s="58">
        <f t="shared" si="307"/>
        <v>1214</v>
      </c>
      <c r="V168" s="137"/>
      <c r="W168" s="58"/>
      <c r="X168" s="58"/>
      <c r="Y168" s="58"/>
      <c r="Z168" s="58"/>
      <c r="AA168" s="58"/>
      <c r="AB168" s="58"/>
      <c r="AC168" s="58"/>
      <c r="AD168" s="138"/>
      <c r="AF168" s="57">
        <f t="shared" si="445"/>
        <v>19050</v>
      </c>
      <c r="AG168" s="49">
        <v>690.99030000000005</v>
      </c>
      <c r="AH168" s="49">
        <v>354.70679999999999</v>
      </c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49">
        <v>338.774</v>
      </c>
      <c r="AY168" s="49"/>
      <c r="AZ168" s="49"/>
      <c r="BA168" s="49"/>
      <c r="BB168" s="49"/>
      <c r="BC168" s="49"/>
      <c r="BD168" s="49"/>
      <c r="BE168" s="49"/>
      <c r="BF168" s="49"/>
      <c r="BG168" s="49"/>
      <c r="BH168" s="49"/>
      <c r="BI168" s="49"/>
      <c r="BJ168" s="49"/>
      <c r="BK168" s="49"/>
      <c r="BL168" s="49"/>
      <c r="BM168" s="49"/>
      <c r="BN168" s="49"/>
      <c r="BO168" s="49"/>
      <c r="BP168" s="49"/>
      <c r="BQ168" s="49"/>
      <c r="BR168" s="49"/>
      <c r="BS168" s="49"/>
      <c r="BT168" s="49"/>
      <c r="BU168" s="49"/>
      <c r="BV168" s="49"/>
      <c r="BW168" s="49"/>
      <c r="BX168" s="49"/>
      <c r="BY168" s="49"/>
      <c r="BZ168" s="49"/>
      <c r="CA168" s="49"/>
      <c r="CB168" s="49">
        <v>204.6</v>
      </c>
      <c r="CC168" s="231">
        <f t="shared" si="391"/>
        <v>19050</v>
      </c>
    </row>
    <row r="169" spans="2:81" s="3" customFormat="1" ht="15.75" thickBot="1" x14ac:dyDescent="0.3">
      <c r="B169" s="158">
        <v>19100</v>
      </c>
      <c r="C169" s="144">
        <f t="shared" si="434"/>
        <v>895.21230000000003</v>
      </c>
      <c r="D169" s="144">
        <f t="shared" si="435"/>
        <v>1219.0194999999999</v>
      </c>
      <c r="E169" s="144">
        <f t="shared" si="336"/>
        <v>0</v>
      </c>
      <c r="F169" s="144">
        <f t="shared" si="436"/>
        <v>0</v>
      </c>
      <c r="G169" s="144">
        <f t="shared" si="469"/>
        <v>0</v>
      </c>
      <c r="H169" s="144">
        <f t="shared" si="470"/>
        <v>0</v>
      </c>
      <c r="I169" s="144">
        <f t="shared" si="471"/>
        <v>0</v>
      </c>
      <c r="J169" s="159">
        <f t="shared" si="472"/>
        <v>0</v>
      </c>
      <c r="K169" s="160">
        <f t="shared" si="383"/>
        <v>184.86</v>
      </c>
      <c r="L169" s="152">
        <f t="shared" si="301"/>
        <v>1798</v>
      </c>
      <c r="M169" s="144">
        <f t="shared" si="302"/>
        <v>1443</v>
      </c>
      <c r="N169" s="144"/>
      <c r="O169" s="144">
        <f t="shared" si="437"/>
        <v>0</v>
      </c>
      <c r="P169" s="144">
        <f t="shared" si="303"/>
        <v>0</v>
      </c>
      <c r="Q169" s="144">
        <f t="shared" si="304"/>
        <v>0</v>
      </c>
      <c r="R169" s="144">
        <f t="shared" si="305"/>
        <v>0</v>
      </c>
      <c r="S169" s="144">
        <f t="shared" si="306"/>
        <v>0</v>
      </c>
      <c r="T169" s="144">
        <f t="shared" si="307"/>
        <v>1082</v>
      </c>
      <c r="V169" s="150">
        <f>L167+L168+L169</f>
        <v>8176</v>
      </c>
      <c r="W169" s="150">
        <f t="shared" ref="W169" si="480">M167+M168+M169</f>
        <v>1863</v>
      </c>
      <c r="X169" s="150"/>
      <c r="Y169" s="150">
        <f t="shared" ref="Y169" si="481">O167+O168+O169</f>
        <v>0</v>
      </c>
      <c r="Z169" s="150">
        <f t="shared" ref="Z169" si="482">P167+P168+P169</f>
        <v>0</v>
      </c>
      <c r="AA169" s="150">
        <f t="shared" ref="AA169" si="483">Q167+Q168+Q169</f>
        <v>0</v>
      </c>
      <c r="AB169" s="150">
        <f t="shared" ref="AB169" si="484">R167+R168+R169</f>
        <v>0</v>
      </c>
      <c r="AC169" s="150">
        <f t="shared" ref="AC169" si="485">S167+S168+S169</f>
        <v>0</v>
      </c>
      <c r="AD169" s="150">
        <f t="shared" ref="AD169" si="486">T167+T168+T169</f>
        <v>3593</v>
      </c>
      <c r="AF169" s="158">
        <f t="shared" si="445"/>
        <v>19100</v>
      </c>
      <c r="AG169" s="149">
        <v>137.33709999999999</v>
      </c>
      <c r="AH169" s="149">
        <v>708.38710000000003</v>
      </c>
      <c r="AI169" s="149">
        <v>49.488100000000003</v>
      </c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>
        <v>708.39819999999997</v>
      </c>
      <c r="AY169" s="149">
        <v>510.62130000000002</v>
      </c>
      <c r="AZ169" s="149"/>
      <c r="BA169" s="149"/>
      <c r="BB169" s="149"/>
      <c r="BC169" s="149"/>
      <c r="BD169" s="149"/>
      <c r="BE169" s="149"/>
      <c r="BF169" s="149"/>
      <c r="BG169" s="149"/>
      <c r="BH169" s="149"/>
      <c r="BI169" s="149"/>
      <c r="BJ169" s="149"/>
      <c r="BK169" s="149"/>
      <c r="BL169" s="149"/>
      <c r="BM169" s="149"/>
      <c r="BN169" s="149"/>
      <c r="BO169" s="149"/>
      <c r="BP169" s="149"/>
      <c r="BQ169" s="149"/>
      <c r="BR169" s="149"/>
      <c r="BS169" s="149"/>
      <c r="BT169" s="149"/>
      <c r="BU169" s="149"/>
      <c r="BV169" s="149"/>
      <c r="BW169" s="149"/>
      <c r="BX169" s="149"/>
      <c r="BY169" s="149"/>
      <c r="BZ169" s="149"/>
      <c r="CA169" s="149"/>
      <c r="CB169" s="149">
        <v>184.86</v>
      </c>
      <c r="CC169" s="231">
        <f t="shared" si="391"/>
        <v>19100</v>
      </c>
    </row>
    <row r="170" spans="2:81" x14ac:dyDescent="0.25">
      <c r="B170" s="155">
        <v>19150</v>
      </c>
      <c r="C170" s="147">
        <f t="shared" si="434"/>
        <v>948.03629999999998</v>
      </c>
      <c r="D170" s="147">
        <f t="shared" si="435"/>
        <v>2125.6140999999998</v>
      </c>
      <c r="E170" s="147">
        <f t="shared" si="336"/>
        <v>0</v>
      </c>
      <c r="F170" s="147">
        <f t="shared" si="436"/>
        <v>0</v>
      </c>
      <c r="G170" s="147">
        <f t="shared" si="469"/>
        <v>0</v>
      </c>
      <c r="H170" s="147">
        <f t="shared" si="470"/>
        <v>0</v>
      </c>
      <c r="I170" s="147">
        <f t="shared" si="471"/>
        <v>0</v>
      </c>
      <c r="J170" s="156">
        <f t="shared" si="472"/>
        <v>0</v>
      </c>
      <c r="K170" s="157">
        <f t="shared" si="383"/>
        <v>179.76</v>
      </c>
      <c r="L170" s="151">
        <f t="shared" si="301"/>
        <v>1707</v>
      </c>
      <c r="M170" s="147">
        <f t="shared" si="302"/>
        <v>3097</v>
      </c>
      <c r="N170" s="147"/>
      <c r="O170" s="147">
        <f t="shared" si="437"/>
        <v>0</v>
      </c>
      <c r="P170" s="147">
        <f t="shared" si="303"/>
        <v>0</v>
      </c>
      <c r="Q170" s="147">
        <f t="shared" si="304"/>
        <v>0</v>
      </c>
      <c r="R170" s="147">
        <f t="shared" si="305"/>
        <v>0</v>
      </c>
      <c r="S170" s="147">
        <f t="shared" si="306"/>
        <v>0</v>
      </c>
      <c r="T170" s="147">
        <f t="shared" si="307"/>
        <v>1013</v>
      </c>
      <c r="V170" s="146"/>
      <c r="W170" s="147"/>
      <c r="X170" s="147"/>
      <c r="Y170" s="147"/>
      <c r="Z170" s="147"/>
      <c r="AA170" s="147"/>
      <c r="AB170" s="147"/>
      <c r="AC170" s="147"/>
      <c r="AD170" s="148"/>
      <c r="AF170" s="155">
        <f t="shared" si="445"/>
        <v>19150</v>
      </c>
      <c r="AG170" s="78">
        <v>11.006600000000001</v>
      </c>
      <c r="AH170" s="78">
        <v>909.35659999999996</v>
      </c>
      <c r="AI170" s="78">
        <v>27.673100000000002</v>
      </c>
      <c r="AJ170" s="78"/>
      <c r="AK170" s="78"/>
      <c r="AL170" s="78"/>
      <c r="AM170" s="78"/>
      <c r="AN170" s="78"/>
      <c r="AO170" s="78"/>
      <c r="AP170" s="78"/>
      <c r="AQ170" s="78"/>
      <c r="AR170" s="78"/>
      <c r="AS170" s="78"/>
      <c r="AT170" s="78"/>
      <c r="AU170" s="78"/>
      <c r="AV170" s="78"/>
      <c r="AW170" s="78"/>
      <c r="AX170" s="78">
        <v>909.35659999999996</v>
      </c>
      <c r="AY170" s="78">
        <v>1216.2574999999999</v>
      </c>
      <c r="AZ170" s="78"/>
      <c r="BA170" s="78"/>
      <c r="BB170" s="78"/>
      <c r="BC170" s="78"/>
      <c r="BD170" s="78"/>
      <c r="BE170" s="78"/>
      <c r="BF170" s="78"/>
      <c r="BG170" s="78"/>
      <c r="BH170" s="78"/>
      <c r="BI170" s="78"/>
      <c r="BJ170" s="78"/>
      <c r="BK170" s="78"/>
      <c r="BL170" s="78"/>
      <c r="BM170" s="78"/>
      <c r="BN170" s="78"/>
      <c r="BO170" s="78"/>
      <c r="BP170" s="78"/>
      <c r="BQ170" s="78"/>
      <c r="BR170" s="78"/>
      <c r="BS170" s="78"/>
      <c r="BT170" s="78"/>
      <c r="BU170" s="78"/>
      <c r="BV170" s="78"/>
      <c r="BW170" s="78"/>
      <c r="BX170" s="78"/>
      <c r="BY170" s="78"/>
      <c r="BZ170" s="78"/>
      <c r="CA170" s="78"/>
      <c r="CB170" s="78">
        <v>179.76</v>
      </c>
      <c r="CC170" s="231">
        <f t="shared" ref="CC170:CC202" si="487">B170</f>
        <v>19150</v>
      </c>
    </row>
    <row r="171" spans="2:81" x14ac:dyDescent="0.25">
      <c r="B171" s="57">
        <v>19200</v>
      </c>
      <c r="C171" s="58">
        <f t="shared" si="434"/>
        <v>95.365899999999996</v>
      </c>
      <c r="D171" s="58">
        <f t="shared" si="435"/>
        <v>2633.0554999999999</v>
      </c>
      <c r="E171" s="58">
        <f t="shared" si="336"/>
        <v>0</v>
      </c>
      <c r="F171" s="58">
        <f t="shared" si="436"/>
        <v>0</v>
      </c>
      <c r="G171" s="58">
        <f t="shared" si="469"/>
        <v>0</v>
      </c>
      <c r="H171" s="58">
        <f t="shared" si="470"/>
        <v>0</v>
      </c>
      <c r="I171" s="58">
        <f t="shared" si="471"/>
        <v>0</v>
      </c>
      <c r="J171" s="51">
        <f t="shared" si="472"/>
        <v>0</v>
      </c>
      <c r="K171" s="99">
        <f t="shared" si="383"/>
        <v>238.95</v>
      </c>
      <c r="L171" s="105">
        <f t="shared" ref="L171:L178" si="488">ROUNDUP(((C170+C171)*0.5)*(B171-B170)/27,0)</f>
        <v>967</v>
      </c>
      <c r="M171" s="58">
        <f t="shared" ref="M171:M178" si="489">ROUNDUP(((D170+D171)*0.5)*(B171-B170)/27,0)</f>
        <v>4407</v>
      </c>
      <c r="N171" s="58"/>
      <c r="O171" s="58">
        <f t="shared" si="437"/>
        <v>0</v>
      </c>
      <c r="P171" s="58">
        <f t="shared" ref="P171:P178" si="490">ROUNDUP(((G171+G170)*0.5)*(B171-B170)/27,0)</f>
        <v>0</v>
      </c>
      <c r="Q171" s="58">
        <f t="shared" ref="Q171:Q178" si="491">ROUNDUP(((H171+H170)*0.5)*(B171-B170)/27,0)</f>
        <v>0</v>
      </c>
      <c r="R171" s="58">
        <f t="shared" ref="R171:R178" si="492">ROUNDUP(((I171+I170)*0.5)*(B171-B170)/9,0)</f>
        <v>0</v>
      </c>
      <c r="S171" s="58">
        <f t="shared" ref="S171:S178" si="493">ROUNDUP(((J171+J170)*0.5)*(B171-B170)/9,0)</f>
        <v>0</v>
      </c>
      <c r="T171" s="58">
        <f t="shared" ref="T171:T177" si="494">ROUNDUP(((K171+K170)*0.5)*(B171-B170)/9,0)</f>
        <v>1164</v>
      </c>
      <c r="V171" s="137"/>
      <c r="W171" s="58"/>
      <c r="X171" s="58"/>
      <c r="Y171" s="58"/>
      <c r="Z171" s="58"/>
      <c r="AA171" s="58"/>
      <c r="AB171" s="58"/>
      <c r="AC171" s="58"/>
      <c r="AD171" s="138"/>
      <c r="AF171" s="57">
        <f t="shared" si="445"/>
        <v>19200</v>
      </c>
      <c r="AG171" s="49">
        <v>80.978399999999993</v>
      </c>
      <c r="AH171" s="49">
        <v>14.387499999999999</v>
      </c>
      <c r="AI171" s="49"/>
      <c r="AJ171" s="49"/>
      <c r="AK171" s="49"/>
      <c r="AL171" s="49"/>
      <c r="AM171" s="49"/>
      <c r="AN171" s="49"/>
      <c r="AO171" s="49"/>
      <c r="AP171" s="49"/>
      <c r="AQ171" s="49"/>
      <c r="AR171" s="49"/>
      <c r="AS171" s="49"/>
      <c r="AT171" s="49"/>
      <c r="AU171" s="49"/>
      <c r="AV171" s="49"/>
      <c r="AW171" s="49"/>
      <c r="AX171" s="49">
        <v>2633.0554999999999</v>
      </c>
      <c r="AY171" s="49"/>
      <c r="AZ171" s="49"/>
      <c r="BA171" s="49"/>
      <c r="BB171" s="49"/>
      <c r="BC171" s="49"/>
      <c r="BD171" s="49"/>
      <c r="BE171" s="49"/>
      <c r="BF171" s="49"/>
      <c r="BG171" s="49"/>
      <c r="BH171" s="49"/>
      <c r="BI171" s="49"/>
      <c r="BJ171" s="49"/>
      <c r="BK171" s="49"/>
      <c r="BL171" s="49"/>
      <c r="BM171" s="49"/>
      <c r="BN171" s="49"/>
      <c r="BO171" s="49"/>
      <c r="BP171" s="49"/>
      <c r="BQ171" s="49"/>
      <c r="BR171" s="49"/>
      <c r="BS171" s="49"/>
      <c r="BT171" s="49"/>
      <c r="BU171" s="49"/>
      <c r="BV171" s="49"/>
      <c r="BW171" s="49"/>
      <c r="BX171" s="49"/>
      <c r="BY171" s="49"/>
      <c r="BZ171" s="49"/>
      <c r="CA171" s="49"/>
      <c r="CB171" s="49">
        <v>238.95</v>
      </c>
      <c r="CC171" s="231">
        <f t="shared" si="487"/>
        <v>19200</v>
      </c>
    </row>
    <row r="172" spans="2:81" s="3" customFormat="1" ht="15.75" thickBot="1" x14ac:dyDescent="0.3">
      <c r="B172" s="158">
        <v>19250</v>
      </c>
      <c r="C172" s="144">
        <f t="shared" si="434"/>
        <v>2.9074</v>
      </c>
      <c r="D172" s="144">
        <f t="shared" si="435"/>
        <v>3793.6056999999996</v>
      </c>
      <c r="E172" s="144">
        <f t="shared" si="336"/>
        <v>0</v>
      </c>
      <c r="F172" s="144">
        <f t="shared" si="436"/>
        <v>0</v>
      </c>
      <c r="G172" s="144">
        <f t="shared" si="469"/>
        <v>0</v>
      </c>
      <c r="H172" s="144">
        <f t="shared" si="470"/>
        <v>0</v>
      </c>
      <c r="I172" s="144">
        <f t="shared" si="471"/>
        <v>0</v>
      </c>
      <c r="J172" s="159">
        <f t="shared" si="472"/>
        <v>0</v>
      </c>
      <c r="K172" s="160">
        <f t="shared" si="383"/>
        <v>229.71</v>
      </c>
      <c r="L172" s="152">
        <f t="shared" si="488"/>
        <v>91</v>
      </c>
      <c r="M172" s="144">
        <f t="shared" si="489"/>
        <v>5951</v>
      </c>
      <c r="N172" s="144"/>
      <c r="O172" s="144">
        <f t="shared" si="437"/>
        <v>0</v>
      </c>
      <c r="P172" s="144">
        <f t="shared" si="490"/>
        <v>0</v>
      </c>
      <c r="Q172" s="144">
        <f t="shared" si="491"/>
        <v>0</v>
      </c>
      <c r="R172" s="144">
        <f t="shared" si="492"/>
        <v>0</v>
      </c>
      <c r="S172" s="144">
        <f t="shared" si="493"/>
        <v>0</v>
      </c>
      <c r="T172" s="144">
        <f t="shared" si="494"/>
        <v>1302</v>
      </c>
      <c r="V172" s="150">
        <f>L170+L171+L172</f>
        <v>2765</v>
      </c>
      <c r="W172" s="150">
        <f t="shared" ref="W172" si="495">M170+M171+M172</f>
        <v>13455</v>
      </c>
      <c r="X172" s="150"/>
      <c r="Y172" s="150">
        <f t="shared" ref="Y172" si="496">O170+O171+O172</f>
        <v>0</v>
      </c>
      <c r="Z172" s="150">
        <f t="shared" ref="Z172" si="497">P170+P171+P172</f>
        <v>0</v>
      </c>
      <c r="AA172" s="150">
        <f t="shared" ref="AA172" si="498">Q170+Q171+Q172</f>
        <v>0</v>
      </c>
      <c r="AB172" s="150">
        <f t="shared" ref="AB172" si="499">R170+R171+R172</f>
        <v>0</v>
      </c>
      <c r="AC172" s="150">
        <f t="shared" ref="AC172" si="500">S170+S171+S172</f>
        <v>0</v>
      </c>
      <c r="AD172" s="150">
        <f t="shared" ref="AD172" si="501">T170+T171+T172</f>
        <v>3479</v>
      </c>
      <c r="AF172" s="158">
        <f t="shared" si="445"/>
        <v>19250</v>
      </c>
      <c r="AG172" s="149">
        <v>2.9074</v>
      </c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>
        <v>12.8704</v>
      </c>
      <c r="AY172" s="149">
        <v>3780.7352999999998</v>
      </c>
      <c r="AZ172" s="149"/>
      <c r="BA172" s="149"/>
      <c r="BB172" s="149"/>
      <c r="BC172" s="149"/>
      <c r="BD172" s="149"/>
      <c r="BE172" s="149"/>
      <c r="BF172" s="149"/>
      <c r="BG172" s="149"/>
      <c r="BH172" s="149"/>
      <c r="BI172" s="149"/>
      <c r="BJ172" s="149"/>
      <c r="BK172" s="149"/>
      <c r="BL172" s="149"/>
      <c r="BM172" s="149"/>
      <c r="BN172" s="149"/>
      <c r="BO172" s="149"/>
      <c r="BP172" s="149"/>
      <c r="BQ172" s="149"/>
      <c r="BR172" s="149"/>
      <c r="BS172" s="149"/>
      <c r="BT172" s="149"/>
      <c r="BU172" s="149"/>
      <c r="BV172" s="149"/>
      <c r="BW172" s="149"/>
      <c r="BX172" s="149"/>
      <c r="BY172" s="149"/>
      <c r="BZ172" s="149"/>
      <c r="CA172" s="149"/>
      <c r="CB172" s="149">
        <v>229.71</v>
      </c>
      <c r="CC172" s="231">
        <f t="shared" si="487"/>
        <v>19250</v>
      </c>
    </row>
    <row r="173" spans="2:81" x14ac:dyDescent="0.25">
      <c r="B173" s="155">
        <v>19300</v>
      </c>
      <c r="C173" s="147">
        <f t="shared" si="434"/>
        <v>0</v>
      </c>
      <c r="D173" s="147">
        <f t="shared" si="435"/>
        <v>4973.9883</v>
      </c>
      <c r="E173" s="147">
        <f t="shared" si="336"/>
        <v>0</v>
      </c>
      <c r="F173" s="147">
        <f t="shared" si="436"/>
        <v>0</v>
      </c>
      <c r="G173" s="147">
        <f t="shared" si="469"/>
        <v>0</v>
      </c>
      <c r="H173" s="147">
        <f t="shared" si="470"/>
        <v>0</v>
      </c>
      <c r="I173" s="147">
        <f t="shared" si="471"/>
        <v>0</v>
      </c>
      <c r="J173" s="156">
        <f t="shared" si="472"/>
        <v>0</v>
      </c>
      <c r="K173" s="157">
        <f t="shared" si="383"/>
        <v>276</v>
      </c>
      <c r="L173" s="151">
        <f t="shared" si="488"/>
        <v>3</v>
      </c>
      <c r="M173" s="147">
        <f t="shared" si="489"/>
        <v>8119</v>
      </c>
      <c r="N173" s="147"/>
      <c r="O173" s="147">
        <f t="shared" si="437"/>
        <v>0</v>
      </c>
      <c r="P173" s="147">
        <f t="shared" si="490"/>
        <v>0</v>
      </c>
      <c r="Q173" s="147">
        <f t="shared" si="491"/>
        <v>0</v>
      </c>
      <c r="R173" s="147">
        <f t="shared" si="492"/>
        <v>0</v>
      </c>
      <c r="S173" s="147">
        <f t="shared" si="493"/>
        <v>0</v>
      </c>
      <c r="T173" s="147">
        <f t="shared" si="494"/>
        <v>1405</v>
      </c>
      <c r="V173" s="146"/>
      <c r="W173" s="147"/>
      <c r="X173" s="147"/>
      <c r="Y173" s="147"/>
      <c r="Z173" s="147"/>
      <c r="AA173" s="147"/>
      <c r="AB173" s="147"/>
      <c r="AC173" s="147"/>
      <c r="AD173" s="148"/>
      <c r="AF173" s="155">
        <f t="shared" si="445"/>
        <v>19300</v>
      </c>
      <c r="AG173" s="78"/>
      <c r="AH173" s="78"/>
      <c r="AI173" s="78"/>
      <c r="AJ173" s="78"/>
      <c r="AK173" s="78"/>
      <c r="AL173" s="78"/>
      <c r="AM173" s="78"/>
      <c r="AN173" s="78"/>
      <c r="AO173" s="78"/>
      <c r="AP173" s="78"/>
      <c r="AQ173" s="78"/>
      <c r="AR173" s="78"/>
      <c r="AS173" s="78"/>
      <c r="AT173" s="78"/>
      <c r="AU173" s="78"/>
      <c r="AV173" s="78"/>
      <c r="AW173" s="78"/>
      <c r="AX173" s="78">
        <v>4973.9883</v>
      </c>
      <c r="AY173" s="78"/>
      <c r="AZ173" s="78"/>
      <c r="BA173" s="78"/>
      <c r="BB173" s="78"/>
      <c r="BC173" s="78"/>
      <c r="BD173" s="78"/>
      <c r="BE173" s="78"/>
      <c r="BF173" s="78"/>
      <c r="BG173" s="78"/>
      <c r="BH173" s="78"/>
      <c r="BI173" s="78"/>
      <c r="BJ173" s="78"/>
      <c r="BK173" s="78"/>
      <c r="BL173" s="78"/>
      <c r="BM173" s="78"/>
      <c r="BN173" s="78"/>
      <c r="BO173" s="78"/>
      <c r="BP173" s="78"/>
      <c r="BQ173" s="78"/>
      <c r="BR173" s="78"/>
      <c r="BS173" s="78"/>
      <c r="BT173" s="78"/>
      <c r="BU173" s="78"/>
      <c r="BV173" s="78"/>
      <c r="BW173" s="78"/>
      <c r="BX173" s="78"/>
      <c r="BY173" s="78"/>
      <c r="BZ173" s="78"/>
      <c r="CA173" s="78"/>
      <c r="CB173" s="78">
        <v>276</v>
      </c>
      <c r="CC173" s="231">
        <f t="shared" si="487"/>
        <v>19300</v>
      </c>
    </row>
    <row r="174" spans="2:81" x14ac:dyDescent="0.25">
      <c r="B174" s="57">
        <v>19350</v>
      </c>
      <c r="C174" s="58">
        <f t="shared" si="434"/>
        <v>410.55529999999999</v>
      </c>
      <c r="D174" s="58">
        <f t="shared" si="435"/>
        <v>5339.2124000000003</v>
      </c>
      <c r="E174" s="58">
        <f t="shared" si="336"/>
        <v>0</v>
      </c>
      <c r="F174" s="58">
        <f t="shared" si="436"/>
        <v>0</v>
      </c>
      <c r="G174" s="58">
        <f t="shared" si="469"/>
        <v>0</v>
      </c>
      <c r="H174" s="58">
        <f t="shared" si="470"/>
        <v>0</v>
      </c>
      <c r="I174" s="58">
        <f t="shared" si="471"/>
        <v>0</v>
      </c>
      <c r="J174" s="51">
        <f t="shared" si="472"/>
        <v>0</v>
      </c>
      <c r="K174" s="99">
        <f t="shared" si="383"/>
        <v>314.29000000000002</v>
      </c>
      <c r="L174" s="105">
        <f t="shared" si="488"/>
        <v>381</v>
      </c>
      <c r="M174" s="58">
        <f t="shared" si="489"/>
        <v>9550</v>
      </c>
      <c r="N174" s="58"/>
      <c r="O174" s="58">
        <f t="shared" si="437"/>
        <v>0</v>
      </c>
      <c r="P174" s="58">
        <f t="shared" si="490"/>
        <v>0</v>
      </c>
      <c r="Q174" s="58">
        <f t="shared" si="491"/>
        <v>0</v>
      </c>
      <c r="R174" s="58">
        <f t="shared" si="492"/>
        <v>0</v>
      </c>
      <c r="S174" s="58">
        <f t="shared" si="493"/>
        <v>0</v>
      </c>
      <c r="T174" s="58">
        <f t="shared" si="494"/>
        <v>1640</v>
      </c>
      <c r="V174" s="137"/>
      <c r="W174" s="58"/>
      <c r="X174" s="58"/>
      <c r="Y174" s="58"/>
      <c r="Z174" s="58"/>
      <c r="AA174" s="58"/>
      <c r="AB174" s="58"/>
      <c r="AC174" s="58"/>
      <c r="AD174" s="138"/>
      <c r="AF174" s="57">
        <f t="shared" si="445"/>
        <v>19350</v>
      </c>
      <c r="AG174" s="49">
        <v>410.55529999999999</v>
      </c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  <c r="AV174" s="49"/>
      <c r="AW174" s="49"/>
      <c r="AX174" s="49">
        <v>5339.2124000000003</v>
      </c>
      <c r="AY174" s="49"/>
      <c r="AZ174" s="49"/>
      <c r="BA174" s="49"/>
      <c r="BB174" s="49"/>
      <c r="BC174" s="49"/>
      <c r="BD174" s="49"/>
      <c r="BE174" s="49"/>
      <c r="BF174" s="49"/>
      <c r="BG174" s="49"/>
      <c r="BH174" s="49"/>
      <c r="BI174" s="49"/>
      <c r="BJ174" s="49"/>
      <c r="BK174" s="49"/>
      <c r="BL174" s="49"/>
      <c r="BM174" s="49"/>
      <c r="BN174" s="49"/>
      <c r="BO174" s="49"/>
      <c r="BP174" s="49"/>
      <c r="BQ174" s="49"/>
      <c r="BR174" s="49"/>
      <c r="BS174" s="49"/>
      <c r="BT174" s="49"/>
      <c r="BU174" s="49"/>
      <c r="BV174" s="49"/>
      <c r="BW174" s="49"/>
      <c r="BX174" s="49"/>
      <c r="BY174" s="49"/>
      <c r="BZ174" s="49"/>
      <c r="CA174" s="49"/>
      <c r="CB174" s="49">
        <v>314.29000000000002</v>
      </c>
      <c r="CC174" s="231">
        <f t="shared" si="487"/>
        <v>19350</v>
      </c>
    </row>
    <row r="175" spans="2:81" s="3" customFormat="1" ht="15.75" thickBot="1" x14ac:dyDescent="0.3">
      <c r="B175" s="158">
        <v>19400</v>
      </c>
      <c r="C175" s="144">
        <f t="shared" si="434"/>
        <v>406.05590000000001</v>
      </c>
      <c r="D175" s="144">
        <f t="shared" si="435"/>
        <v>4326.5544</v>
      </c>
      <c r="E175" s="144">
        <f t="shared" si="336"/>
        <v>0</v>
      </c>
      <c r="F175" s="144">
        <f t="shared" si="436"/>
        <v>0</v>
      </c>
      <c r="G175" s="144">
        <f t="shared" si="469"/>
        <v>0</v>
      </c>
      <c r="H175" s="144">
        <f t="shared" si="470"/>
        <v>0</v>
      </c>
      <c r="I175" s="144">
        <f t="shared" si="471"/>
        <v>0</v>
      </c>
      <c r="J175" s="159">
        <f t="shared" si="472"/>
        <v>0</v>
      </c>
      <c r="K175" s="160">
        <f t="shared" si="383"/>
        <v>291.51</v>
      </c>
      <c r="L175" s="152">
        <f t="shared" si="488"/>
        <v>757</v>
      </c>
      <c r="M175" s="144">
        <f t="shared" si="489"/>
        <v>8950</v>
      </c>
      <c r="N175" s="144"/>
      <c r="O175" s="144">
        <f t="shared" si="437"/>
        <v>0</v>
      </c>
      <c r="P175" s="144">
        <f t="shared" si="490"/>
        <v>0</v>
      </c>
      <c r="Q175" s="144">
        <f t="shared" si="491"/>
        <v>0</v>
      </c>
      <c r="R175" s="144">
        <f t="shared" si="492"/>
        <v>0</v>
      </c>
      <c r="S175" s="144">
        <f t="shared" si="493"/>
        <v>0</v>
      </c>
      <c r="T175" s="144">
        <f t="shared" si="494"/>
        <v>1683</v>
      </c>
      <c r="V175" s="150">
        <f>L173+L174+L175</f>
        <v>1141</v>
      </c>
      <c r="W175" s="150">
        <f t="shared" ref="W175" si="502">M173+M174+M175</f>
        <v>26619</v>
      </c>
      <c r="X175" s="150"/>
      <c r="Y175" s="150">
        <f t="shared" ref="Y175" si="503">O173+O174+O175</f>
        <v>0</v>
      </c>
      <c r="Z175" s="150">
        <f t="shared" ref="Z175" si="504">P173+P174+P175</f>
        <v>0</v>
      </c>
      <c r="AA175" s="150">
        <f t="shared" ref="AA175" si="505">Q173+Q174+Q175</f>
        <v>0</v>
      </c>
      <c r="AB175" s="150">
        <f t="shared" ref="AB175" si="506">R173+R174+R175</f>
        <v>0</v>
      </c>
      <c r="AC175" s="150">
        <f t="shared" ref="AC175" si="507">S173+S174+S175</f>
        <v>0</v>
      </c>
      <c r="AD175" s="150">
        <f t="shared" ref="AD175" si="508">T173+T174+T175</f>
        <v>4728</v>
      </c>
      <c r="AF175" s="158">
        <f t="shared" si="445"/>
        <v>19400</v>
      </c>
      <c r="AG175" s="149">
        <v>406.05590000000001</v>
      </c>
      <c r="AH175" s="149"/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>
        <v>4326.5544</v>
      </c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  <c r="BI175" s="149"/>
      <c r="BJ175" s="149"/>
      <c r="BK175" s="149"/>
      <c r="BL175" s="149"/>
      <c r="BM175" s="149"/>
      <c r="BN175" s="149"/>
      <c r="BO175" s="149"/>
      <c r="BP175" s="149"/>
      <c r="BQ175" s="149"/>
      <c r="BR175" s="149"/>
      <c r="BS175" s="149"/>
      <c r="BT175" s="149"/>
      <c r="BU175" s="149"/>
      <c r="BV175" s="149"/>
      <c r="BW175" s="149"/>
      <c r="BX175" s="149"/>
      <c r="BY175" s="149"/>
      <c r="BZ175" s="149"/>
      <c r="CA175" s="149"/>
      <c r="CB175" s="149">
        <v>291.51</v>
      </c>
      <c r="CC175" s="231">
        <f t="shared" si="487"/>
        <v>19400</v>
      </c>
    </row>
    <row r="176" spans="2:81" x14ac:dyDescent="0.25">
      <c r="B176" s="155">
        <v>19450</v>
      </c>
      <c r="C176" s="147">
        <f t="shared" si="434"/>
        <v>181.80779999999999</v>
      </c>
      <c r="D176" s="147">
        <f t="shared" si="435"/>
        <v>4374.2633999999998</v>
      </c>
      <c r="E176" s="147">
        <f t="shared" si="336"/>
        <v>0</v>
      </c>
      <c r="F176" s="147">
        <f t="shared" si="436"/>
        <v>0</v>
      </c>
      <c r="G176" s="147">
        <f t="shared" si="469"/>
        <v>0</v>
      </c>
      <c r="H176" s="147">
        <f t="shared" si="470"/>
        <v>0</v>
      </c>
      <c r="I176" s="147">
        <f t="shared" si="471"/>
        <v>0</v>
      </c>
      <c r="J176" s="156">
        <f t="shared" si="472"/>
        <v>0</v>
      </c>
      <c r="K176" s="157">
        <f t="shared" si="383"/>
        <v>267.06</v>
      </c>
      <c r="L176" s="151">
        <f t="shared" si="488"/>
        <v>545</v>
      </c>
      <c r="M176" s="147">
        <f t="shared" si="489"/>
        <v>8057</v>
      </c>
      <c r="N176" s="147"/>
      <c r="O176" s="147">
        <f t="shared" si="437"/>
        <v>0</v>
      </c>
      <c r="P176" s="147">
        <f t="shared" si="490"/>
        <v>0</v>
      </c>
      <c r="Q176" s="147">
        <f t="shared" si="491"/>
        <v>0</v>
      </c>
      <c r="R176" s="147">
        <f t="shared" si="492"/>
        <v>0</v>
      </c>
      <c r="S176" s="147">
        <f t="shared" si="493"/>
        <v>0</v>
      </c>
      <c r="T176" s="147">
        <f t="shared" si="494"/>
        <v>1552</v>
      </c>
      <c r="V176" s="146"/>
      <c r="W176" s="147"/>
      <c r="X176" s="147"/>
      <c r="Y176" s="147"/>
      <c r="Z176" s="147"/>
      <c r="AA176" s="147"/>
      <c r="AB176" s="147"/>
      <c r="AC176" s="147"/>
      <c r="AD176" s="148"/>
      <c r="AF176" s="155">
        <f t="shared" si="445"/>
        <v>19450</v>
      </c>
      <c r="AG176" s="78">
        <v>181.80779999999999</v>
      </c>
      <c r="AH176" s="78"/>
      <c r="AI176" s="78"/>
      <c r="AJ176" s="78"/>
      <c r="AK176" s="78"/>
      <c r="AL176" s="78"/>
      <c r="AM176" s="78"/>
      <c r="AN176" s="78"/>
      <c r="AO176" s="78"/>
      <c r="AP176" s="78"/>
      <c r="AQ176" s="78"/>
      <c r="AR176" s="78"/>
      <c r="AS176" s="78"/>
      <c r="AT176" s="78"/>
      <c r="AU176" s="78"/>
      <c r="AV176" s="78"/>
      <c r="AW176" s="78"/>
      <c r="AX176" s="78">
        <v>4374.2633999999998</v>
      </c>
      <c r="AY176" s="78"/>
      <c r="AZ176" s="78"/>
      <c r="BA176" s="78"/>
      <c r="BB176" s="78"/>
      <c r="BC176" s="78"/>
      <c r="BD176" s="78"/>
      <c r="BE176" s="78"/>
      <c r="BF176" s="78"/>
      <c r="BG176" s="78"/>
      <c r="BH176" s="78"/>
      <c r="BI176" s="78"/>
      <c r="BJ176" s="78"/>
      <c r="BK176" s="78"/>
      <c r="BL176" s="78"/>
      <c r="BM176" s="78"/>
      <c r="BN176" s="78"/>
      <c r="BO176" s="78"/>
      <c r="BP176" s="78"/>
      <c r="BQ176" s="78"/>
      <c r="BR176" s="78"/>
      <c r="BS176" s="78"/>
      <c r="BT176" s="78"/>
      <c r="BU176" s="78"/>
      <c r="BV176" s="78"/>
      <c r="BW176" s="78"/>
      <c r="BX176" s="78"/>
      <c r="BY176" s="78"/>
      <c r="BZ176" s="78"/>
      <c r="CA176" s="78"/>
      <c r="CB176" s="78">
        <v>267.06</v>
      </c>
      <c r="CC176" s="231">
        <f t="shared" si="487"/>
        <v>19450</v>
      </c>
    </row>
    <row r="177" spans="1:81" x14ac:dyDescent="0.25">
      <c r="B177" s="57">
        <v>19500</v>
      </c>
      <c r="C177" s="58">
        <f t="shared" si="434"/>
        <v>269.91059999999999</v>
      </c>
      <c r="D177" s="58">
        <f t="shared" si="435"/>
        <v>2355.6741000000002</v>
      </c>
      <c r="E177" s="58">
        <f t="shared" si="336"/>
        <v>0</v>
      </c>
      <c r="F177" s="58">
        <f t="shared" si="436"/>
        <v>0</v>
      </c>
      <c r="G177" s="58">
        <f t="shared" si="469"/>
        <v>0</v>
      </c>
      <c r="H177" s="58">
        <f t="shared" si="470"/>
        <v>0</v>
      </c>
      <c r="I177" s="58">
        <f t="shared" si="471"/>
        <v>0</v>
      </c>
      <c r="J177" s="51">
        <f t="shared" si="472"/>
        <v>0</v>
      </c>
      <c r="K177" s="99">
        <f t="shared" si="383"/>
        <v>92.48</v>
      </c>
      <c r="L177" s="105">
        <f t="shared" si="488"/>
        <v>419</v>
      </c>
      <c r="M177" s="58">
        <f t="shared" si="489"/>
        <v>6232</v>
      </c>
      <c r="N177" s="58"/>
      <c r="O177" s="58">
        <f t="shared" si="437"/>
        <v>0</v>
      </c>
      <c r="P177" s="58">
        <f t="shared" si="490"/>
        <v>0</v>
      </c>
      <c r="Q177" s="58">
        <f t="shared" si="491"/>
        <v>0</v>
      </c>
      <c r="R177" s="58">
        <f t="shared" si="492"/>
        <v>0</v>
      </c>
      <c r="S177" s="58">
        <f t="shared" si="493"/>
        <v>0</v>
      </c>
      <c r="T177" s="58">
        <f t="shared" si="494"/>
        <v>999</v>
      </c>
      <c r="V177" s="137"/>
      <c r="W177" s="58"/>
      <c r="X177" s="58"/>
      <c r="Y177" s="58"/>
      <c r="Z177" s="58"/>
      <c r="AA177" s="58"/>
      <c r="AB177" s="58"/>
      <c r="AC177" s="58"/>
      <c r="AD177" s="138"/>
      <c r="AF177" s="57">
        <f t="shared" si="445"/>
        <v>19500</v>
      </c>
      <c r="AG177" s="49">
        <v>269.91059999999999</v>
      </c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  <c r="AV177" s="49"/>
      <c r="AW177" s="49"/>
      <c r="AX177" s="49">
        <v>2355.6741000000002</v>
      </c>
      <c r="AY177" s="49"/>
      <c r="AZ177" s="49"/>
      <c r="BA177" s="49"/>
      <c r="BB177" s="49"/>
      <c r="BC177" s="49"/>
      <c r="BD177" s="49"/>
      <c r="BE177" s="49"/>
      <c r="BF177" s="49"/>
      <c r="BG177" s="49"/>
      <c r="BH177" s="49"/>
      <c r="BI177" s="49"/>
      <c r="BJ177" s="49"/>
      <c r="BK177" s="49"/>
      <c r="BL177" s="49"/>
      <c r="BM177" s="49"/>
      <c r="BN177" s="49"/>
      <c r="BO177" s="49"/>
      <c r="BP177" s="49"/>
      <c r="BQ177" s="49"/>
      <c r="BR177" s="49"/>
      <c r="BS177" s="49"/>
      <c r="BT177" s="49"/>
      <c r="BU177" s="49"/>
      <c r="BV177" s="49"/>
      <c r="BW177" s="49"/>
      <c r="BX177" s="49"/>
      <c r="BY177" s="49"/>
      <c r="BZ177" s="49"/>
      <c r="CA177" s="49"/>
      <c r="CB177" s="49">
        <v>92.48</v>
      </c>
      <c r="CC177" s="231">
        <f t="shared" si="487"/>
        <v>19500</v>
      </c>
    </row>
    <row r="178" spans="1:81" s="177" customFormat="1" ht="15.75" thickBot="1" x14ac:dyDescent="0.3">
      <c r="A178" s="449" t="s">
        <v>38</v>
      </c>
      <c r="B178" s="182">
        <v>19521.919999999998</v>
      </c>
      <c r="C178" s="173">
        <f t="shared" si="434"/>
        <v>42.360100000000003</v>
      </c>
      <c r="D178" s="173">
        <f t="shared" si="435"/>
        <v>2655.3541</v>
      </c>
      <c r="E178" s="173">
        <f t="shared" si="336"/>
        <v>0</v>
      </c>
      <c r="F178" s="173">
        <f t="shared" si="436"/>
        <v>0</v>
      </c>
      <c r="G178" s="173">
        <f t="shared" si="469"/>
        <v>0</v>
      </c>
      <c r="H178" s="173">
        <f t="shared" si="470"/>
        <v>0</v>
      </c>
      <c r="I178" s="173">
        <f t="shared" si="471"/>
        <v>0</v>
      </c>
      <c r="J178" s="174">
        <f t="shared" si="472"/>
        <v>0</v>
      </c>
      <c r="K178" s="175">
        <f t="shared" si="383"/>
        <v>59.36</v>
      </c>
      <c r="L178" s="183">
        <f t="shared" si="488"/>
        <v>127</v>
      </c>
      <c r="M178" s="184">
        <f t="shared" si="489"/>
        <v>2035</v>
      </c>
      <c r="N178" s="184"/>
      <c r="O178" s="184">
        <f t="shared" si="437"/>
        <v>0</v>
      </c>
      <c r="P178" s="184">
        <f t="shared" si="490"/>
        <v>0</v>
      </c>
      <c r="Q178" s="184">
        <f t="shared" si="491"/>
        <v>0</v>
      </c>
      <c r="R178" s="184">
        <f t="shared" si="492"/>
        <v>0</v>
      </c>
      <c r="S178" s="184">
        <f t="shared" si="493"/>
        <v>0</v>
      </c>
      <c r="T178" s="184">
        <f>ROUNDUP(((K178+K177)*0.5)*(B178-B177)/9,0)</f>
        <v>185</v>
      </c>
      <c r="V178" s="150">
        <f>L176+L177+L178</f>
        <v>1091</v>
      </c>
      <c r="W178" s="150">
        <f t="shared" ref="W178" si="509">M176+M177+M178</f>
        <v>16324</v>
      </c>
      <c r="X178" s="150"/>
      <c r="Y178" s="150">
        <f t="shared" ref="Y178" si="510">O176+O177+O178</f>
        <v>0</v>
      </c>
      <c r="Z178" s="150">
        <f t="shared" ref="Z178" si="511">P176+P177+P178</f>
        <v>0</v>
      </c>
      <c r="AA178" s="150">
        <f t="shared" ref="AA178" si="512">Q176+Q177+Q178</f>
        <v>0</v>
      </c>
      <c r="AB178" s="150">
        <f t="shared" ref="AB178" si="513">R176+R177+R178</f>
        <v>0</v>
      </c>
      <c r="AC178" s="150">
        <f t="shared" ref="AC178" si="514">S176+S177+S178</f>
        <v>0</v>
      </c>
      <c r="AD178" s="150">
        <f t="shared" ref="AD178" si="515">T176+T177+T178</f>
        <v>2736</v>
      </c>
      <c r="AF178" s="182">
        <f t="shared" si="445"/>
        <v>19521.919999999998</v>
      </c>
      <c r="AG178" s="178">
        <v>42.360100000000003</v>
      </c>
      <c r="AH178" s="178"/>
      <c r="AI178" s="178"/>
      <c r="AJ178" s="178"/>
      <c r="AK178" s="178"/>
      <c r="AL178" s="178"/>
      <c r="AM178" s="178"/>
      <c r="AN178" s="178"/>
      <c r="AO178" s="178"/>
      <c r="AP178" s="178"/>
      <c r="AQ178" s="178"/>
      <c r="AR178" s="178"/>
      <c r="AS178" s="178"/>
      <c r="AT178" s="178"/>
      <c r="AU178" s="178"/>
      <c r="AV178" s="178"/>
      <c r="AW178" s="178"/>
      <c r="AX178" s="178">
        <v>2655.3541</v>
      </c>
      <c r="AY178" s="178"/>
      <c r="AZ178" s="178"/>
      <c r="BA178" s="178"/>
      <c r="BB178" s="178"/>
      <c r="BC178" s="178"/>
      <c r="BD178" s="178"/>
      <c r="BE178" s="178"/>
      <c r="BF178" s="178"/>
      <c r="BG178" s="178"/>
      <c r="BH178" s="178"/>
      <c r="BI178" s="178"/>
      <c r="BJ178" s="178"/>
      <c r="BK178" s="178"/>
      <c r="BL178" s="178"/>
      <c r="BM178" s="178"/>
      <c r="BN178" s="178"/>
      <c r="BO178" s="178"/>
      <c r="BP178" s="178"/>
      <c r="BQ178" s="178"/>
      <c r="BR178" s="178"/>
      <c r="BS178" s="178"/>
      <c r="BT178" s="178"/>
      <c r="BU178" s="178"/>
      <c r="BV178" s="178"/>
      <c r="BW178" s="178"/>
      <c r="BX178" s="178"/>
      <c r="BY178" s="178"/>
      <c r="BZ178" s="178"/>
      <c r="CA178" s="178"/>
      <c r="CB178" s="178">
        <v>59.36</v>
      </c>
      <c r="CC178" s="231">
        <f t="shared" si="487"/>
        <v>19521.919999999998</v>
      </c>
    </row>
    <row r="179" spans="1:81" s="80" customFormat="1" x14ac:dyDescent="0.25">
      <c r="A179" s="449"/>
      <c r="B179" s="132">
        <v>19673.39</v>
      </c>
      <c r="C179" s="169">
        <f t="shared" si="434"/>
        <v>78.317300000000003</v>
      </c>
      <c r="D179" s="169">
        <f t="shared" si="435"/>
        <v>2768.1754000000001</v>
      </c>
      <c r="E179" s="169">
        <f t="shared" si="336"/>
        <v>0</v>
      </c>
      <c r="F179" s="169">
        <f t="shared" si="436"/>
        <v>0</v>
      </c>
      <c r="G179" s="169">
        <f t="shared" si="469"/>
        <v>0</v>
      </c>
      <c r="H179" s="169">
        <f t="shared" si="470"/>
        <v>0</v>
      </c>
      <c r="I179" s="169">
        <f t="shared" si="471"/>
        <v>0</v>
      </c>
      <c r="J179" s="170">
        <f t="shared" si="472"/>
        <v>0</v>
      </c>
      <c r="K179" s="171">
        <f t="shared" si="383"/>
        <v>67.69</v>
      </c>
      <c r="L179" s="179"/>
      <c r="M179" s="169"/>
      <c r="N179" s="169"/>
      <c r="O179" s="169"/>
      <c r="P179" s="169"/>
      <c r="Q179" s="169"/>
      <c r="R179" s="169"/>
      <c r="S179" s="169"/>
      <c r="T179" s="169"/>
      <c r="V179" s="180"/>
      <c r="W179" s="169"/>
      <c r="X179" s="169"/>
      <c r="Y179" s="169"/>
      <c r="Z179" s="169"/>
      <c r="AA179" s="169"/>
      <c r="AB179" s="169"/>
      <c r="AC179" s="169"/>
      <c r="AD179" s="181"/>
      <c r="AF179" s="132">
        <f t="shared" si="445"/>
        <v>19673.39</v>
      </c>
      <c r="AG179" s="172">
        <v>78.317300000000003</v>
      </c>
      <c r="AH179" s="172"/>
      <c r="AI179" s="172"/>
      <c r="AJ179" s="172"/>
      <c r="AK179" s="172"/>
      <c r="AL179" s="172"/>
      <c r="AM179" s="172"/>
      <c r="AN179" s="172"/>
      <c r="AO179" s="172"/>
      <c r="AP179" s="172"/>
      <c r="AQ179" s="172"/>
      <c r="AR179" s="172"/>
      <c r="AS179" s="172"/>
      <c r="AT179" s="172"/>
      <c r="AU179" s="172"/>
      <c r="AV179" s="172"/>
      <c r="AW179" s="172"/>
      <c r="AX179" s="172">
        <v>2768.1754000000001</v>
      </c>
      <c r="AY179" s="172"/>
      <c r="AZ179" s="172"/>
      <c r="BA179" s="172"/>
      <c r="BB179" s="172"/>
      <c r="BC179" s="172"/>
      <c r="BD179" s="172"/>
      <c r="BE179" s="172"/>
      <c r="BF179" s="172"/>
      <c r="BG179" s="172"/>
      <c r="BH179" s="172"/>
      <c r="BI179" s="172"/>
      <c r="BJ179" s="172"/>
      <c r="BK179" s="172"/>
      <c r="BL179" s="172"/>
      <c r="BM179" s="172"/>
      <c r="BN179" s="172"/>
      <c r="BO179" s="172"/>
      <c r="BP179" s="172"/>
      <c r="BQ179" s="172"/>
      <c r="BR179" s="172"/>
      <c r="BS179" s="172"/>
      <c r="BT179" s="172"/>
      <c r="BU179" s="172"/>
      <c r="BV179" s="172"/>
      <c r="BW179" s="172"/>
      <c r="BX179" s="172"/>
      <c r="BY179" s="172"/>
      <c r="BZ179" s="172"/>
      <c r="CA179" s="172"/>
      <c r="CB179" s="172">
        <v>67.69</v>
      </c>
      <c r="CC179" s="231">
        <f t="shared" si="487"/>
        <v>19673.39</v>
      </c>
    </row>
    <row r="180" spans="1:81" s="3" customFormat="1" ht="15.75" thickBot="1" x14ac:dyDescent="0.3">
      <c r="B180" s="158">
        <v>19700</v>
      </c>
      <c r="C180" s="144">
        <f t="shared" si="434"/>
        <v>753.51319999999998</v>
      </c>
      <c r="D180" s="144">
        <f t="shared" si="435"/>
        <v>0</v>
      </c>
      <c r="E180" s="144">
        <f t="shared" si="336"/>
        <v>5526.8885</v>
      </c>
      <c r="F180" s="144">
        <f t="shared" si="436"/>
        <v>0</v>
      </c>
      <c r="G180" s="144">
        <f t="shared" si="469"/>
        <v>0</v>
      </c>
      <c r="H180" s="144">
        <f t="shared" si="470"/>
        <v>0</v>
      </c>
      <c r="I180" s="144">
        <f t="shared" si="471"/>
        <v>0</v>
      </c>
      <c r="J180" s="159">
        <f t="shared" si="472"/>
        <v>0</v>
      </c>
      <c r="K180" s="160">
        <f t="shared" si="383"/>
        <v>181.54</v>
      </c>
      <c r="L180" s="152">
        <f>ROUNDUP(((C179+C180)*0.5)*(B180-B179)/27,0)</f>
        <v>410</v>
      </c>
      <c r="M180" s="144">
        <f>ROUNDUP(((D179+D180)*0.5)*(B180-B179)/27,0)</f>
        <v>1365</v>
      </c>
      <c r="N180" s="144">
        <f>ROUNDUP(((E179+E180)*0.5)*(B180-19675)/27,0)</f>
        <v>2559</v>
      </c>
      <c r="O180" s="144">
        <f>ROUNDUP(((F179+F180)*0.5)*(B180-B179)/27,0)</f>
        <v>0</v>
      </c>
      <c r="P180" s="144">
        <f>ROUNDUP(((G180+G179)*0.5)*(B180-B179)/27,0)</f>
        <v>0</v>
      </c>
      <c r="Q180" s="144">
        <f>ROUNDUP(((H180+H179)*0.5)*(B180-B179)/27,0)</f>
        <v>0</v>
      </c>
      <c r="R180" s="144">
        <f>ROUNDUP(((I180+I179)*0.5)*(B180-B179)/9,0)</f>
        <v>0</v>
      </c>
      <c r="S180" s="144">
        <f>ROUNDUP(((J180+J179)*0.5)*(B180-B179)/9,0)</f>
        <v>0</v>
      </c>
      <c r="T180" s="144">
        <f>ROUNDUP(((K180+K179)*0.5)*(B180-B179)/9,0)</f>
        <v>369</v>
      </c>
      <c r="V180" s="150">
        <f>L179+L180</f>
        <v>410</v>
      </c>
      <c r="W180" s="150">
        <f>M179+M180</f>
        <v>1365</v>
      </c>
      <c r="X180" s="150">
        <f>N179+N180</f>
        <v>2559</v>
      </c>
      <c r="Y180" s="150">
        <f t="shared" ref="Y180:AD180" si="516">O179+O180</f>
        <v>0</v>
      </c>
      <c r="Z180" s="150">
        <f t="shared" si="516"/>
        <v>0</v>
      </c>
      <c r="AA180" s="150">
        <f t="shared" si="516"/>
        <v>0</v>
      </c>
      <c r="AB180" s="150">
        <f t="shared" si="516"/>
        <v>0</v>
      </c>
      <c r="AC180" s="150">
        <f t="shared" si="516"/>
        <v>0</v>
      </c>
      <c r="AD180" s="150">
        <f t="shared" si="516"/>
        <v>369</v>
      </c>
      <c r="AF180" s="158">
        <f t="shared" si="445"/>
        <v>19700</v>
      </c>
      <c r="AG180" s="149">
        <v>696.85929999999996</v>
      </c>
      <c r="AH180" s="149">
        <v>56.6539</v>
      </c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>
        <v>696.85929999999996</v>
      </c>
      <c r="BI180" s="149"/>
      <c r="BJ180" s="149">
        <v>4830.0291999999999</v>
      </c>
      <c r="BK180" s="149"/>
      <c r="BL180" s="149"/>
      <c r="BM180" s="149"/>
      <c r="BN180" s="149"/>
      <c r="BO180" s="149"/>
      <c r="BP180" s="149"/>
      <c r="BQ180" s="149"/>
      <c r="BR180" s="149"/>
      <c r="BS180" s="149"/>
      <c r="BT180" s="149"/>
      <c r="BU180" s="149"/>
      <c r="BV180" s="149"/>
      <c r="BW180" s="149"/>
      <c r="BX180" s="149"/>
      <c r="BY180" s="149"/>
      <c r="BZ180" s="149"/>
      <c r="CA180" s="149"/>
      <c r="CB180" s="149">
        <v>181.54</v>
      </c>
      <c r="CC180" s="231">
        <f t="shared" si="487"/>
        <v>19700</v>
      </c>
    </row>
    <row r="181" spans="1:81" ht="15.75" thickBot="1" x14ac:dyDescent="0.3">
      <c r="B181" s="155">
        <v>19750</v>
      </c>
      <c r="C181" s="147">
        <f t="shared" si="434"/>
        <v>234.8708</v>
      </c>
      <c r="D181" s="147">
        <f t="shared" si="435"/>
        <v>0</v>
      </c>
      <c r="E181" s="147">
        <f t="shared" si="336"/>
        <v>5929.6585999999998</v>
      </c>
      <c r="F181" s="147">
        <f t="shared" si="436"/>
        <v>0</v>
      </c>
      <c r="G181" s="147">
        <f t="shared" si="469"/>
        <v>0</v>
      </c>
      <c r="H181" s="147">
        <f t="shared" si="470"/>
        <v>0</v>
      </c>
      <c r="I181" s="147">
        <f t="shared" si="471"/>
        <v>0</v>
      </c>
      <c r="J181" s="156">
        <f t="shared" si="472"/>
        <v>0</v>
      </c>
      <c r="K181" s="157">
        <f t="shared" si="383"/>
        <v>238.03</v>
      </c>
      <c r="L181" s="151">
        <f t="shared" ref="L181:L184" si="517">ROUNDUP(((C180+C181)*0.5)*(B181-B180)/27,0)</f>
        <v>916</v>
      </c>
      <c r="M181" s="147">
        <f t="shared" ref="M181:M184" si="518">ROUNDUP(((D180+D181)*0.5)*(B181-B180)/27,0)</f>
        <v>0</v>
      </c>
      <c r="N181" s="147">
        <f>ROUNDUP(((E180+E181)*0.5)*(B181-B180)/27,0)</f>
        <v>10608</v>
      </c>
      <c r="O181" s="147">
        <f t="shared" ref="O181:O184" si="519">ROUNDUP(((F180+F181)*0.5)*(B181-B180)/27,0)</f>
        <v>0</v>
      </c>
      <c r="P181" s="147">
        <f t="shared" ref="P181:P184" si="520">ROUNDUP(((G181+G180)*0.5)*(B181-B180)/27,0)</f>
        <v>0</v>
      </c>
      <c r="Q181" s="147">
        <f t="shared" ref="Q181:Q184" si="521">ROUNDUP(((H181+H180)*0.5)*(B181-B180)/27,0)</f>
        <v>0</v>
      </c>
      <c r="R181" s="147">
        <f t="shared" ref="R181:R184" si="522">ROUNDUP(((I181+I180)*0.5)*(B181-B180)/9,0)</f>
        <v>0</v>
      </c>
      <c r="S181" s="147">
        <f t="shared" ref="S181:S184" si="523">ROUNDUP(((J181+J180)*0.5)*(B181-B180)/9,0)</f>
        <v>0</v>
      </c>
      <c r="T181" s="147">
        <f t="shared" ref="T181:T184" si="524">ROUNDUP(((K181+K180)*0.5)*(B181-B180)/9,0)</f>
        <v>1166</v>
      </c>
      <c r="V181" s="146"/>
      <c r="W181" s="147"/>
      <c r="X181" s="147"/>
      <c r="Y181" s="147"/>
      <c r="Z181" s="147"/>
      <c r="AA181" s="147"/>
      <c r="AB181" s="147"/>
      <c r="AC181" s="147"/>
      <c r="AD181" s="148"/>
      <c r="AF181" s="155">
        <f t="shared" si="445"/>
        <v>19750</v>
      </c>
      <c r="AG181" s="78">
        <v>228.95699999999999</v>
      </c>
      <c r="AH181" s="78">
        <v>5.9138000000000002</v>
      </c>
      <c r="AI181" s="78"/>
      <c r="AJ181" s="78"/>
      <c r="AK181" s="78"/>
      <c r="AL181" s="78"/>
      <c r="AM181" s="78"/>
      <c r="AN181" s="78"/>
      <c r="AO181" s="78"/>
      <c r="AP181" s="78"/>
      <c r="AQ181" s="78"/>
      <c r="AR181" s="78"/>
      <c r="AS181" s="78"/>
      <c r="AT181" s="78"/>
      <c r="AU181" s="78"/>
      <c r="AV181" s="78"/>
      <c r="AW181" s="78"/>
      <c r="AX181" s="78"/>
      <c r="AY181" s="78"/>
      <c r="AZ181" s="78"/>
      <c r="BA181" s="78"/>
      <c r="BB181" s="78"/>
      <c r="BC181" s="78"/>
      <c r="BD181" s="78"/>
      <c r="BE181" s="78"/>
      <c r="BF181" s="78"/>
      <c r="BG181" s="78"/>
      <c r="BH181" s="78">
        <v>200.4742</v>
      </c>
      <c r="BI181" s="149">
        <f>46.6594+28.4829</f>
        <v>75.142300000000006</v>
      </c>
      <c r="BJ181" s="78">
        <v>5654.0420999999997</v>
      </c>
      <c r="BK181" s="78"/>
      <c r="BL181" s="78"/>
      <c r="BM181" s="78"/>
      <c r="BN181" s="78"/>
      <c r="BO181" s="78"/>
      <c r="BP181" s="78"/>
      <c r="BQ181" s="78"/>
      <c r="BR181" s="78"/>
      <c r="BS181" s="78"/>
      <c r="BT181" s="78"/>
      <c r="BU181" s="78"/>
      <c r="BV181" s="78"/>
      <c r="BW181" s="78"/>
      <c r="BX181" s="78"/>
      <c r="BY181" s="78"/>
      <c r="BZ181" s="78"/>
      <c r="CA181" s="78"/>
      <c r="CB181" s="78">
        <v>238.03</v>
      </c>
      <c r="CC181" s="231">
        <f t="shared" si="487"/>
        <v>19750</v>
      </c>
    </row>
    <row r="182" spans="1:81" x14ac:dyDescent="0.25">
      <c r="B182" s="307">
        <v>19800</v>
      </c>
      <c r="C182" s="58">
        <f t="shared" si="434"/>
        <v>88.625900000000001</v>
      </c>
      <c r="D182" s="58">
        <f t="shared" si="435"/>
        <v>0</v>
      </c>
      <c r="E182" s="58">
        <f t="shared" si="336"/>
        <v>6488.7165000000005</v>
      </c>
      <c r="F182" s="58">
        <f t="shared" si="436"/>
        <v>0</v>
      </c>
      <c r="G182" s="58">
        <f t="shared" si="469"/>
        <v>0</v>
      </c>
      <c r="H182" s="58">
        <f t="shared" si="470"/>
        <v>0</v>
      </c>
      <c r="I182" s="58">
        <f t="shared" si="471"/>
        <v>0</v>
      </c>
      <c r="J182" s="51">
        <f t="shared" si="472"/>
        <v>0</v>
      </c>
      <c r="K182" s="99">
        <f t="shared" si="383"/>
        <v>285.43709999999999</v>
      </c>
      <c r="L182" s="339">
        <f t="shared" si="517"/>
        <v>300</v>
      </c>
      <c r="M182" s="119">
        <f t="shared" si="518"/>
        <v>0</v>
      </c>
      <c r="N182" s="119">
        <f t="shared" ref="N182:N190" si="525">ROUNDUP(((E181+E182)*0.5)*(B182-B181)/27,0)</f>
        <v>11499</v>
      </c>
      <c r="O182" s="119">
        <f t="shared" si="519"/>
        <v>0</v>
      </c>
      <c r="P182" s="119">
        <f t="shared" si="520"/>
        <v>0</v>
      </c>
      <c r="Q182" s="119">
        <f t="shared" si="521"/>
        <v>0</v>
      </c>
      <c r="R182" s="119">
        <f t="shared" si="522"/>
        <v>0</v>
      </c>
      <c r="S182" s="119">
        <f t="shared" si="523"/>
        <v>0</v>
      </c>
      <c r="T182" s="119">
        <f t="shared" si="524"/>
        <v>1455</v>
      </c>
      <c r="V182" s="137"/>
      <c r="W182" s="58"/>
      <c r="X182" s="58"/>
      <c r="Y182" s="58"/>
      <c r="Z182" s="58"/>
      <c r="AA182" s="58"/>
      <c r="AB182" s="58"/>
      <c r="AC182" s="58"/>
      <c r="AD182" s="138"/>
      <c r="AF182" s="57">
        <f t="shared" si="445"/>
        <v>19800</v>
      </c>
      <c r="AG182" s="49"/>
      <c r="AH182" s="49">
        <v>88.625900000000001</v>
      </c>
      <c r="AI182" s="49"/>
      <c r="AJ182" s="49"/>
      <c r="AK182" s="49"/>
      <c r="AL182" s="49"/>
      <c r="AM182" s="49"/>
      <c r="AN182" s="49"/>
      <c r="AO182" s="49"/>
      <c r="AP182" s="49"/>
      <c r="AQ182" s="49"/>
      <c r="AR182" s="49"/>
      <c r="AS182" s="49"/>
      <c r="AT182" s="49"/>
      <c r="AU182" s="49"/>
      <c r="AV182" s="49"/>
      <c r="AW182" s="49"/>
      <c r="AX182" s="49"/>
      <c r="AY182" s="49"/>
      <c r="AZ182" s="49"/>
      <c r="BA182" s="49"/>
      <c r="BB182" s="49"/>
      <c r="BC182" s="49"/>
      <c r="BD182" s="49"/>
      <c r="BE182" s="49"/>
      <c r="BF182" s="49"/>
      <c r="BG182" s="49"/>
      <c r="BH182" s="49">
        <v>88.625900000000001</v>
      </c>
      <c r="BI182" s="49">
        <v>6400.0906000000004</v>
      </c>
      <c r="BJ182" s="49"/>
      <c r="BK182" s="49"/>
      <c r="BL182" s="49"/>
      <c r="BM182" s="49"/>
      <c r="BN182" s="49"/>
      <c r="BO182" s="49"/>
      <c r="BP182" s="49"/>
      <c r="BQ182" s="49"/>
      <c r="BR182" s="49"/>
      <c r="BS182" s="49"/>
      <c r="BT182" s="49"/>
      <c r="BU182" s="49"/>
      <c r="BV182" s="49"/>
      <c r="BW182" s="49"/>
      <c r="BX182" s="49"/>
      <c r="BY182" s="49"/>
      <c r="BZ182" s="49"/>
      <c r="CA182" s="49"/>
      <c r="CB182" s="49">
        <f>277.4371+8</f>
        <v>285.43709999999999</v>
      </c>
      <c r="CC182" s="231">
        <f t="shared" si="487"/>
        <v>19800</v>
      </c>
    </row>
    <row r="183" spans="1:81" s="3" customFormat="1" ht="15.75" thickBot="1" x14ac:dyDescent="0.3">
      <c r="B183" s="308">
        <v>19850</v>
      </c>
      <c r="C183" s="144">
        <f t="shared" si="434"/>
        <v>450.82130000000001</v>
      </c>
      <c r="D183" s="144">
        <f t="shared" si="435"/>
        <v>0</v>
      </c>
      <c r="E183" s="144">
        <f t="shared" ref="E183:E247" si="526">BH183+BJ183+BI183</f>
        <v>6947.2884999999997</v>
      </c>
      <c r="F183" s="144">
        <f t="shared" si="436"/>
        <v>0</v>
      </c>
      <c r="G183" s="144">
        <f t="shared" si="469"/>
        <v>0</v>
      </c>
      <c r="H183" s="144">
        <f t="shared" si="470"/>
        <v>0</v>
      </c>
      <c r="I183" s="144">
        <f t="shared" si="471"/>
        <v>0</v>
      </c>
      <c r="J183" s="159">
        <f t="shared" si="472"/>
        <v>0</v>
      </c>
      <c r="K183" s="160">
        <f t="shared" si="383"/>
        <v>301.3372</v>
      </c>
      <c r="L183" s="340">
        <f t="shared" si="517"/>
        <v>500</v>
      </c>
      <c r="M183" s="247">
        <f t="shared" si="518"/>
        <v>0</v>
      </c>
      <c r="N183" s="247">
        <f t="shared" si="525"/>
        <v>12441</v>
      </c>
      <c r="O183" s="247">
        <f t="shared" si="519"/>
        <v>0</v>
      </c>
      <c r="P183" s="247">
        <f t="shared" si="520"/>
        <v>0</v>
      </c>
      <c r="Q183" s="247">
        <f t="shared" si="521"/>
        <v>0</v>
      </c>
      <c r="R183" s="247">
        <f t="shared" si="522"/>
        <v>0</v>
      </c>
      <c r="S183" s="247">
        <f t="shared" si="523"/>
        <v>0</v>
      </c>
      <c r="T183" s="247">
        <f t="shared" si="524"/>
        <v>1630</v>
      </c>
      <c r="V183" s="150">
        <f>L181+L182+L183</f>
        <v>1716</v>
      </c>
      <c r="W183" s="150">
        <f t="shared" ref="W183" si="527">M181+M182+M183</f>
        <v>0</v>
      </c>
      <c r="X183" s="150">
        <f>N181+N182+N183</f>
        <v>34548</v>
      </c>
      <c r="Y183" s="150">
        <f t="shared" ref="Y183" si="528">O181+O182+O183</f>
        <v>0</v>
      </c>
      <c r="Z183" s="150">
        <f t="shared" ref="Z183" si="529">P181+P182+P183</f>
        <v>0</v>
      </c>
      <c r="AA183" s="150">
        <f t="shared" ref="AA183" si="530">Q181+Q182+Q183</f>
        <v>0</v>
      </c>
      <c r="AB183" s="150">
        <f t="shared" ref="AB183" si="531">R181+R182+R183</f>
        <v>0</v>
      </c>
      <c r="AC183" s="150">
        <f t="shared" ref="AC183" si="532">S181+S182+S183</f>
        <v>0</v>
      </c>
      <c r="AD183" s="150">
        <f t="shared" ref="AD183" si="533">T181+T182+T183</f>
        <v>4251</v>
      </c>
      <c r="AF183" s="158">
        <f t="shared" si="445"/>
        <v>19850</v>
      </c>
      <c r="AG183" s="149"/>
      <c r="AH183" s="149">
        <v>284.57380000000001</v>
      </c>
      <c r="AI183" s="149">
        <v>166.2475</v>
      </c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>
        <v>29.075299999999999</v>
      </c>
      <c r="BI183" s="149">
        <f>284.5738+166.2475</f>
        <v>450.82130000000001</v>
      </c>
      <c r="BJ183" s="149">
        <v>6467.3918999999996</v>
      </c>
      <c r="BK183" s="149"/>
      <c r="BL183" s="149"/>
      <c r="BM183" s="149"/>
      <c r="BN183" s="149"/>
      <c r="BO183" s="149"/>
      <c r="BP183" s="149"/>
      <c r="BQ183" s="149"/>
      <c r="BR183" s="149"/>
      <c r="BS183" s="149"/>
      <c r="BT183" s="149"/>
      <c r="BU183" s="149"/>
      <c r="BV183" s="149"/>
      <c r="BW183" s="149"/>
      <c r="BX183" s="149"/>
      <c r="BY183" s="149"/>
      <c r="BZ183" s="149"/>
      <c r="CA183" s="149"/>
      <c r="CB183" s="149">
        <f>293.3372+8</f>
        <v>301.3372</v>
      </c>
      <c r="CC183" s="231">
        <f t="shared" si="487"/>
        <v>19850</v>
      </c>
    </row>
    <row r="184" spans="1:81" s="80" customFormat="1" x14ac:dyDescent="0.25">
      <c r="A184" s="449" t="s">
        <v>38</v>
      </c>
      <c r="B184" s="132">
        <v>19853.490000000002</v>
      </c>
      <c r="C184" s="169">
        <f t="shared" si="434"/>
        <v>287.28269999999998</v>
      </c>
      <c r="D184" s="169">
        <f t="shared" si="435"/>
        <v>0</v>
      </c>
      <c r="E184" s="169">
        <f t="shared" si="526"/>
        <v>6314.9785000000002</v>
      </c>
      <c r="F184" s="169">
        <f t="shared" si="436"/>
        <v>0</v>
      </c>
      <c r="G184" s="169">
        <f t="shared" si="469"/>
        <v>0</v>
      </c>
      <c r="H184" s="169">
        <f t="shared" si="470"/>
        <v>0</v>
      </c>
      <c r="I184" s="169">
        <f t="shared" si="471"/>
        <v>0</v>
      </c>
      <c r="J184" s="170">
        <f t="shared" si="472"/>
        <v>0</v>
      </c>
      <c r="K184" s="171">
        <f t="shared" si="383"/>
        <v>211.21</v>
      </c>
      <c r="L184" s="164">
        <f t="shared" si="517"/>
        <v>48</v>
      </c>
      <c r="M184" s="161">
        <f t="shared" si="518"/>
        <v>0</v>
      </c>
      <c r="N184" s="161">
        <f>ROUNDUP(((E183+E184)*0.5)*(B184-B183)/27,0)</f>
        <v>858</v>
      </c>
      <c r="O184" s="161">
        <f t="shared" si="519"/>
        <v>0</v>
      </c>
      <c r="P184" s="161">
        <f t="shared" si="520"/>
        <v>0</v>
      </c>
      <c r="Q184" s="161">
        <f t="shared" si="521"/>
        <v>0</v>
      </c>
      <c r="R184" s="161">
        <f t="shared" si="522"/>
        <v>0</v>
      </c>
      <c r="S184" s="161">
        <f t="shared" si="523"/>
        <v>0</v>
      </c>
      <c r="T184" s="161">
        <f t="shared" si="524"/>
        <v>100</v>
      </c>
      <c r="V184" s="165"/>
      <c r="W184" s="161"/>
      <c r="X184" s="161"/>
      <c r="Y184" s="161"/>
      <c r="Z184" s="161"/>
      <c r="AA184" s="161"/>
      <c r="AB184" s="161"/>
      <c r="AC184" s="161"/>
      <c r="AD184" s="166"/>
      <c r="AF184" s="132">
        <f t="shared" si="445"/>
        <v>19853.490000000002</v>
      </c>
      <c r="AG184" s="172">
        <v>191.38650000000001</v>
      </c>
      <c r="AH184" s="172">
        <v>95.896199999999993</v>
      </c>
      <c r="AI184" s="172"/>
      <c r="AJ184" s="172"/>
      <c r="AK184" s="172"/>
      <c r="AL184" s="172"/>
      <c r="AM184" s="172"/>
      <c r="AN184" s="172"/>
      <c r="AO184" s="172"/>
      <c r="AP184" s="172"/>
      <c r="AQ184" s="172"/>
      <c r="AR184" s="172"/>
      <c r="AS184" s="172"/>
      <c r="AT184" s="172"/>
      <c r="AU184" s="172"/>
      <c r="AV184" s="172"/>
      <c r="AW184" s="172"/>
      <c r="AX184" s="172"/>
      <c r="AY184" s="172"/>
      <c r="AZ184" s="172"/>
      <c r="BA184" s="172"/>
      <c r="BB184" s="172"/>
      <c r="BC184" s="172"/>
      <c r="BD184" s="172"/>
      <c r="BE184" s="172"/>
      <c r="BF184" s="172"/>
      <c r="BG184" s="172"/>
      <c r="BH184" s="172">
        <v>191.38650000000001</v>
      </c>
      <c r="BI184" s="172">
        <v>95.896199999999993</v>
      </c>
      <c r="BJ184" s="172">
        <v>6027.6958000000004</v>
      </c>
      <c r="BK184" s="172"/>
      <c r="BL184" s="172"/>
      <c r="BM184" s="172"/>
      <c r="BN184" s="172"/>
      <c r="BO184" s="172"/>
      <c r="BP184" s="172"/>
      <c r="BQ184" s="172"/>
      <c r="BR184" s="172"/>
      <c r="BS184" s="172"/>
      <c r="BT184" s="172"/>
      <c r="BU184" s="172"/>
      <c r="BV184" s="172"/>
      <c r="BW184" s="172"/>
      <c r="BX184" s="172"/>
      <c r="BY184" s="172"/>
      <c r="BZ184" s="172"/>
      <c r="CA184" s="172"/>
      <c r="CB184" s="172">
        <v>211.21</v>
      </c>
      <c r="CC184" s="231">
        <f t="shared" si="487"/>
        <v>19853.490000000002</v>
      </c>
    </row>
    <row r="185" spans="1:81" s="80" customFormat="1" x14ac:dyDescent="0.25">
      <c r="A185" s="449"/>
      <c r="B185" s="132"/>
      <c r="C185" s="169"/>
      <c r="D185" s="169"/>
      <c r="E185" s="169"/>
      <c r="F185" s="169"/>
      <c r="G185" s="169"/>
      <c r="H185" s="169"/>
      <c r="I185" s="169"/>
      <c r="J185" s="170"/>
      <c r="K185" s="171"/>
      <c r="L185" s="164"/>
      <c r="M185" s="161"/>
      <c r="N185" s="161">
        <f>ROUNDUP(((E184+E185)*0.5)*(19987-B184)/27,0)</f>
        <v>15614</v>
      </c>
      <c r="O185" s="161"/>
      <c r="P185" s="161"/>
      <c r="Q185" s="161"/>
      <c r="R185" s="161"/>
      <c r="S185" s="161"/>
      <c r="T185" s="161"/>
      <c r="V185" s="165"/>
      <c r="W185" s="161"/>
      <c r="X185" s="161"/>
      <c r="Y185" s="161"/>
      <c r="Z185" s="161"/>
      <c r="AA185" s="161"/>
      <c r="AB185" s="161"/>
      <c r="AC185" s="161"/>
      <c r="AD185" s="166"/>
      <c r="AF185" s="132"/>
      <c r="AG185" s="172"/>
      <c r="AH185" s="172"/>
      <c r="AI185" s="172"/>
      <c r="AJ185" s="172"/>
      <c r="AK185" s="172"/>
      <c r="AL185" s="172"/>
      <c r="AM185" s="172"/>
      <c r="AN185" s="172"/>
      <c r="AO185" s="172"/>
      <c r="AP185" s="172"/>
      <c r="AQ185" s="172"/>
      <c r="AR185" s="172"/>
      <c r="AS185" s="172"/>
      <c r="AT185" s="172"/>
      <c r="AU185" s="172"/>
      <c r="AV185" s="172"/>
      <c r="AW185" s="172"/>
      <c r="AX185" s="172"/>
      <c r="AY185" s="172"/>
      <c r="AZ185" s="172"/>
      <c r="BA185" s="172"/>
      <c r="BB185" s="172"/>
      <c r="BC185" s="172"/>
      <c r="BD185" s="172"/>
      <c r="BE185" s="172"/>
      <c r="BF185" s="172"/>
      <c r="BG185" s="172"/>
      <c r="BH185" s="172"/>
      <c r="BI185" s="172"/>
      <c r="BJ185" s="172"/>
      <c r="BK185" s="172"/>
      <c r="BL185" s="172"/>
      <c r="BM185" s="172"/>
      <c r="BN185" s="172"/>
      <c r="BO185" s="172"/>
      <c r="BP185" s="172"/>
      <c r="BQ185" s="172"/>
      <c r="BR185" s="172"/>
      <c r="BS185" s="172"/>
      <c r="BT185" s="172"/>
      <c r="BU185" s="172"/>
      <c r="BV185" s="172"/>
      <c r="BW185" s="172"/>
      <c r="BX185" s="172"/>
      <c r="BY185" s="172"/>
      <c r="BZ185" s="172"/>
      <c r="CA185" s="172"/>
      <c r="CB185" s="172"/>
      <c r="CC185" s="231"/>
    </row>
    <row r="186" spans="1:81" s="80" customFormat="1" x14ac:dyDescent="0.25">
      <c r="A186" s="449"/>
      <c r="B186" s="81">
        <v>20224.66</v>
      </c>
      <c r="C186" s="82">
        <f t="shared" si="434"/>
        <v>296.48669999999998</v>
      </c>
      <c r="D186" s="82">
        <f t="shared" ref="D186:D215" si="534">AX186+AY186+AZ186+BA186+BB186+BC186</f>
        <v>0</v>
      </c>
      <c r="E186" s="82">
        <f t="shared" si="526"/>
        <v>7678.6384000000007</v>
      </c>
      <c r="F186" s="82">
        <f t="shared" si="436"/>
        <v>0</v>
      </c>
      <c r="G186" s="82">
        <f t="shared" si="469"/>
        <v>0</v>
      </c>
      <c r="H186" s="82">
        <f t="shared" si="470"/>
        <v>0</v>
      </c>
      <c r="I186" s="82">
        <f t="shared" si="471"/>
        <v>0</v>
      </c>
      <c r="J186" s="83">
        <f t="shared" si="472"/>
        <v>0</v>
      </c>
      <c r="K186" s="101">
        <f t="shared" si="383"/>
        <v>246.32</v>
      </c>
      <c r="L186" s="107"/>
      <c r="M186" s="82"/>
      <c r="N186" s="82">
        <f>ROUNDUP(((0+E186)*0.5)*(B186-20104)/27,0)</f>
        <v>17158</v>
      </c>
      <c r="O186" s="82"/>
      <c r="P186" s="82"/>
      <c r="Q186" s="82"/>
      <c r="R186" s="82"/>
      <c r="S186" s="82"/>
      <c r="T186" s="82"/>
      <c r="V186" s="141"/>
      <c r="W186" s="82"/>
      <c r="X186" s="82"/>
      <c r="Y186" s="82"/>
      <c r="Z186" s="82"/>
      <c r="AA186" s="82"/>
      <c r="AB186" s="82"/>
      <c r="AC186" s="82"/>
      <c r="AD186" s="142"/>
      <c r="AF186" s="81">
        <f t="shared" si="445"/>
        <v>20224.66</v>
      </c>
      <c r="AG186" s="109">
        <v>296.48669999999998</v>
      </c>
      <c r="AH186" s="109"/>
      <c r="AI186" s="109"/>
      <c r="AJ186" s="109"/>
      <c r="AK186" s="109"/>
      <c r="AL186" s="109"/>
      <c r="AM186" s="109"/>
      <c r="AN186" s="109"/>
      <c r="AO186" s="109"/>
      <c r="AP186" s="109"/>
      <c r="AQ186" s="109"/>
      <c r="AR186" s="109"/>
      <c r="AS186" s="109"/>
      <c r="AT186" s="109"/>
      <c r="AU186" s="109"/>
      <c r="AV186" s="109"/>
      <c r="AW186" s="109"/>
      <c r="AX186" s="109"/>
      <c r="AY186" s="109"/>
      <c r="AZ186" s="109"/>
      <c r="BA186" s="109"/>
      <c r="BB186" s="109"/>
      <c r="BC186" s="109"/>
      <c r="BD186" s="109"/>
      <c r="BE186" s="109"/>
      <c r="BF186" s="109"/>
      <c r="BG186" s="109"/>
      <c r="BH186" s="109">
        <v>296.48669999999998</v>
      </c>
      <c r="BI186" s="109"/>
      <c r="BJ186" s="109">
        <v>7382.1517000000003</v>
      </c>
      <c r="BK186" s="109"/>
      <c r="BL186" s="109"/>
      <c r="BM186" s="109"/>
      <c r="BN186" s="109"/>
      <c r="BO186" s="109"/>
      <c r="BP186" s="109"/>
      <c r="BQ186" s="109"/>
      <c r="BR186" s="109"/>
      <c r="BS186" s="109"/>
      <c r="BT186" s="109"/>
      <c r="BU186" s="109"/>
      <c r="BV186" s="109"/>
      <c r="BW186" s="109"/>
      <c r="BX186" s="109"/>
      <c r="BY186" s="109"/>
      <c r="BZ186" s="109"/>
      <c r="CA186" s="109"/>
      <c r="CB186" s="109">
        <v>246.32</v>
      </c>
      <c r="CC186" s="231">
        <f t="shared" si="487"/>
        <v>20224.66</v>
      </c>
    </row>
    <row r="187" spans="1:81" s="3" customFormat="1" ht="15.75" thickBot="1" x14ac:dyDescent="0.3">
      <c r="B187" s="158">
        <v>20250</v>
      </c>
      <c r="C187" s="144">
        <f t="shared" si="434"/>
        <v>417.01240000000001</v>
      </c>
      <c r="D187" s="144">
        <f t="shared" si="534"/>
        <v>0</v>
      </c>
      <c r="E187" s="144">
        <f t="shared" si="526"/>
        <v>7401.8218999999999</v>
      </c>
      <c r="F187" s="144">
        <f t="shared" si="436"/>
        <v>0</v>
      </c>
      <c r="G187" s="144">
        <f t="shared" si="469"/>
        <v>0</v>
      </c>
      <c r="H187" s="144">
        <f t="shared" si="470"/>
        <v>0</v>
      </c>
      <c r="I187" s="144">
        <f t="shared" si="471"/>
        <v>0</v>
      </c>
      <c r="J187" s="159">
        <f t="shared" si="472"/>
        <v>0</v>
      </c>
      <c r="K187" s="160">
        <f t="shared" si="383"/>
        <v>253.11</v>
      </c>
      <c r="L187" s="152">
        <f>ROUNDUP(((C186+C187)*0.5)*(B187-B186)/27,0)</f>
        <v>335</v>
      </c>
      <c r="M187" s="144">
        <f>ROUNDUP(((D186+D187)*0.5)*(B187-B186)/27,0)</f>
        <v>0</v>
      </c>
      <c r="N187" s="144">
        <f>ROUNDUP(((E186+E187)*0.5)*(B187-B186)/27,0)</f>
        <v>7077</v>
      </c>
      <c r="O187" s="144">
        <f>ROUNDUP(((F186+F187)*0.5)*(B187-B186)/27,0)</f>
        <v>0</v>
      </c>
      <c r="P187" s="144">
        <f>ROUNDUP(((G187+G186)*0.5)*(B187-B186)/27,0)</f>
        <v>0</v>
      </c>
      <c r="Q187" s="144">
        <f>ROUNDUP(((H187+H186)*0.5)*(B187-B186)/27,0)</f>
        <v>0</v>
      </c>
      <c r="R187" s="144">
        <f>ROUNDUP(((I187+I186)*0.5)*(B187-B186)/9,0)</f>
        <v>0</v>
      </c>
      <c r="S187" s="144">
        <f>ROUNDUP(((J187+J186)*0.5)*(B187-B186)/9,0)</f>
        <v>0</v>
      </c>
      <c r="T187" s="144">
        <f t="shared" ref="T187:T191" si="535">ROUNDUP(((K187+K186)*0.5)*(B187-B186)/9,0)</f>
        <v>704</v>
      </c>
      <c r="V187" s="150">
        <f>L184+L186+L187</f>
        <v>383</v>
      </c>
      <c r="W187" s="150">
        <f t="shared" ref="W187" si="536">M184+M186+M187</f>
        <v>0</v>
      </c>
      <c r="X187" s="150">
        <f>N184+N186+N187+N185</f>
        <v>40707</v>
      </c>
      <c r="Y187" s="150">
        <f t="shared" ref="Y187" si="537">O184+O186+O187</f>
        <v>0</v>
      </c>
      <c r="Z187" s="150">
        <f t="shared" ref="Z187" si="538">P184+P186+P187</f>
        <v>0</v>
      </c>
      <c r="AA187" s="150">
        <f t="shared" ref="AA187" si="539">Q184+Q186+Q187</f>
        <v>0</v>
      </c>
      <c r="AB187" s="150">
        <f t="shared" ref="AB187" si="540">R184+R186+R187</f>
        <v>0</v>
      </c>
      <c r="AC187" s="150">
        <f t="shared" ref="AC187" si="541">S184+S186+S187</f>
        <v>0</v>
      </c>
      <c r="AD187" s="150">
        <f t="shared" ref="AD187" si="542">T184+T186+T187</f>
        <v>804</v>
      </c>
      <c r="AF187" s="158">
        <f t="shared" si="445"/>
        <v>20250</v>
      </c>
      <c r="AG187" s="149">
        <v>417.01240000000001</v>
      </c>
      <c r="AH187" s="149"/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>
        <v>417.01240000000001</v>
      </c>
      <c r="BI187" s="149"/>
      <c r="BJ187" s="149">
        <v>6984.8095000000003</v>
      </c>
      <c r="BK187" s="149"/>
      <c r="BL187" s="149"/>
      <c r="BM187" s="149"/>
      <c r="BN187" s="149"/>
      <c r="BO187" s="149"/>
      <c r="BP187" s="149"/>
      <c r="BQ187" s="149"/>
      <c r="BR187" s="149"/>
      <c r="BS187" s="149"/>
      <c r="BT187" s="149"/>
      <c r="BU187" s="149"/>
      <c r="BV187" s="149"/>
      <c r="BW187" s="149"/>
      <c r="BX187" s="149"/>
      <c r="BY187" s="149"/>
      <c r="BZ187" s="149"/>
      <c r="CA187" s="149"/>
      <c r="CB187" s="149">
        <v>253.11</v>
      </c>
      <c r="CC187" s="231">
        <f t="shared" si="487"/>
        <v>20250</v>
      </c>
    </row>
    <row r="188" spans="1:81" x14ac:dyDescent="0.25">
      <c r="B188" s="332">
        <v>20300</v>
      </c>
      <c r="C188" s="147">
        <f t="shared" si="434"/>
        <v>868.25329999999997</v>
      </c>
      <c r="D188" s="147">
        <f t="shared" si="534"/>
        <v>0</v>
      </c>
      <c r="E188" s="147">
        <f t="shared" si="526"/>
        <v>7913.2650999999996</v>
      </c>
      <c r="F188" s="147">
        <f t="shared" si="436"/>
        <v>0</v>
      </c>
      <c r="G188" s="147">
        <f t="shared" si="469"/>
        <v>0</v>
      </c>
      <c r="H188" s="147">
        <f t="shared" si="470"/>
        <v>0</v>
      </c>
      <c r="I188" s="147">
        <f t="shared" si="471"/>
        <v>0</v>
      </c>
      <c r="J188" s="156">
        <f t="shared" si="472"/>
        <v>0</v>
      </c>
      <c r="K188" s="157">
        <f t="shared" si="383"/>
        <v>302.25569999999999</v>
      </c>
      <c r="L188" s="341">
        <f t="shared" ref="L188:L250" si="543">ROUNDUP(((C187+C188)*0.5)*(B188-B187)/27,0)</f>
        <v>1191</v>
      </c>
      <c r="M188" s="246">
        <f t="shared" ref="M188:M248" si="544">ROUNDUP(((D187+D188)*0.5)*(B188-B187)/27,0)</f>
        <v>0</v>
      </c>
      <c r="N188" s="246">
        <f>ROUNDUP(((E187+E188)*0.5)*(B188-B187)/27,0)</f>
        <v>14181</v>
      </c>
      <c r="O188" s="246">
        <f t="shared" ref="O188:O191" si="545">ROUNDUP(((F187+F188)*0.5)*(B188-B187)/27,0)</f>
        <v>0</v>
      </c>
      <c r="P188" s="246">
        <f t="shared" ref="P188:P250" si="546">ROUNDUP(((G188+G187)*0.5)*(B188-B187)/27,0)</f>
        <v>0</v>
      </c>
      <c r="Q188" s="246">
        <f t="shared" ref="Q188:Q250" si="547">ROUNDUP(((H188+H187)*0.5)*(B188-B187)/27,0)</f>
        <v>0</v>
      </c>
      <c r="R188" s="246">
        <f t="shared" ref="R188:R250" si="548">ROUNDUP(((I188+I187)*0.5)*(B188-B187)/9,0)</f>
        <v>0</v>
      </c>
      <c r="S188" s="246">
        <f t="shared" ref="S188:S250" si="549">ROUNDUP(((J188+J187)*0.5)*(B188-B187)/9,0)</f>
        <v>0</v>
      </c>
      <c r="T188" s="246">
        <f t="shared" si="535"/>
        <v>1543</v>
      </c>
      <c r="V188" s="146"/>
      <c r="W188" s="147"/>
      <c r="X188" s="147"/>
      <c r="Y188" s="147"/>
      <c r="Z188" s="147"/>
      <c r="AA188" s="147"/>
      <c r="AB188" s="147"/>
      <c r="AC188" s="147"/>
      <c r="AD188" s="148"/>
      <c r="AF188" s="155">
        <f t="shared" si="445"/>
        <v>20300</v>
      </c>
      <c r="AG188" s="78"/>
      <c r="AH188" s="78">
        <v>868.25329999999997</v>
      </c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  <c r="AV188" s="78"/>
      <c r="AW188" s="78"/>
      <c r="AX188" s="78"/>
      <c r="AY188" s="78"/>
      <c r="AZ188" s="78"/>
      <c r="BA188" s="78"/>
      <c r="BB188" s="78"/>
      <c r="BC188" s="78"/>
      <c r="BD188" s="78"/>
      <c r="BE188" s="78"/>
      <c r="BF188" s="78"/>
      <c r="BG188" s="78"/>
      <c r="BH188" s="78">
        <v>6924.5123999999996</v>
      </c>
      <c r="BI188" s="78">
        <v>611.33040000000005</v>
      </c>
      <c r="BJ188" s="78">
        <f>120.4994+256.9229</f>
        <v>377.42230000000001</v>
      </c>
      <c r="BK188" s="78"/>
      <c r="BL188" s="78"/>
      <c r="BM188" s="78"/>
      <c r="BN188" s="78"/>
      <c r="BO188" s="78"/>
      <c r="BP188" s="78"/>
      <c r="BQ188" s="78"/>
      <c r="BR188" s="78"/>
      <c r="BS188" s="78"/>
      <c r="BT188" s="78"/>
      <c r="BU188" s="78"/>
      <c r="BV188" s="78"/>
      <c r="BW188" s="78"/>
      <c r="BX188" s="78"/>
      <c r="BY188" s="78"/>
      <c r="BZ188" s="78"/>
      <c r="CA188" s="78"/>
      <c r="CB188" s="78">
        <f>294.2557+8</f>
        <v>302.25569999999999</v>
      </c>
      <c r="CC188" s="231">
        <f t="shared" si="487"/>
        <v>20300</v>
      </c>
    </row>
    <row r="189" spans="1:81" x14ac:dyDescent="0.25">
      <c r="B189" s="307">
        <v>20350</v>
      </c>
      <c r="C189" s="58">
        <f t="shared" si="434"/>
        <v>844.39909999999998</v>
      </c>
      <c r="D189" s="58">
        <f t="shared" si="534"/>
        <v>0</v>
      </c>
      <c r="E189" s="58">
        <f t="shared" si="526"/>
        <v>7297.8294999999998</v>
      </c>
      <c r="F189" s="58">
        <f t="shared" si="436"/>
        <v>0</v>
      </c>
      <c r="G189" s="58">
        <f t="shared" si="469"/>
        <v>0</v>
      </c>
      <c r="H189" s="58">
        <f t="shared" si="470"/>
        <v>0</v>
      </c>
      <c r="I189" s="58">
        <f t="shared" si="471"/>
        <v>0</v>
      </c>
      <c r="J189" s="51">
        <f t="shared" si="472"/>
        <v>0</v>
      </c>
      <c r="K189" s="99">
        <f t="shared" si="383"/>
        <v>298.84249999999997</v>
      </c>
      <c r="L189" s="339">
        <f t="shared" si="543"/>
        <v>1586</v>
      </c>
      <c r="M189" s="119">
        <f t="shared" si="544"/>
        <v>0</v>
      </c>
      <c r="N189" s="119">
        <f t="shared" si="525"/>
        <v>14085</v>
      </c>
      <c r="O189" s="119">
        <f t="shared" si="545"/>
        <v>0</v>
      </c>
      <c r="P189" s="119">
        <f t="shared" si="546"/>
        <v>0</v>
      </c>
      <c r="Q189" s="119">
        <f t="shared" si="547"/>
        <v>0</v>
      </c>
      <c r="R189" s="119">
        <f t="shared" si="548"/>
        <v>0</v>
      </c>
      <c r="S189" s="119">
        <f t="shared" si="549"/>
        <v>0</v>
      </c>
      <c r="T189" s="119">
        <f t="shared" si="535"/>
        <v>1670</v>
      </c>
      <c r="V189" s="137"/>
      <c r="W189" s="58"/>
      <c r="X189" s="58"/>
      <c r="Y189" s="58"/>
      <c r="Z189" s="58"/>
      <c r="AA189" s="58"/>
      <c r="AB189" s="58"/>
      <c r="AC189" s="58"/>
      <c r="AD189" s="138"/>
      <c r="AF189" s="57">
        <f t="shared" si="445"/>
        <v>20350</v>
      </c>
      <c r="AG189" s="49"/>
      <c r="AH189" s="49">
        <v>844.39909999999998</v>
      </c>
      <c r="AI189" s="49"/>
      <c r="AJ189" s="49"/>
      <c r="AK189" s="49"/>
      <c r="AL189" s="49"/>
      <c r="AM189" s="49"/>
      <c r="AN189" s="49"/>
      <c r="AO189" s="49"/>
      <c r="AP189" s="49"/>
      <c r="AQ189" s="49"/>
      <c r="AR189" s="49"/>
      <c r="AS189" s="49"/>
      <c r="AT189" s="49"/>
      <c r="AU189" s="49"/>
      <c r="AV189" s="49"/>
      <c r="AW189" s="49"/>
      <c r="AX189" s="49"/>
      <c r="AY189" s="49"/>
      <c r="AZ189" s="49"/>
      <c r="BA189" s="49"/>
      <c r="BB189" s="49"/>
      <c r="BC189" s="49"/>
      <c r="BD189" s="49"/>
      <c r="BE189" s="49"/>
      <c r="BF189" s="49"/>
      <c r="BG189" s="49"/>
      <c r="BH189" s="49">
        <v>7121.6796999999997</v>
      </c>
      <c r="BI189" s="49">
        <v>176.1498</v>
      </c>
      <c r="BJ189" s="49"/>
      <c r="BK189" s="49"/>
      <c r="BL189" s="49"/>
      <c r="BM189" s="49"/>
      <c r="BN189" s="49"/>
      <c r="BO189" s="49"/>
      <c r="BP189" s="49"/>
      <c r="BQ189" s="49"/>
      <c r="BR189" s="49"/>
      <c r="BS189" s="49"/>
      <c r="BT189" s="49"/>
      <c r="BU189" s="49"/>
      <c r="BV189" s="49"/>
      <c r="BW189" s="49"/>
      <c r="BX189" s="49"/>
      <c r="BY189" s="49"/>
      <c r="BZ189" s="49"/>
      <c r="CA189" s="49"/>
      <c r="CB189" s="49">
        <f>290.8425+8</f>
        <v>298.84249999999997</v>
      </c>
      <c r="CC189" s="231">
        <f t="shared" si="487"/>
        <v>20350</v>
      </c>
    </row>
    <row r="190" spans="1:81" s="3" customFormat="1" ht="15.75" thickBot="1" x14ac:dyDescent="0.3">
      <c r="B190" s="308">
        <v>20400</v>
      </c>
      <c r="C190" s="144">
        <f t="shared" si="434"/>
        <v>1495.1331</v>
      </c>
      <c r="D190" s="144">
        <f t="shared" si="534"/>
        <v>0</v>
      </c>
      <c r="E190" s="144">
        <f t="shared" si="526"/>
        <v>8729.7321000000011</v>
      </c>
      <c r="F190" s="144">
        <f t="shared" si="436"/>
        <v>0</v>
      </c>
      <c r="G190" s="144">
        <f t="shared" si="469"/>
        <v>0</v>
      </c>
      <c r="H190" s="144">
        <f t="shared" si="470"/>
        <v>0</v>
      </c>
      <c r="I190" s="144">
        <f t="shared" si="471"/>
        <v>0</v>
      </c>
      <c r="J190" s="159">
        <f t="shared" si="472"/>
        <v>0</v>
      </c>
      <c r="K190" s="160">
        <f t="shared" si="383"/>
        <v>316.64139999999998</v>
      </c>
      <c r="L190" s="340">
        <f t="shared" si="543"/>
        <v>2167</v>
      </c>
      <c r="M190" s="247">
        <f t="shared" si="544"/>
        <v>0</v>
      </c>
      <c r="N190" s="247">
        <f t="shared" si="525"/>
        <v>14841</v>
      </c>
      <c r="O190" s="247">
        <f t="shared" si="545"/>
        <v>0</v>
      </c>
      <c r="P190" s="247">
        <f t="shared" si="546"/>
        <v>0</v>
      </c>
      <c r="Q190" s="247">
        <f t="shared" si="547"/>
        <v>0</v>
      </c>
      <c r="R190" s="247">
        <f t="shared" si="548"/>
        <v>0</v>
      </c>
      <c r="S190" s="247">
        <f t="shared" si="549"/>
        <v>0</v>
      </c>
      <c r="T190" s="247">
        <f t="shared" si="535"/>
        <v>1710</v>
      </c>
      <c r="V190" s="150">
        <f>L188+L189+L190</f>
        <v>4944</v>
      </c>
      <c r="W190" s="150">
        <f>M188+M189+M190</f>
        <v>0</v>
      </c>
      <c r="X190" s="150">
        <f>N188+N189+N190</f>
        <v>43107</v>
      </c>
      <c r="Y190" s="150">
        <f t="shared" ref="Y190" si="550">O188+O189+O190</f>
        <v>0</v>
      </c>
      <c r="Z190" s="150">
        <f t="shared" ref="Z190" si="551">P188+P189+P190</f>
        <v>0</v>
      </c>
      <c r="AA190" s="150">
        <f t="shared" ref="AA190" si="552">Q188+Q189+Q190</f>
        <v>0</v>
      </c>
      <c r="AB190" s="150">
        <f t="shared" ref="AB190" si="553">R188+R189+R190</f>
        <v>0</v>
      </c>
      <c r="AC190" s="150">
        <f t="shared" ref="AC190" si="554">S188+S189+S190</f>
        <v>0</v>
      </c>
      <c r="AD190" s="150">
        <f t="shared" ref="AD190" si="555">T188+T189+T190</f>
        <v>4923</v>
      </c>
      <c r="AF190" s="158">
        <f t="shared" si="445"/>
        <v>20400</v>
      </c>
      <c r="AG190" s="149"/>
      <c r="AH190" s="149">
        <v>1495.1331</v>
      </c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>
        <v>7234.5990000000002</v>
      </c>
      <c r="BI190" s="149">
        <v>1495.1331</v>
      </c>
      <c r="BJ190" s="149"/>
      <c r="BK190" s="149"/>
      <c r="BL190" s="149"/>
      <c r="BM190" s="149"/>
      <c r="BN190" s="149"/>
      <c r="BO190" s="149"/>
      <c r="BP190" s="149"/>
      <c r="BQ190" s="149"/>
      <c r="BR190" s="149"/>
      <c r="BS190" s="149"/>
      <c r="BT190" s="149"/>
      <c r="BU190" s="149"/>
      <c r="BV190" s="149"/>
      <c r="BW190" s="149"/>
      <c r="BX190" s="149"/>
      <c r="BY190" s="149"/>
      <c r="BZ190" s="149"/>
      <c r="CA190" s="149"/>
      <c r="CB190" s="149">
        <f>308.6414+8</f>
        <v>316.64139999999998</v>
      </c>
      <c r="CC190" s="231">
        <f t="shared" si="487"/>
        <v>20400</v>
      </c>
    </row>
    <row r="191" spans="1:81" s="80" customFormat="1" x14ac:dyDescent="0.25">
      <c r="A191" s="469" t="s">
        <v>38</v>
      </c>
      <c r="B191" s="132">
        <v>20438.53</v>
      </c>
      <c r="C191" s="169">
        <f t="shared" si="434"/>
        <v>0</v>
      </c>
      <c r="D191" s="169">
        <f t="shared" si="534"/>
        <v>0</v>
      </c>
      <c r="E191" s="169">
        <f t="shared" si="526"/>
        <v>2717.5255000000002</v>
      </c>
      <c r="F191" s="169">
        <f t="shared" si="436"/>
        <v>0</v>
      </c>
      <c r="G191" s="169">
        <f t="shared" si="469"/>
        <v>0</v>
      </c>
      <c r="H191" s="169">
        <f t="shared" si="470"/>
        <v>0</v>
      </c>
      <c r="I191" s="169">
        <f t="shared" si="471"/>
        <v>0</v>
      </c>
      <c r="J191" s="170">
        <f t="shared" si="472"/>
        <v>0</v>
      </c>
      <c r="K191" s="171">
        <f t="shared" si="383"/>
        <v>30.3</v>
      </c>
      <c r="L191" s="341">
        <f t="shared" si="543"/>
        <v>1067</v>
      </c>
      <c r="M191" s="246">
        <f t="shared" si="544"/>
        <v>0</v>
      </c>
      <c r="N191" s="246">
        <f>ROUNDUP(((E190+E191)*0.5)*(B191-B190)/27,0)</f>
        <v>8168</v>
      </c>
      <c r="O191" s="246">
        <f t="shared" si="545"/>
        <v>0</v>
      </c>
      <c r="P191" s="246">
        <f t="shared" si="546"/>
        <v>0</v>
      </c>
      <c r="Q191" s="246">
        <f t="shared" si="547"/>
        <v>0</v>
      </c>
      <c r="R191" s="246">
        <f t="shared" si="548"/>
        <v>0</v>
      </c>
      <c r="S191" s="246">
        <f t="shared" si="549"/>
        <v>0</v>
      </c>
      <c r="T191" s="246">
        <f t="shared" si="535"/>
        <v>743</v>
      </c>
      <c r="V191" s="165"/>
      <c r="W191" s="161"/>
      <c r="X191" s="161"/>
      <c r="Y191" s="161"/>
      <c r="Z191" s="161"/>
      <c r="AA191" s="161"/>
      <c r="AB191" s="161"/>
      <c r="AC191" s="161"/>
      <c r="AD191" s="166"/>
      <c r="AF191" s="132">
        <f t="shared" si="445"/>
        <v>20438.53</v>
      </c>
      <c r="AG191" s="172"/>
      <c r="AH191" s="172"/>
      <c r="AI191" s="172"/>
      <c r="AJ191" s="172"/>
      <c r="AK191" s="172"/>
      <c r="AL191" s="172"/>
      <c r="AM191" s="172"/>
      <c r="AN191" s="172"/>
      <c r="AO191" s="172"/>
      <c r="AP191" s="172"/>
      <c r="AQ191" s="172"/>
      <c r="AR191" s="172"/>
      <c r="AS191" s="172"/>
      <c r="AT191" s="172"/>
      <c r="AU191" s="172"/>
      <c r="AV191" s="172"/>
      <c r="AW191" s="172"/>
      <c r="AX191" s="172"/>
      <c r="AY191" s="172"/>
      <c r="AZ191" s="172"/>
      <c r="BA191" s="172"/>
      <c r="BB191" s="172"/>
      <c r="BC191" s="172"/>
      <c r="BD191" s="172"/>
      <c r="BE191" s="172"/>
      <c r="BF191" s="172"/>
      <c r="BG191" s="172"/>
      <c r="BH191" s="172">
        <v>2717.5255000000002</v>
      </c>
      <c r="BI191" s="172"/>
      <c r="BJ191" s="172"/>
      <c r="BK191" s="172"/>
      <c r="BL191" s="172"/>
      <c r="BM191" s="172"/>
      <c r="BN191" s="172"/>
      <c r="BO191" s="172"/>
      <c r="BP191" s="172"/>
      <c r="BQ191" s="172"/>
      <c r="BR191" s="172"/>
      <c r="BS191" s="172"/>
      <c r="BT191" s="172"/>
      <c r="BU191" s="172"/>
      <c r="BV191" s="172"/>
      <c r="BW191" s="172"/>
      <c r="BX191" s="172"/>
      <c r="BY191" s="172"/>
      <c r="BZ191" s="172"/>
      <c r="CA191" s="172"/>
      <c r="CB191" s="172">
        <v>30.3</v>
      </c>
      <c r="CC191" s="231">
        <f t="shared" si="487"/>
        <v>20438.53</v>
      </c>
    </row>
    <row r="192" spans="1:81" s="177" customFormat="1" ht="15.75" thickBot="1" x14ac:dyDescent="0.3">
      <c r="A192" s="470"/>
      <c r="B192" s="182">
        <v>20580.63</v>
      </c>
      <c r="C192" s="173">
        <f t="shared" si="434"/>
        <v>275.37810000000002</v>
      </c>
      <c r="D192" s="173">
        <f t="shared" si="534"/>
        <v>1298.989</v>
      </c>
      <c r="E192" s="173">
        <f t="shared" si="526"/>
        <v>0</v>
      </c>
      <c r="F192" s="173">
        <f t="shared" si="436"/>
        <v>0</v>
      </c>
      <c r="G192" s="173">
        <f t="shared" si="469"/>
        <v>0</v>
      </c>
      <c r="H192" s="173">
        <f t="shared" si="470"/>
        <v>0</v>
      </c>
      <c r="I192" s="173">
        <f t="shared" si="471"/>
        <v>0</v>
      </c>
      <c r="J192" s="174">
        <f t="shared" si="472"/>
        <v>0</v>
      </c>
      <c r="K192" s="175">
        <f t="shared" si="383"/>
        <v>96.16</v>
      </c>
      <c r="L192" s="176"/>
      <c r="M192" s="173"/>
      <c r="N192" s="173"/>
      <c r="O192" s="173"/>
      <c r="P192" s="173"/>
      <c r="Q192" s="173"/>
      <c r="R192" s="173"/>
      <c r="S192" s="173"/>
      <c r="T192" s="173"/>
      <c r="V192" s="150">
        <f>L191+L192</f>
        <v>1067</v>
      </c>
      <c r="W192" s="150">
        <f t="shared" ref="W192:X192" si="556">M191+M192</f>
        <v>0</v>
      </c>
      <c r="X192" s="150">
        <f t="shared" si="556"/>
        <v>8168</v>
      </c>
      <c r="Y192" s="150">
        <f t="shared" ref="Y192" si="557">O191+O192</f>
        <v>0</v>
      </c>
      <c r="Z192" s="150">
        <f t="shared" ref="Z192" si="558">P191+P192</f>
        <v>0</v>
      </c>
      <c r="AA192" s="150">
        <f t="shared" ref="AA192" si="559">Q191+Q192</f>
        <v>0</v>
      </c>
      <c r="AB192" s="150">
        <f t="shared" ref="AB192" si="560">R191+R192</f>
        <v>0</v>
      </c>
      <c r="AC192" s="150">
        <f t="shared" ref="AC192" si="561">S191+S192</f>
        <v>0</v>
      </c>
      <c r="AD192" s="150">
        <f t="shared" ref="AD192" si="562">T191+T192</f>
        <v>743</v>
      </c>
      <c r="AF192" s="182">
        <f t="shared" si="445"/>
        <v>20580.63</v>
      </c>
      <c r="AG192" s="178">
        <v>275.37810000000002</v>
      </c>
      <c r="AH192" s="178"/>
      <c r="AI192" s="178"/>
      <c r="AJ192" s="178"/>
      <c r="AK192" s="178"/>
      <c r="AL192" s="178"/>
      <c r="AM192" s="178"/>
      <c r="AN192" s="178"/>
      <c r="AO192" s="178"/>
      <c r="AP192" s="178"/>
      <c r="AQ192" s="178"/>
      <c r="AR192" s="178"/>
      <c r="AS192" s="178"/>
      <c r="AT192" s="178"/>
      <c r="AU192" s="178"/>
      <c r="AV192" s="178"/>
      <c r="AW192" s="178"/>
      <c r="AX192" s="178">
        <v>1298.989</v>
      </c>
      <c r="AY192" s="178"/>
      <c r="AZ192" s="178"/>
      <c r="BA192" s="178"/>
      <c r="BB192" s="178"/>
      <c r="BC192" s="178"/>
      <c r="BD192" s="178"/>
      <c r="BE192" s="178"/>
      <c r="BF192" s="178"/>
      <c r="BG192" s="178"/>
      <c r="BH192" s="178"/>
      <c r="BI192" s="178"/>
      <c r="BJ192" s="178"/>
      <c r="BK192" s="178"/>
      <c r="BL192" s="178"/>
      <c r="BM192" s="178"/>
      <c r="BN192" s="178"/>
      <c r="BO192" s="178"/>
      <c r="BP192" s="178"/>
      <c r="BQ192" s="178"/>
      <c r="BR192" s="178"/>
      <c r="BS192" s="178"/>
      <c r="BT192" s="178"/>
      <c r="BU192" s="178"/>
      <c r="BV192" s="178"/>
      <c r="BW192" s="178"/>
      <c r="BX192" s="178"/>
      <c r="BY192" s="178"/>
      <c r="BZ192" s="178"/>
      <c r="CA192" s="178"/>
      <c r="CB192" s="178">
        <v>96.16</v>
      </c>
      <c r="CC192" s="231">
        <f t="shared" si="487"/>
        <v>20580.63</v>
      </c>
    </row>
    <row r="193" spans="2:81" x14ac:dyDescent="0.25">
      <c r="B193" s="155">
        <v>20600</v>
      </c>
      <c r="C193" s="147">
        <f t="shared" si="434"/>
        <v>116.5299</v>
      </c>
      <c r="D193" s="147">
        <f t="shared" si="534"/>
        <v>1891.3132000000001</v>
      </c>
      <c r="E193" s="147">
        <f t="shared" si="526"/>
        <v>0</v>
      </c>
      <c r="F193" s="147">
        <f t="shared" si="436"/>
        <v>0</v>
      </c>
      <c r="G193" s="147">
        <f t="shared" si="469"/>
        <v>0</v>
      </c>
      <c r="H193" s="147">
        <f t="shared" si="470"/>
        <v>0</v>
      </c>
      <c r="I193" s="147">
        <f t="shared" si="471"/>
        <v>0</v>
      </c>
      <c r="J193" s="156">
        <f t="shared" si="472"/>
        <v>0</v>
      </c>
      <c r="K193" s="157">
        <f t="shared" si="383"/>
        <v>152.02000000000001</v>
      </c>
      <c r="L193" s="151">
        <f>ROUNDUP(((C192+C193)*0.5)*(B193-B192)/27,0)</f>
        <v>141</v>
      </c>
      <c r="M193" s="147">
        <f>ROUNDUP(((D192+D193)*0.5)*(B193-B192)/27,0)</f>
        <v>1145</v>
      </c>
      <c r="N193" s="147"/>
      <c r="O193" s="147">
        <f>ROUNDUP(((F192+F193)*0.5)*(B193-B192)/27,0)</f>
        <v>0</v>
      </c>
      <c r="P193" s="147">
        <f>ROUNDUP(((G193+G192)*0.5)*(B193-B192)/27,0)</f>
        <v>0</v>
      </c>
      <c r="Q193" s="147">
        <f>ROUNDUP(((H193+H192)*0.5)*(B193-B192)/27,0)</f>
        <v>0</v>
      </c>
      <c r="R193" s="147">
        <f>ROUNDUP(((I193+I192)*0.5)*(B193-B192)/9,0)</f>
        <v>0</v>
      </c>
      <c r="S193" s="147">
        <f>ROUNDUP(((J193+J192)*0.5)*(B193-B192)/9,0)</f>
        <v>0</v>
      </c>
      <c r="T193" s="147">
        <f>ROUNDUP(((K193+K192)*0.5)*(B193-B192)/9,0)</f>
        <v>268</v>
      </c>
      <c r="V193" s="146"/>
      <c r="W193" s="147"/>
      <c r="X193" s="147"/>
      <c r="Y193" s="147"/>
      <c r="Z193" s="147"/>
      <c r="AA193" s="147"/>
      <c r="AB193" s="147"/>
      <c r="AC193" s="147"/>
      <c r="AD193" s="148"/>
      <c r="AF193" s="155">
        <f t="shared" si="445"/>
        <v>20600</v>
      </c>
      <c r="AG193" s="78">
        <v>116.5299</v>
      </c>
      <c r="AH193" s="78"/>
      <c r="AI193" s="78"/>
      <c r="AJ193" s="78"/>
      <c r="AK193" s="78"/>
      <c r="AL193" s="78"/>
      <c r="AM193" s="78"/>
      <c r="AN193" s="78"/>
      <c r="AO193" s="78"/>
      <c r="AP193" s="78"/>
      <c r="AQ193" s="78"/>
      <c r="AR193" s="78"/>
      <c r="AS193" s="78"/>
      <c r="AT193" s="78"/>
      <c r="AU193" s="78"/>
      <c r="AV193" s="78"/>
      <c r="AW193" s="78"/>
      <c r="AX193" s="78">
        <v>1891.3132000000001</v>
      </c>
      <c r="AY193" s="78"/>
      <c r="AZ193" s="78"/>
      <c r="BA193" s="78"/>
      <c r="BB193" s="78"/>
      <c r="BC193" s="78"/>
      <c r="BD193" s="78"/>
      <c r="BE193" s="78"/>
      <c r="BF193" s="78"/>
      <c r="BG193" s="78"/>
      <c r="BH193" s="78"/>
      <c r="BI193" s="78"/>
      <c r="BJ193" s="78"/>
      <c r="BK193" s="78"/>
      <c r="BL193" s="78"/>
      <c r="BM193" s="78"/>
      <c r="BN193" s="78"/>
      <c r="BO193" s="78"/>
      <c r="BP193" s="78"/>
      <c r="BQ193" s="78"/>
      <c r="BR193" s="78"/>
      <c r="BS193" s="78"/>
      <c r="BT193" s="78"/>
      <c r="BU193" s="78"/>
      <c r="BV193" s="78"/>
      <c r="BW193" s="78"/>
      <c r="BX193" s="78"/>
      <c r="BY193" s="78"/>
      <c r="BZ193" s="78"/>
      <c r="CA193" s="78"/>
      <c r="CB193" s="78">
        <v>152.02000000000001</v>
      </c>
      <c r="CC193" s="231">
        <f t="shared" si="487"/>
        <v>20600</v>
      </c>
    </row>
    <row r="194" spans="2:81" x14ac:dyDescent="0.25">
      <c r="B194" s="57">
        <v>20650</v>
      </c>
      <c r="C194" s="58">
        <f t="shared" si="434"/>
        <v>42.621899999999997</v>
      </c>
      <c r="D194" s="58">
        <f t="shared" si="534"/>
        <v>0</v>
      </c>
      <c r="E194" s="58">
        <f t="shared" si="526"/>
        <v>2282.9317000000001</v>
      </c>
      <c r="F194" s="58">
        <f t="shared" si="436"/>
        <v>0</v>
      </c>
      <c r="G194" s="58">
        <f t="shared" si="469"/>
        <v>0</v>
      </c>
      <c r="H194" s="58">
        <f t="shared" si="470"/>
        <v>0</v>
      </c>
      <c r="I194" s="58">
        <f t="shared" si="471"/>
        <v>0</v>
      </c>
      <c r="J194" s="51">
        <f t="shared" si="472"/>
        <v>0</v>
      </c>
      <c r="K194" s="99">
        <f t="shared" si="383"/>
        <v>173.97</v>
      </c>
      <c r="L194" s="105">
        <f t="shared" si="543"/>
        <v>148</v>
      </c>
      <c r="M194" s="58">
        <f t="shared" si="544"/>
        <v>1752</v>
      </c>
      <c r="N194" s="58">
        <f>ROUNDUP(((E193+E194)*0.5)*(B194-20625)/27,0)</f>
        <v>1057</v>
      </c>
      <c r="O194" s="58">
        <f t="shared" ref="O194:O256" si="563">ROUNDUP(((F193+F194)*0.5)*(B194-B193)/27,0)</f>
        <v>0</v>
      </c>
      <c r="P194" s="58">
        <f t="shared" si="546"/>
        <v>0</v>
      </c>
      <c r="Q194" s="58">
        <f t="shared" si="547"/>
        <v>0</v>
      </c>
      <c r="R194" s="58">
        <f t="shared" si="548"/>
        <v>0</v>
      </c>
      <c r="S194" s="58">
        <f t="shared" si="549"/>
        <v>0</v>
      </c>
      <c r="T194" s="58">
        <f t="shared" ref="T194:T256" si="564">ROUNDUP(((K194+K193)*0.5)*(B194-B193)/9,0)</f>
        <v>906</v>
      </c>
      <c r="V194" s="137"/>
      <c r="W194" s="58"/>
      <c r="X194" s="58"/>
      <c r="Y194" s="58"/>
      <c r="Z194" s="58"/>
      <c r="AA194" s="58"/>
      <c r="AB194" s="58"/>
      <c r="AC194" s="58"/>
      <c r="AD194" s="138"/>
      <c r="AF194" s="57">
        <f t="shared" si="445"/>
        <v>20650</v>
      </c>
      <c r="AG194" s="49">
        <v>42.621899999999997</v>
      </c>
      <c r="AH194" s="49"/>
      <c r="AI194" s="49"/>
      <c r="AJ194" s="49"/>
      <c r="AK194" s="49"/>
      <c r="AL194" s="49"/>
      <c r="AM194" s="49"/>
      <c r="AN194" s="49"/>
      <c r="AO194" s="49"/>
      <c r="AP194" s="49"/>
      <c r="AQ194" s="49"/>
      <c r="AR194" s="49"/>
      <c r="AS194" s="49"/>
      <c r="AT194" s="49"/>
      <c r="AU194" s="49"/>
      <c r="AV194" s="49"/>
      <c r="AW194" s="49"/>
      <c r="AX194" s="49"/>
      <c r="AY194" s="49"/>
      <c r="AZ194" s="49"/>
      <c r="BA194" s="49"/>
      <c r="BB194" s="49"/>
      <c r="BC194" s="49"/>
      <c r="BD194" s="49"/>
      <c r="BE194" s="49"/>
      <c r="BF194" s="49"/>
      <c r="BG194" s="49"/>
      <c r="BH194" s="49">
        <v>2282.9317000000001</v>
      </c>
      <c r="BI194" s="49"/>
      <c r="BJ194" s="49"/>
      <c r="BK194" s="49"/>
      <c r="BL194" s="49"/>
      <c r="BM194" s="49"/>
      <c r="BN194" s="49"/>
      <c r="BO194" s="49"/>
      <c r="BP194" s="49"/>
      <c r="BQ194" s="49"/>
      <c r="BR194" s="49"/>
      <c r="BS194" s="49"/>
      <c r="BT194" s="49"/>
      <c r="BU194" s="49"/>
      <c r="BV194" s="49"/>
      <c r="BW194" s="49"/>
      <c r="BX194" s="49"/>
      <c r="BY194" s="49"/>
      <c r="BZ194" s="49"/>
      <c r="CA194" s="49"/>
      <c r="CB194" s="49">
        <v>173.97</v>
      </c>
      <c r="CC194" s="231">
        <f t="shared" si="487"/>
        <v>20650</v>
      </c>
    </row>
    <row r="195" spans="2:81" s="3" customFormat="1" ht="15.75" thickBot="1" x14ac:dyDescent="0.3">
      <c r="B195" s="158">
        <v>20700</v>
      </c>
      <c r="C195" s="144">
        <f t="shared" si="434"/>
        <v>29.5152</v>
      </c>
      <c r="D195" s="144">
        <f t="shared" si="534"/>
        <v>0</v>
      </c>
      <c r="E195" s="144">
        <f t="shared" si="526"/>
        <v>2439.2303999999999</v>
      </c>
      <c r="F195" s="144">
        <f t="shared" si="436"/>
        <v>0</v>
      </c>
      <c r="G195" s="144">
        <f t="shared" si="469"/>
        <v>0</v>
      </c>
      <c r="H195" s="144">
        <f t="shared" si="470"/>
        <v>0</v>
      </c>
      <c r="I195" s="144">
        <f t="shared" si="471"/>
        <v>0</v>
      </c>
      <c r="J195" s="159">
        <f t="shared" si="472"/>
        <v>0</v>
      </c>
      <c r="K195" s="160">
        <f t="shared" si="383"/>
        <v>174.1</v>
      </c>
      <c r="L195" s="152">
        <f t="shared" si="543"/>
        <v>67</v>
      </c>
      <c r="M195" s="144">
        <f t="shared" si="544"/>
        <v>0</v>
      </c>
      <c r="N195" s="144">
        <f>ROUNDUP(((E194+E195)*0.5)*(B195-B194)/27,0)</f>
        <v>4373</v>
      </c>
      <c r="O195" s="144">
        <f t="shared" si="563"/>
        <v>0</v>
      </c>
      <c r="P195" s="144">
        <f t="shared" si="546"/>
        <v>0</v>
      </c>
      <c r="Q195" s="144">
        <f t="shared" si="547"/>
        <v>0</v>
      </c>
      <c r="R195" s="144">
        <f t="shared" si="548"/>
        <v>0</v>
      </c>
      <c r="S195" s="144">
        <f t="shared" si="549"/>
        <v>0</v>
      </c>
      <c r="T195" s="144">
        <f t="shared" si="564"/>
        <v>967</v>
      </c>
      <c r="V195" s="150">
        <f>L193+L194+L195</f>
        <v>356</v>
      </c>
      <c r="W195" s="150">
        <f t="shared" ref="W195" si="565">M193+M194+M195</f>
        <v>2897</v>
      </c>
      <c r="X195" s="150">
        <f>N193+N194+N195</f>
        <v>5430</v>
      </c>
      <c r="Y195" s="150">
        <f t="shared" ref="Y195" si="566">O193+O194+O195</f>
        <v>0</v>
      </c>
      <c r="Z195" s="150">
        <f t="shared" ref="Z195" si="567">P193+P194+P195</f>
        <v>0</v>
      </c>
      <c r="AA195" s="150">
        <f t="shared" ref="AA195" si="568">Q193+Q194+Q195</f>
        <v>0</v>
      </c>
      <c r="AB195" s="150">
        <f t="shared" ref="AB195" si="569">R193+R194+R195</f>
        <v>0</v>
      </c>
      <c r="AC195" s="150">
        <f t="shared" ref="AC195" si="570">S193+S194+S195</f>
        <v>0</v>
      </c>
      <c r="AD195" s="150">
        <f t="shared" ref="AD195" si="571">T193+T194+T195</f>
        <v>2141</v>
      </c>
      <c r="AF195" s="158">
        <f t="shared" si="445"/>
        <v>20700</v>
      </c>
      <c r="AG195" s="149">
        <v>29.5152</v>
      </c>
      <c r="AH195" s="149"/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>
        <v>2439.2303999999999</v>
      </c>
      <c r="BI195" s="149"/>
      <c r="BJ195" s="149"/>
      <c r="BK195" s="149"/>
      <c r="BL195" s="149"/>
      <c r="BM195" s="149"/>
      <c r="BN195" s="149"/>
      <c r="BO195" s="149"/>
      <c r="BP195" s="149"/>
      <c r="BQ195" s="149"/>
      <c r="BR195" s="149"/>
      <c r="BS195" s="149"/>
      <c r="BT195" s="149"/>
      <c r="BU195" s="149"/>
      <c r="BV195" s="149"/>
      <c r="BW195" s="149"/>
      <c r="BX195" s="149"/>
      <c r="BY195" s="149"/>
      <c r="BZ195" s="149"/>
      <c r="CA195" s="149"/>
      <c r="CB195" s="149">
        <v>174.1</v>
      </c>
      <c r="CC195" s="231">
        <f t="shared" si="487"/>
        <v>20700</v>
      </c>
    </row>
    <row r="196" spans="2:81" x14ac:dyDescent="0.25">
      <c r="B196" s="155">
        <v>20750</v>
      </c>
      <c r="C196" s="147">
        <f t="shared" si="434"/>
        <v>24.0181</v>
      </c>
      <c r="D196" s="147">
        <f t="shared" si="534"/>
        <v>0</v>
      </c>
      <c r="E196" s="147">
        <f t="shared" si="526"/>
        <v>2483.8253</v>
      </c>
      <c r="F196" s="147">
        <f t="shared" si="436"/>
        <v>0</v>
      </c>
      <c r="G196" s="147">
        <f t="shared" si="469"/>
        <v>0</v>
      </c>
      <c r="H196" s="147">
        <f t="shared" si="470"/>
        <v>0</v>
      </c>
      <c r="I196" s="147">
        <f t="shared" si="471"/>
        <v>0</v>
      </c>
      <c r="J196" s="156">
        <f t="shared" si="472"/>
        <v>0</v>
      </c>
      <c r="K196" s="157">
        <f t="shared" si="383"/>
        <v>173.81</v>
      </c>
      <c r="L196" s="151">
        <f t="shared" si="543"/>
        <v>50</v>
      </c>
      <c r="M196" s="147">
        <f t="shared" si="544"/>
        <v>0</v>
      </c>
      <c r="N196" s="147">
        <f t="shared" ref="N196:N198" si="572">ROUNDUP(((E195+E196)*0.5)*(B196-B195)/27,0)</f>
        <v>4559</v>
      </c>
      <c r="O196" s="147">
        <f t="shared" si="563"/>
        <v>0</v>
      </c>
      <c r="P196" s="147">
        <f t="shared" si="546"/>
        <v>0</v>
      </c>
      <c r="Q196" s="147">
        <f t="shared" si="547"/>
        <v>0</v>
      </c>
      <c r="R196" s="147">
        <f t="shared" si="548"/>
        <v>0</v>
      </c>
      <c r="S196" s="147">
        <f t="shared" si="549"/>
        <v>0</v>
      </c>
      <c r="T196" s="147">
        <f t="shared" si="564"/>
        <v>967</v>
      </c>
      <c r="V196" s="146"/>
      <c r="W196" s="147"/>
      <c r="X196" s="147"/>
      <c r="Y196" s="147"/>
      <c r="Z196" s="147"/>
      <c r="AA196" s="147"/>
      <c r="AB196" s="147"/>
      <c r="AC196" s="147"/>
      <c r="AD196" s="148"/>
      <c r="AF196" s="155">
        <f t="shared" si="445"/>
        <v>20750</v>
      </c>
      <c r="AG196" s="78">
        <v>24.0181</v>
      </c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78"/>
      <c r="AS196" s="78"/>
      <c r="AT196" s="78"/>
      <c r="AU196" s="78"/>
      <c r="AV196" s="78"/>
      <c r="AW196" s="78"/>
      <c r="AX196" s="78"/>
      <c r="AY196" s="78"/>
      <c r="AZ196" s="78"/>
      <c r="BA196" s="78"/>
      <c r="BB196" s="78"/>
      <c r="BC196" s="78"/>
      <c r="BD196" s="78"/>
      <c r="BE196" s="78"/>
      <c r="BF196" s="78"/>
      <c r="BG196" s="78"/>
      <c r="BH196" s="78">
        <v>2483.8253</v>
      </c>
      <c r="BI196" s="78"/>
      <c r="BJ196" s="78"/>
      <c r="BK196" s="78"/>
      <c r="BL196" s="78"/>
      <c r="BM196" s="78"/>
      <c r="BN196" s="78"/>
      <c r="BO196" s="78"/>
      <c r="BP196" s="78"/>
      <c r="BQ196" s="78"/>
      <c r="BR196" s="78"/>
      <c r="BS196" s="78"/>
      <c r="BT196" s="78"/>
      <c r="BU196" s="78"/>
      <c r="BV196" s="78"/>
      <c r="BW196" s="78"/>
      <c r="BX196" s="78"/>
      <c r="BY196" s="78"/>
      <c r="BZ196" s="78"/>
      <c r="CA196" s="78"/>
      <c r="CB196" s="78">
        <v>173.81</v>
      </c>
      <c r="CC196" s="231">
        <f t="shared" si="487"/>
        <v>20750</v>
      </c>
    </row>
    <row r="197" spans="2:81" x14ac:dyDescent="0.25">
      <c r="B197" s="57">
        <v>20800</v>
      </c>
      <c r="C197" s="58">
        <f t="shared" si="434"/>
        <v>23.219899999999999</v>
      </c>
      <c r="D197" s="58">
        <f t="shared" si="534"/>
        <v>0</v>
      </c>
      <c r="E197" s="58">
        <f t="shared" si="526"/>
        <v>2419.0079999999998</v>
      </c>
      <c r="F197" s="58">
        <f t="shared" si="436"/>
        <v>0</v>
      </c>
      <c r="G197" s="58">
        <f t="shared" si="469"/>
        <v>0</v>
      </c>
      <c r="H197" s="58">
        <f t="shared" si="470"/>
        <v>0</v>
      </c>
      <c r="I197" s="58">
        <f t="shared" si="471"/>
        <v>0</v>
      </c>
      <c r="J197" s="51">
        <f t="shared" si="472"/>
        <v>0</v>
      </c>
      <c r="K197" s="99">
        <f t="shared" si="383"/>
        <v>172.76</v>
      </c>
      <c r="L197" s="105">
        <f t="shared" si="543"/>
        <v>44</v>
      </c>
      <c r="M197" s="58">
        <f t="shared" si="544"/>
        <v>0</v>
      </c>
      <c r="N197" s="58">
        <f t="shared" si="572"/>
        <v>4540</v>
      </c>
      <c r="O197" s="58">
        <f t="shared" si="563"/>
        <v>0</v>
      </c>
      <c r="P197" s="58">
        <f t="shared" si="546"/>
        <v>0</v>
      </c>
      <c r="Q197" s="58">
        <f t="shared" si="547"/>
        <v>0</v>
      </c>
      <c r="R197" s="58">
        <f t="shared" si="548"/>
        <v>0</v>
      </c>
      <c r="S197" s="58">
        <f t="shared" si="549"/>
        <v>0</v>
      </c>
      <c r="T197" s="58">
        <f t="shared" si="564"/>
        <v>963</v>
      </c>
      <c r="V197" s="137"/>
      <c r="W197" s="58"/>
      <c r="X197" s="58"/>
      <c r="Y197" s="58"/>
      <c r="Z197" s="58"/>
      <c r="AA197" s="58"/>
      <c r="AB197" s="58"/>
      <c r="AC197" s="58"/>
      <c r="AD197" s="138"/>
      <c r="AF197" s="57">
        <f t="shared" si="445"/>
        <v>20800</v>
      </c>
      <c r="AG197" s="49">
        <v>23.219899999999999</v>
      </c>
      <c r="AH197" s="49"/>
      <c r="AI197" s="49"/>
      <c r="AJ197" s="49"/>
      <c r="AK197" s="49"/>
      <c r="AL197" s="49"/>
      <c r="AM197" s="49"/>
      <c r="AN197" s="49"/>
      <c r="AO197" s="49"/>
      <c r="AP197" s="49"/>
      <c r="AQ197" s="49"/>
      <c r="AR197" s="49"/>
      <c r="AS197" s="49"/>
      <c r="AT197" s="49"/>
      <c r="AU197" s="49"/>
      <c r="AV197" s="49"/>
      <c r="AW197" s="49"/>
      <c r="AX197" s="49"/>
      <c r="AY197" s="49"/>
      <c r="AZ197" s="49"/>
      <c r="BA197" s="49"/>
      <c r="BB197" s="49"/>
      <c r="BC197" s="49"/>
      <c r="BD197" s="49"/>
      <c r="BE197" s="49"/>
      <c r="BF197" s="49"/>
      <c r="BG197" s="49"/>
      <c r="BH197" s="49">
        <v>2419.0079999999998</v>
      </c>
      <c r="BI197" s="49"/>
      <c r="BJ197" s="49"/>
      <c r="BK197" s="49"/>
      <c r="BL197" s="49"/>
      <c r="BM197" s="49"/>
      <c r="BN197" s="49"/>
      <c r="BO197" s="49"/>
      <c r="BP197" s="49"/>
      <c r="BQ197" s="49"/>
      <c r="BR197" s="49"/>
      <c r="BS197" s="49"/>
      <c r="BT197" s="49"/>
      <c r="BU197" s="49"/>
      <c r="BV197" s="49"/>
      <c r="BW197" s="49"/>
      <c r="BX197" s="49"/>
      <c r="BY197" s="49"/>
      <c r="BZ197" s="49"/>
      <c r="CA197" s="49"/>
      <c r="CB197" s="49">
        <v>172.76</v>
      </c>
      <c r="CC197" s="231">
        <f t="shared" si="487"/>
        <v>20800</v>
      </c>
    </row>
    <row r="198" spans="2:81" s="3" customFormat="1" ht="15.75" thickBot="1" x14ac:dyDescent="0.3">
      <c r="B198" s="158">
        <v>20850</v>
      </c>
      <c r="C198" s="144">
        <f t="shared" si="434"/>
        <v>5.7138999999999998</v>
      </c>
      <c r="D198" s="144">
        <f t="shared" si="534"/>
        <v>0</v>
      </c>
      <c r="E198" s="144">
        <f>BH198+BJ198+BI198</f>
        <v>2419.1005</v>
      </c>
      <c r="F198" s="144">
        <f t="shared" si="436"/>
        <v>0</v>
      </c>
      <c r="G198" s="144">
        <f t="shared" si="469"/>
        <v>0</v>
      </c>
      <c r="H198" s="144">
        <f t="shared" si="470"/>
        <v>0</v>
      </c>
      <c r="I198" s="144">
        <f t="shared" si="471"/>
        <v>0</v>
      </c>
      <c r="J198" s="159">
        <f t="shared" si="472"/>
        <v>0</v>
      </c>
      <c r="K198" s="160">
        <f t="shared" si="383"/>
        <v>168.42</v>
      </c>
      <c r="L198" s="152">
        <f t="shared" si="543"/>
        <v>27</v>
      </c>
      <c r="M198" s="144">
        <f t="shared" si="544"/>
        <v>0</v>
      </c>
      <c r="N198" s="144">
        <f t="shared" si="572"/>
        <v>4480</v>
      </c>
      <c r="O198" s="144">
        <f t="shared" si="563"/>
        <v>0</v>
      </c>
      <c r="P198" s="144">
        <f t="shared" si="546"/>
        <v>0</v>
      </c>
      <c r="Q198" s="144">
        <f t="shared" si="547"/>
        <v>0</v>
      </c>
      <c r="R198" s="144">
        <f t="shared" si="548"/>
        <v>0</v>
      </c>
      <c r="S198" s="144">
        <f t="shared" si="549"/>
        <v>0</v>
      </c>
      <c r="T198" s="144">
        <f t="shared" si="564"/>
        <v>948</v>
      </c>
      <c r="V198" s="150">
        <f>L196+L197+L198</f>
        <v>121</v>
      </c>
      <c r="W198" s="150">
        <f t="shared" ref="W198:X198" si="573">M196+M197+M198</f>
        <v>0</v>
      </c>
      <c r="X198" s="150">
        <f t="shared" si="573"/>
        <v>13579</v>
      </c>
      <c r="Y198" s="150">
        <f t="shared" ref="Y198" si="574">O196+O197+O198</f>
        <v>0</v>
      </c>
      <c r="Z198" s="150">
        <f t="shared" ref="Z198" si="575">P196+P197+P198</f>
        <v>0</v>
      </c>
      <c r="AA198" s="150">
        <f t="shared" ref="AA198" si="576">Q196+Q197+Q198</f>
        <v>0</v>
      </c>
      <c r="AB198" s="150">
        <f t="shared" ref="AB198" si="577">R196+R197+R198</f>
        <v>0</v>
      </c>
      <c r="AC198" s="150">
        <f t="shared" ref="AC198" si="578">S196+S197+S198</f>
        <v>0</v>
      </c>
      <c r="AD198" s="150">
        <f t="shared" ref="AD198" si="579">T196+T197+T198</f>
        <v>2878</v>
      </c>
      <c r="AF198" s="158">
        <f t="shared" si="445"/>
        <v>20850</v>
      </c>
      <c r="AG198" s="149">
        <v>5.7138999999999998</v>
      </c>
      <c r="AH198" s="149"/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>
        <v>2363.5675999999999</v>
      </c>
      <c r="BI198" s="149">
        <v>3.5787</v>
      </c>
      <c r="BJ198" s="149">
        <v>51.9542</v>
      </c>
      <c r="BK198" s="149"/>
      <c r="BL198" s="149"/>
      <c r="BM198" s="149"/>
      <c r="BN198" s="149"/>
      <c r="BO198" s="149"/>
      <c r="BP198" s="149"/>
      <c r="BQ198" s="149"/>
      <c r="BR198" s="149"/>
      <c r="BS198" s="149"/>
      <c r="BT198" s="149"/>
      <c r="BU198" s="149"/>
      <c r="BV198" s="149"/>
      <c r="BW198" s="149"/>
      <c r="BX198" s="149"/>
      <c r="BY198" s="149"/>
      <c r="BZ198" s="149"/>
      <c r="CA198" s="149"/>
      <c r="CB198" s="149">
        <v>168.42</v>
      </c>
      <c r="CC198" s="231">
        <f t="shared" si="487"/>
        <v>20850</v>
      </c>
    </row>
    <row r="199" spans="2:81" x14ac:dyDescent="0.25">
      <c r="B199" s="155">
        <v>20900</v>
      </c>
      <c r="C199" s="147">
        <f t="shared" si="434"/>
        <v>13.6021</v>
      </c>
      <c r="D199" s="147">
        <f t="shared" si="534"/>
        <v>0</v>
      </c>
      <c r="E199" s="147">
        <f t="shared" si="526"/>
        <v>2536.8822</v>
      </c>
      <c r="F199" s="147">
        <f t="shared" si="436"/>
        <v>0</v>
      </c>
      <c r="G199" s="147">
        <f t="shared" si="469"/>
        <v>0</v>
      </c>
      <c r="H199" s="147">
        <f t="shared" si="470"/>
        <v>0</v>
      </c>
      <c r="I199" s="147">
        <f t="shared" si="471"/>
        <v>0</v>
      </c>
      <c r="J199" s="156">
        <f t="shared" si="472"/>
        <v>0</v>
      </c>
      <c r="K199" s="157">
        <f t="shared" si="383"/>
        <v>165.17</v>
      </c>
      <c r="L199" s="151">
        <f t="shared" si="543"/>
        <v>18</v>
      </c>
      <c r="M199" s="147">
        <f t="shared" si="544"/>
        <v>0</v>
      </c>
      <c r="N199" s="147">
        <f>ROUNDUP(((E198+E199)*0.5)*(B199-B198)/27,0)</f>
        <v>4589</v>
      </c>
      <c r="O199" s="147">
        <f t="shared" si="563"/>
        <v>0</v>
      </c>
      <c r="P199" s="147">
        <f t="shared" si="546"/>
        <v>0</v>
      </c>
      <c r="Q199" s="147">
        <f t="shared" si="547"/>
        <v>0</v>
      </c>
      <c r="R199" s="147">
        <f t="shared" si="548"/>
        <v>0</v>
      </c>
      <c r="S199" s="147">
        <f t="shared" si="549"/>
        <v>0</v>
      </c>
      <c r="T199" s="147">
        <f t="shared" si="564"/>
        <v>927</v>
      </c>
      <c r="V199" s="146"/>
      <c r="W199" s="147"/>
      <c r="X199" s="147"/>
      <c r="Y199" s="147"/>
      <c r="Z199" s="147"/>
      <c r="AA199" s="147"/>
      <c r="AB199" s="147"/>
      <c r="AC199" s="147"/>
      <c r="AD199" s="148"/>
      <c r="AF199" s="155">
        <f t="shared" si="445"/>
        <v>20900</v>
      </c>
      <c r="AG199" s="78">
        <v>13.6021</v>
      </c>
      <c r="AH199" s="78"/>
      <c r="AI199" s="78"/>
      <c r="AJ199" s="78"/>
      <c r="AK199" s="78"/>
      <c r="AL199" s="78"/>
      <c r="AM199" s="78"/>
      <c r="AN199" s="78"/>
      <c r="AO199" s="78"/>
      <c r="AP199" s="78"/>
      <c r="AQ199" s="78"/>
      <c r="AR199" s="78"/>
      <c r="AS199" s="78"/>
      <c r="AT199" s="78"/>
      <c r="AU199" s="78"/>
      <c r="AV199" s="78"/>
      <c r="AW199" s="78"/>
      <c r="AX199" s="78"/>
      <c r="AY199" s="78"/>
      <c r="AZ199" s="78"/>
      <c r="BA199" s="78"/>
      <c r="BB199" s="78"/>
      <c r="BC199" s="78"/>
      <c r="BD199" s="78"/>
      <c r="BE199" s="78"/>
      <c r="BF199" s="78"/>
      <c r="BG199" s="78"/>
      <c r="BH199" s="78">
        <v>2511.5666000000001</v>
      </c>
      <c r="BI199" s="78">
        <v>25.3156</v>
      </c>
      <c r="BJ199" s="78"/>
      <c r="BK199" s="78"/>
      <c r="BL199" s="78"/>
      <c r="BM199" s="78"/>
      <c r="BN199" s="78"/>
      <c r="BO199" s="78"/>
      <c r="BP199" s="78"/>
      <c r="BQ199" s="78"/>
      <c r="BR199" s="78"/>
      <c r="BS199" s="78"/>
      <c r="BT199" s="78"/>
      <c r="BU199" s="78"/>
      <c r="BV199" s="78"/>
      <c r="BW199" s="78"/>
      <c r="BX199" s="78"/>
      <c r="BY199" s="78"/>
      <c r="BZ199" s="78"/>
      <c r="CA199" s="78"/>
      <c r="CB199" s="78">
        <v>165.17</v>
      </c>
      <c r="CC199" s="231">
        <f t="shared" si="487"/>
        <v>20900</v>
      </c>
    </row>
    <row r="200" spans="2:81" x14ac:dyDescent="0.25">
      <c r="B200" s="57">
        <v>20950</v>
      </c>
      <c r="C200" s="58">
        <f t="shared" si="434"/>
        <v>16.0837</v>
      </c>
      <c r="D200" s="58">
        <f t="shared" si="534"/>
        <v>2721.1891999999998</v>
      </c>
      <c r="E200" s="58">
        <f t="shared" si="526"/>
        <v>0</v>
      </c>
      <c r="F200" s="58">
        <f t="shared" si="436"/>
        <v>0</v>
      </c>
      <c r="G200" s="58">
        <f t="shared" si="469"/>
        <v>0</v>
      </c>
      <c r="H200" s="58">
        <f t="shared" si="470"/>
        <v>0</v>
      </c>
      <c r="I200" s="58">
        <f t="shared" si="471"/>
        <v>0</v>
      </c>
      <c r="J200" s="51">
        <f t="shared" si="472"/>
        <v>0</v>
      </c>
      <c r="K200" s="99">
        <f t="shared" si="383"/>
        <v>189.44</v>
      </c>
      <c r="L200" s="105">
        <f t="shared" si="543"/>
        <v>28</v>
      </c>
      <c r="M200" s="58">
        <f t="shared" si="544"/>
        <v>2520</v>
      </c>
      <c r="N200" s="58">
        <f>ROUNDUP(((E199+E200)*0.5)*(20925-B199)/27,0)</f>
        <v>1175</v>
      </c>
      <c r="O200" s="58">
        <f t="shared" si="563"/>
        <v>0</v>
      </c>
      <c r="P200" s="58">
        <f t="shared" si="546"/>
        <v>0</v>
      </c>
      <c r="Q200" s="58">
        <f t="shared" si="547"/>
        <v>0</v>
      </c>
      <c r="R200" s="58">
        <f t="shared" si="548"/>
        <v>0</v>
      </c>
      <c r="S200" s="58">
        <f t="shared" si="549"/>
        <v>0</v>
      </c>
      <c r="T200" s="58">
        <f t="shared" si="564"/>
        <v>986</v>
      </c>
      <c r="V200" s="137"/>
      <c r="W200" s="58"/>
      <c r="X200" s="58"/>
      <c r="Y200" s="58"/>
      <c r="Z200" s="58"/>
      <c r="AA200" s="58"/>
      <c r="AB200" s="58"/>
      <c r="AC200" s="58"/>
      <c r="AD200" s="138"/>
      <c r="AF200" s="57">
        <f t="shared" si="445"/>
        <v>20950</v>
      </c>
      <c r="AG200" s="49">
        <v>16.0837</v>
      </c>
      <c r="AH200" s="49"/>
      <c r="AI200" s="49"/>
      <c r="AJ200" s="49"/>
      <c r="AK200" s="49"/>
      <c r="AL200" s="49"/>
      <c r="AM200" s="49"/>
      <c r="AN200" s="49"/>
      <c r="AO200" s="49"/>
      <c r="AP200" s="49"/>
      <c r="AQ200" s="49"/>
      <c r="AR200" s="49"/>
      <c r="AS200" s="49"/>
      <c r="AT200" s="49"/>
      <c r="AU200" s="49"/>
      <c r="AV200" s="49"/>
      <c r="AW200" s="49"/>
      <c r="AX200" s="49">
        <v>2721.1891999999998</v>
      </c>
      <c r="AY200" s="49"/>
      <c r="AZ200" s="49"/>
      <c r="BA200" s="49"/>
      <c r="BB200" s="49"/>
      <c r="BC200" s="49"/>
      <c r="BD200" s="49"/>
      <c r="BE200" s="49"/>
      <c r="BF200" s="49"/>
      <c r="BG200" s="49"/>
      <c r="BH200" s="49"/>
      <c r="BI200" s="49"/>
      <c r="BJ200" s="49"/>
      <c r="BK200" s="49"/>
      <c r="BL200" s="49"/>
      <c r="BM200" s="49"/>
      <c r="BN200" s="49"/>
      <c r="BO200" s="49"/>
      <c r="BP200" s="49"/>
      <c r="BQ200" s="49"/>
      <c r="BR200" s="49"/>
      <c r="BS200" s="49"/>
      <c r="BT200" s="49"/>
      <c r="BU200" s="49"/>
      <c r="BV200" s="49"/>
      <c r="BW200" s="49"/>
      <c r="BX200" s="49"/>
      <c r="BY200" s="49"/>
      <c r="BZ200" s="49"/>
      <c r="CA200" s="49"/>
      <c r="CB200" s="49">
        <v>189.44</v>
      </c>
      <c r="CC200" s="231">
        <f t="shared" si="487"/>
        <v>20950</v>
      </c>
    </row>
    <row r="201" spans="2:81" x14ac:dyDescent="0.25">
      <c r="B201" s="57">
        <v>21000</v>
      </c>
      <c r="C201" s="58">
        <f t="shared" si="434"/>
        <v>20.129799999999999</v>
      </c>
      <c r="D201" s="58">
        <f t="shared" si="534"/>
        <v>2859.3191999999999</v>
      </c>
      <c r="E201" s="58">
        <f t="shared" si="526"/>
        <v>0</v>
      </c>
      <c r="F201" s="58">
        <f t="shared" si="436"/>
        <v>0</v>
      </c>
      <c r="G201" s="58">
        <f t="shared" si="469"/>
        <v>0</v>
      </c>
      <c r="H201" s="58">
        <f t="shared" si="470"/>
        <v>0</v>
      </c>
      <c r="I201" s="58">
        <f t="shared" si="471"/>
        <v>0</v>
      </c>
      <c r="J201" s="51">
        <f t="shared" si="472"/>
        <v>0</v>
      </c>
      <c r="K201" s="99">
        <f t="shared" si="383"/>
        <v>186.47</v>
      </c>
      <c r="L201" s="105">
        <f t="shared" si="543"/>
        <v>34</v>
      </c>
      <c r="M201" s="58">
        <f t="shared" si="544"/>
        <v>5168</v>
      </c>
      <c r="N201" s="58"/>
      <c r="O201" s="58">
        <f t="shared" si="563"/>
        <v>0</v>
      </c>
      <c r="P201" s="58">
        <f t="shared" si="546"/>
        <v>0</v>
      </c>
      <c r="Q201" s="58">
        <f t="shared" si="547"/>
        <v>0</v>
      </c>
      <c r="R201" s="58">
        <f t="shared" si="548"/>
        <v>0</v>
      </c>
      <c r="S201" s="58">
        <f t="shared" si="549"/>
        <v>0</v>
      </c>
      <c r="T201" s="58">
        <f t="shared" si="564"/>
        <v>1045</v>
      </c>
      <c r="V201" s="137"/>
      <c r="W201" s="58"/>
      <c r="X201" s="58"/>
      <c r="Y201" s="58"/>
      <c r="Z201" s="58"/>
      <c r="AA201" s="58"/>
      <c r="AB201" s="58"/>
      <c r="AC201" s="58"/>
      <c r="AD201" s="138"/>
      <c r="AF201" s="57">
        <f t="shared" si="445"/>
        <v>21000</v>
      </c>
      <c r="AG201" s="49">
        <v>20.129799999999999</v>
      </c>
      <c r="AH201" s="49"/>
      <c r="AI201" s="49"/>
      <c r="AJ201" s="49"/>
      <c r="AK201" s="49"/>
      <c r="AL201" s="49"/>
      <c r="AM201" s="49"/>
      <c r="AN201" s="49"/>
      <c r="AO201" s="49"/>
      <c r="AP201" s="49"/>
      <c r="AQ201" s="49"/>
      <c r="AR201" s="49"/>
      <c r="AS201" s="49"/>
      <c r="AT201" s="49"/>
      <c r="AU201" s="49"/>
      <c r="AV201" s="49"/>
      <c r="AW201" s="49"/>
      <c r="AX201" s="49">
        <v>2859.3191999999999</v>
      </c>
      <c r="AY201" s="49"/>
      <c r="AZ201" s="49"/>
      <c r="BA201" s="49"/>
      <c r="BB201" s="49"/>
      <c r="BC201" s="49"/>
      <c r="BD201" s="49"/>
      <c r="BE201" s="49"/>
      <c r="BF201" s="49"/>
      <c r="BG201" s="49"/>
      <c r="BH201" s="49"/>
      <c r="BI201" s="49"/>
      <c r="BJ201" s="49"/>
      <c r="BK201" s="49"/>
      <c r="BL201" s="49"/>
      <c r="BM201" s="49"/>
      <c r="BN201" s="49"/>
      <c r="BO201" s="49"/>
      <c r="BP201" s="49"/>
      <c r="BQ201" s="49"/>
      <c r="BR201" s="49"/>
      <c r="BS201" s="49"/>
      <c r="BT201" s="49"/>
      <c r="BU201" s="49"/>
      <c r="BV201" s="49"/>
      <c r="BW201" s="49"/>
      <c r="BX201" s="49"/>
      <c r="BY201" s="49"/>
      <c r="BZ201" s="49"/>
      <c r="CA201" s="49"/>
      <c r="CB201" s="49">
        <v>186.47</v>
      </c>
      <c r="CC201" s="231">
        <f t="shared" si="487"/>
        <v>21000</v>
      </c>
    </row>
    <row r="202" spans="2:81" s="3" customFormat="1" ht="15.75" thickBot="1" x14ac:dyDescent="0.3">
      <c r="B202" s="158">
        <v>21050</v>
      </c>
      <c r="C202" s="144">
        <f t="shared" si="434"/>
        <v>10.0434</v>
      </c>
      <c r="D202" s="144">
        <f t="shared" si="534"/>
        <v>3014.3737999999998</v>
      </c>
      <c r="E202" s="144">
        <f t="shared" si="526"/>
        <v>0</v>
      </c>
      <c r="F202" s="144">
        <f t="shared" si="436"/>
        <v>0</v>
      </c>
      <c r="G202" s="144">
        <f t="shared" si="469"/>
        <v>0</v>
      </c>
      <c r="H202" s="144">
        <f t="shared" si="470"/>
        <v>0</v>
      </c>
      <c r="I202" s="144">
        <f t="shared" si="471"/>
        <v>0</v>
      </c>
      <c r="J202" s="159">
        <f t="shared" si="472"/>
        <v>0</v>
      </c>
      <c r="K202" s="160">
        <f t="shared" ref="K202:K265" si="580">BZ202+CA202+CB202</f>
        <v>180.09</v>
      </c>
      <c r="L202" s="152">
        <f t="shared" si="543"/>
        <v>28</v>
      </c>
      <c r="M202" s="144">
        <f t="shared" si="544"/>
        <v>5439</v>
      </c>
      <c r="N202" s="144"/>
      <c r="O202" s="144">
        <f t="shared" si="563"/>
        <v>0</v>
      </c>
      <c r="P202" s="144">
        <f t="shared" si="546"/>
        <v>0</v>
      </c>
      <c r="Q202" s="144">
        <f t="shared" si="547"/>
        <v>0</v>
      </c>
      <c r="R202" s="144">
        <f t="shared" si="548"/>
        <v>0</v>
      </c>
      <c r="S202" s="144">
        <f t="shared" si="549"/>
        <v>0</v>
      </c>
      <c r="T202" s="144">
        <f t="shared" si="564"/>
        <v>1019</v>
      </c>
      <c r="V202" s="150">
        <f>L199+L200+L201+L202</f>
        <v>108</v>
      </c>
      <c r="W202" s="150">
        <f t="shared" ref="W202" si="581">M199+M200+M201+M202</f>
        <v>13127</v>
      </c>
      <c r="X202" s="150">
        <f>N199+N200+N201+N202</f>
        <v>5764</v>
      </c>
      <c r="Y202" s="150">
        <f t="shared" ref="Y202:AD202" si="582">O199+O200+O201+O202</f>
        <v>0</v>
      </c>
      <c r="Z202" s="150">
        <f t="shared" si="582"/>
        <v>0</v>
      </c>
      <c r="AA202" s="150">
        <f t="shared" si="582"/>
        <v>0</v>
      </c>
      <c r="AB202" s="150">
        <f t="shared" si="582"/>
        <v>0</v>
      </c>
      <c r="AC202" s="150">
        <f t="shared" si="582"/>
        <v>0</v>
      </c>
      <c r="AD202" s="150">
        <f t="shared" si="582"/>
        <v>3977</v>
      </c>
      <c r="AF202" s="158">
        <f t="shared" si="445"/>
        <v>21050</v>
      </c>
      <c r="AG202" s="149">
        <v>10.0434</v>
      </c>
      <c r="AH202" s="149"/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>
        <v>3014.3737999999998</v>
      </c>
      <c r="AY202" s="149"/>
      <c r="AZ202" s="149"/>
      <c r="BA202" s="149"/>
      <c r="BB202" s="149"/>
      <c r="BC202" s="149"/>
      <c r="BD202" s="149"/>
      <c r="BE202" s="149"/>
      <c r="BF202" s="149"/>
      <c r="BG202" s="149"/>
      <c r="BH202" s="149"/>
      <c r="BI202" s="149"/>
      <c r="BJ202" s="149"/>
      <c r="BK202" s="149"/>
      <c r="BL202" s="149"/>
      <c r="BM202" s="149"/>
      <c r="BN202" s="149"/>
      <c r="BO202" s="149"/>
      <c r="BP202" s="149"/>
      <c r="BQ202" s="149"/>
      <c r="BR202" s="149"/>
      <c r="BS202" s="149"/>
      <c r="BT202" s="149"/>
      <c r="BU202" s="149"/>
      <c r="BV202" s="149"/>
      <c r="BW202" s="149"/>
      <c r="BX202" s="149"/>
      <c r="BY202" s="149"/>
      <c r="BZ202" s="149"/>
      <c r="CA202" s="149"/>
      <c r="CB202" s="149">
        <v>180.09</v>
      </c>
      <c r="CC202" s="231">
        <f t="shared" si="487"/>
        <v>21050</v>
      </c>
    </row>
    <row r="203" spans="2:81" x14ac:dyDescent="0.25">
      <c r="B203" s="155">
        <v>21100</v>
      </c>
      <c r="C203" s="147">
        <f t="shared" si="434"/>
        <v>0</v>
      </c>
      <c r="D203" s="147">
        <f t="shared" si="534"/>
        <v>2925.8982000000001</v>
      </c>
      <c r="E203" s="147">
        <f t="shared" si="526"/>
        <v>0</v>
      </c>
      <c r="F203" s="147">
        <f t="shared" si="436"/>
        <v>0</v>
      </c>
      <c r="G203" s="147">
        <f t="shared" si="469"/>
        <v>0</v>
      </c>
      <c r="H203" s="147">
        <f t="shared" si="470"/>
        <v>0</v>
      </c>
      <c r="I203" s="147">
        <f t="shared" si="471"/>
        <v>0</v>
      </c>
      <c r="J203" s="156">
        <f t="shared" si="472"/>
        <v>0</v>
      </c>
      <c r="K203" s="157">
        <f t="shared" si="580"/>
        <v>173.55</v>
      </c>
      <c r="L203" s="151">
        <f t="shared" si="543"/>
        <v>10</v>
      </c>
      <c r="M203" s="147">
        <f t="shared" si="544"/>
        <v>5501</v>
      </c>
      <c r="N203" s="147"/>
      <c r="O203" s="147">
        <f t="shared" si="563"/>
        <v>0</v>
      </c>
      <c r="P203" s="147">
        <f t="shared" si="546"/>
        <v>0</v>
      </c>
      <c r="Q203" s="147">
        <f t="shared" si="547"/>
        <v>0</v>
      </c>
      <c r="R203" s="147">
        <f t="shared" si="548"/>
        <v>0</v>
      </c>
      <c r="S203" s="147">
        <f t="shared" si="549"/>
        <v>0</v>
      </c>
      <c r="T203" s="147">
        <f t="shared" si="564"/>
        <v>983</v>
      </c>
      <c r="V203" s="146"/>
      <c r="W203" s="147"/>
      <c r="X203" s="147"/>
      <c r="Y203" s="147"/>
      <c r="Z203" s="147"/>
      <c r="AA203" s="147"/>
      <c r="AB203" s="147"/>
      <c r="AC203" s="147"/>
      <c r="AD203" s="148"/>
      <c r="AF203" s="155">
        <f t="shared" si="445"/>
        <v>21100</v>
      </c>
      <c r="AG203" s="78"/>
      <c r="AH203" s="78"/>
      <c r="AI203" s="78"/>
      <c r="AJ203" s="78"/>
      <c r="AK203" s="78"/>
      <c r="AL203" s="78"/>
      <c r="AM203" s="78"/>
      <c r="AN203" s="78"/>
      <c r="AO203" s="78"/>
      <c r="AP203" s="78"/>
      <c r="AQ203" s="78"/>
      <c r="AR203" s="78"/>
      <c r="AS203" s="78"/>
      <c r="AT203" s="78"/>
      <c r="AU203" s="78"/>
      <c r="AV203" s="78"/>
      <c r="AW203" s="78"/>
      <c r="AX203" s="78">
        <v>2925.8982000000001</v>
      </c>
      <c r="AY203" s="78"/>
      <c r="AZ203" s="78"/>
      <c r="BA203" s="78"/>
      <c r="BB203" s="78"/>
      <c r="BC203" s="78"/>
      <c r="BD203" s="78"/>
      <c r="BE203" s="78"/>
      <c r="BF203" s="78"/>
      <c r="BG203" s="78"/>
      <c r="BH203" s="78"/>
      <c r="BI203" s="78"/>
      <c r="BJ203" s="78"/>
      <c r="BK203" s="78"/>
      <c r="BL203" s="78"/>
      <c r="BM203" s="78"/>
      <c r="BN203" s="78"/>
      <c r="BO203" s="78"/>
      <c r="BP203" s="78"/>
      <c r="BQ203" s="78"/>
      <c r="BR203" s="78"/>
      <c r="BS203" s="78"/>
      <c r="BT203" s="78"/>
      <c r="BU203" s="78"/>
      <c r="BV203" s="78"/>
      <c r="BW203" s="78"/>
      <c r="BX203" s="78"/>
      <c r="BY203" s="78"/>
      <c r="BZ203" s="78"/>
      <c r="CA203" s="78"/>
      <c r="CB203" s="78">
        <v>173.55</v>
      </c>
      <c r="CC203" s="231">
        <f t="shared" ref="CC203:CC234" si="583">B203</f>
        <v>21100</v>
      </c>
    </row>
    <row r="204" spans="2:81" x14ac:dyDescent="0.25">
      <c r="B204" s="57">
        <v>21150</v>
      </c>
      <c r="C204" s="58">
        <f t="shared" si="434"/>
        <v>0</v>
      </c>
      <c r="D204" s="58">
        <f t="shared" si="534"/>
        <v>2192.5713000000001</v>
      </c>
      <c r="E204" s="58">
        <f t="shared" si="526"/>
        <v>0</v>
      </c>
      <c r="F204" s="58">
        <f t="shared" si="436"/>
        <v>0</v>
      </c>
      <c r="G204" s="58">
        <f t="shared" si="469"/>
        <v>0</v>
      </c>
      <c r="H204" s="58">
        <f t="shared" si="470"/>
        <v>0</v>
      </c>
      <c r="I204" s="58">
        <f t="shared" si="471"/>
        <v>0</v>
      </c>
      <c r="J204" s="51">
        <f t="shared" si="472"/>
        <v>0</v>
      </c>
      <c r="K204" s="99">
        <f t="shared" si="580"/>
        <v>157.11000000000001</v>
      </c>
      <c r="L204" s="105">
        <f t="shared" si="543"/>
        <v>0</v>
      </c>
      <c r="M204" s="58">
        <f t="shared" si="544"/>
        <v>4740</v>
      </c>
      <c r="N204" s="58"/>
      <c r="O204" s="58">
        <f t="shared" si="563"/>
        <v>0</v>
      </c>
      <c r="P204" s="58">
        <f t="shared" si="546"/>
        <v>0</v>
      </c>
      <c r="Q204" s="58">
        <f t="shared" si="547"/>
        <v>0</v>
      </c>
      <c r="R204" s="58">
        <f t="shared" si="548"/>
        <v>0</v>
      </c>
      <c r="S204" s="58">
        <f t="shared" si="549"/>
        <v>0</v>
      </c>
      <c r="T204" s="58">
        <f t="shared" si="564"/>
        <v>919</v>
      </c>
      <c r="V204" s="137"/>
      <c r="W204" s="58"/>
      <c r="X204" s="58"/>
      <c r="Y204" s="58"/>
      <c r="Z204" s="58"/>
      <c r="AA204" s="58"/>
      <c r="AB204" s="58"/>
      <c r="AC204" s="58"/>
      <c r="AD204" s="138"/>
      <c r="AF204" s="57">
        <f t="shared" si="445"/>
        <v>21150</v>
      </c>
      <c r="AG204" s="49"/>
      <c r="AH204" s="49"/>
      <c r="AI204" s="49"/>
      <c r="AJ204" s="49"/>
      <c r="AK204" s="49"/>
      <c r="AL204" s="49"/>
      <c r="AM204" s="49"/>
      <c r="AN204" s="49"/>
      <c r="AO204" s="49"/>
      <c r="AP204" s="49"/>
      <c r="AQ204" s="49"/>
      <c r="AR204" s="49"/>
      <c r="AS204" s="49"/>
      <c r="AT204" s="49"/>
      <c r="AU204" s="49"/>
      <c r="AV204" s="49"/>
      <c r="AW204" s="49"/>
      <c r="AX204" s="49">
        <v>2192.5713000000001</v>
      </c>
      <c r="AY204" s="49"/>
      <c r="AZ204" s="49"/>
      <c r="BA204" s="49"/>
      <c r="BB204" s="49"/>
      <c r="BC204" s="49"/>
      <c r="BD204" s="49"/>
      <c r="BE204" s="49"/>
      <c r="BF204" s="49"/>
      <c r="BG204" s="49"/>
      <c r="BH204" s="49"/>
      <c r="BI204" s="49"/>
      <c r="BJ204" s="49"/>
      <c r="BK204" s="49"/>
      <c r="BL204" s="49"/>
      <c r="BM204" s="49"/>
      <c r="BN204" s="49"/>
      <c r="BO204" s="49"/>
      <c r="BP204" s="49"/>
      <c r="BQ204" s="49"/>
      <c r="BR204" s="49"/>
      <c r="BS204" s="49"/>
      <c r="BT204" s="49"/>
      <c r="BU204" s="49"/>
      <c r="BV204" s="49"/>
      <c r="BW204" s="49"/>
      <c r="BX204" s="49"/>
      <c r="BY204" s="49"/>
      <c r="BZ204" s="49"/>
      <c r="CA204" s="49"/>
      <c r="CB204" s="49">
        <v>157.11000000000001</v>
      </c>
      <c r="CC204" s="231">
        <f t="shared" si="583"/>
        <v>21150</v>
      </c>
    </row>
    <row r="205" spans="2:81" s="3" customFormat="1" ht="15.75" thickBot="1" x14ac:dyDescent="0.3">
      <c r="B205" s="158">
        <v>21200</v>
      </c>
      <c r="C205" s="144">
        <f t="shared" si="434"/>
        <v>0</v>
      </c>
      <c r="D205" s="144">
        <f t="shared" si="534"/>
        <v>1254.4304999999999</v>
      </c>
      <c r="E205" s="144">
        <f t="shared" si="526"/>
        <v>0</v>
      </c>
      <c r="F205" s="144">
        <f t="shared" si="436"/>
        <v>0</v>
      </c>
      <c r="G205" s="144">
        <f t="shared" si="469"/>
        <v>0</v>
      </c>
      <c r="H205" s="144">
        <f t="shared" si="470"/>
        <v>0</v>
      </c>
      <c r="I205" s="144">
        <f t="shared" si="471"/>
        <v>0</v>
      </c>
      <c r="J205" s="159">
        <f t="shared" si="472"/>
        <v>0</v>
      </c>
      <c r="K205" s="160">
        <f t="shared" si="580"/>
        <v>118.53</v>
      </c>
      <c r="L205" s="152">
        <f t="shared" si="543"/>
        <v>0</v>
      </c>
      <c r="M205" s="144">
        <f t="shared" si="544"/>
        <v>3192</v>
      </c>
      <c r="N205" s="144"/>
      <c r="O205" s="144">
        <f t="shared" si="563"/>
        <v>0</v>
      </c>
      <c r="P205" s="144">
        <f t="shared" si="546"/>
        <v>0</v>
      </c>
      <c r="Q205" s="144">
        <f t="shared" si="547"/>
        <v>0</v>
      </c>
      <c r="R205" s="144">
        <f t="shared" si="548"/>
        <v>0</v>
      </c>
      <c r="S205" s="144">
        <f t="shared" si="549"/>
        <v>0</v>
      </c>
      <c r="T205" s="144">
        <f t="shared" si="564"/>
        <v>766</v>
      </c>
      <c r="V205" s="150">
        <f>L203+L204+L205</f>
        <v>10</v>
      </c>
      <c r="W205" s="150">
        <f t="shared" ref="W205" si="584">M203+M204+M205</f>
        <v>13433</v>
      </c>
      <c r="X205" s="150"/>
      <c r="Y205" s="150">
        <f t="shared" ref="Y205" si="585">O203+O204+O205</f>
        <v>0</v>
      </c>
      <c r="Z205" s="150">
        <f t="shared" ref="Z205" si="586">P203+P204+P205</f>
        <v>0</v>
      </c>
      <c r="AA205" s="150">
        <f t="shared" ref="AA205" si="587">Q203+Q204+Q205</f>
        <v>0</v>
      </c>
      <c r="AB205" s="150">
        <f t="shared" ref="AB205" si="588">R203+R204+R205</f>
        <v>0</v>
      </c>
      <c r="AC205" s="150">
        <f t="shared" ref="AC205" si="589">S203+S204+S205</f>
        <v>0</v>
      </c>
      <c r="AD205" s="150">
        <f t="shared" ref="AD205" si="590">T203+T204+T205</f>
        <v>2668</v>
      </c>
      <c r="AF205" s="158">
        <f t="shared" si="445"/>
        <v>21200</v>
      </c>
      <c r="AG205" s="149"/>
      <c r="AH205" s="149"/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>
        <v>1254.4304999999999</v>
      </c>
      <c r="AY205" s="149"/>
      <c r="AZ205" s="149"/>
      <c r="BA205" s="149"/>
      <c r="BB205" s="149"/>
      <c r="BC205" s="149"/>
      <c r="BD205" s="149"/>
      <c r="BE205" s="149"/>
      <c r="BF205" s="149"/>
      <c r="BG205" s="149"/>
      <c r="BH205" s="149"/>
      <c r="BI205" s="149"/>
      <c r="BJ205" s="149"/>
      <c r="BK205" s="149"/>
      <c r="BL205" s="149"/>
      <c r="BM205" s="149"/>
      <c r="BN205" s="149"/>
      <c r="BO205" s="149"/>
      <c r="BP205" s="149"/>
      <c r="BQ205" s="149"/>
      <c r="BR205" s="149"/>
      <c r="BS205" s="149"/>
      <c r="BT205" s="149"/>
      <c r="BU205" s="149"/>
      <c r="BV205" s="149"/>
      <c r="BW205" s="149"/>
      <c r="BX205" s="149"/>
      <c r="BY205" s="149"/>
      <c r="BZ205" s="149"/>
      <c r="CA205" s="149"/>
      <c r="CB205" s="149">
        <v>118.53</v>
      </c>
      <c r="CC205" s="231">
        <f t="shared" si="583"/>
        <v>21200</v>
      </c>
    </row>
    <row r="206" spans="2:81" x14ac:dyDescent="0.25">
      <c r="B206" s="155">
        <v>21250</v>
      </c>
      <c r="C206" s="147">
        <f t="shared" si="434"/>
        <v>321.55630000000002</v>
      </c>
      <c r="D206" s="147">
        <f t="shared" si="534"/>
        <v>410.26569999999998</v>
      </c>
      <c r="E206" s="147">
        <f t="shared" si="526"/>
        <v>0</v>
      </c>
      <c r="F206" s="147">
        <f t="shared" si="436"/>
        <v>0</v>
      </c>
      <c r="G206" s="147">
        <f t="shared" si="469"/>
        <v>0</v>
      </c>
      <c r="H206" s="147">
        <f t="shared" si="470"/>
        <v>0</v>
      </c>
      <c r="I206" s="147">
        <f t="shared" si="471"/>
        <v>0</v>
      </c>
      <c r="J206" s="156">
        <f t="shared" si="472"/>
        <v>0</v>
      </c>
      <c r="K206" s="157">
        <f t="shared" si="580"/>
        <v>175.08</v>
      </c>
      <c r="L206" s="151">
        <f t="shared" si="543"/>
        <v>298</v>
      </c>
      <c r="M206" s="147">
        <f t="shared" si="544"/>
        <v>1542</v>
      </c>
      <c r="N206" s="147"/>
      <c r="O206" s="147">
        <f t="shared" si="563"/>
        <v>0</v>
      </c>
      <c r="P206" s="147">
        <f t="shared" si="546"/>
        <v>0</v>
      </c>
      <c r="Q206" s="147">
        <f t="shared" si="547"/>
        <v>0</v>
      </c>
      <c r="R206" s="147">
        <f t="shared" si="548"/>
        <v>0</v>
      </c>
      <c r="S206" s="147">
        <f t="shared" si="549"/>
        <v>0</v>
      </c>
      <c r="T206" s="147">
        <f t="shared" si="564"/>
        <v>816</v>
      </c>
      <c r="V206" s="146"/>
      <c r="W206" s="147"/>
      <c r="X206" s="147"/>
      <c r="Y206" s="147"/>
      <c r="Z206" s="147"/>
      <c r="AA206" s="147"/>
      <c r="AB206" s="147"/>
      <c r="AC206" s="147"/>
      <c r="AD206" s="148"/>
      <c r="AF206" s="155">
        <f t="shared" si="445"/>
        <v>21250</v>
      </c>
      <c r="AG206" s="78">
        <v>321.55630000000002</v>
      </c>
      <c r="AH206" s="78"/>
      <c r="AI206" s="78"/>
      <c r="AJ206" s="78"/>
      <c r="AK206" s="78"/>
      <c r="AL206" s="78"/>
      <c r="AM206" s="78"/>
      <c r="AN206" s="78"/>
      <c r="AO206" s="78"/>
      <c r="AP206" s="78"/>
      <c r="AQ206" s="78"/>
      <c r="AR206" s="78"/>
      <c r="AS206" s="78"/>
      <c r="AT206" s="78"/>
      <c r="AU206" s="78"/>
      <c r="AV206" s="78"/>
      <c r="AW206" s="78"/>
      <c r="AX206" s="78">
        <v>410.26569999999998</v>
      </c>
      <c r="AY206" s="78"/>
      <c r="AZ206" s="78"/>
      <c r="BA206" s="78"/>
      <c r="BB206" s="78"/>
      <c r="BC206" s="78"/>
      <c r="BD206" s="78"/>
      <c r="BE206" s="78"/>
      <c r="BF206" s="78"/>
      <c r="BG206" s="78"/>
      <c r="BH206" s="78"/>
      <c r="BI206" s="78"/>
      <c r="BJ206" s="78"/>
      <c r="BK206" s="78"/>
      <c r="BL206" s="78"/>
      <c r="BM206" s="78"/>
      <c r="BN206" s="78"/>
      <c r="BO206" s="78"/>
      <c r="BP206" s="78"/>
      <c r="BQ206" s="78"/>
      <c r="BR206" s="78"/>
      <c r="BS206" s="78"/>
      <c r="BT206" s="78"/>
      <c r="BU206" s="78"/>
      <c r="BV206" s="78"/>
      <c r="BW206" s="78"/>
      <c r="BX206" s="78"/>
      <c r="BY206" s="78"/>
      <c r="BZ206" s="78"/>
      <c r="CA206" s="78"/>
      <c r="CB206" s="78">
        <v>175.08</v>
      </c>
      <c r="CC206" s="231">
        <f t="shared" si="583"/>
        <v>21250</v>
      </c>
    </row>
    <row r="207" spans="2:81" x14ac:dyDescent="0.25">
      <c r="B207" s="57">
        <v>21300</v>
      </c>
      <c r="C207" s="58">
        <f t="shared" si="434"/>
        <v>2001.5189</v>
      </c>
      <c r="D207" s="58">
        <f t="shared" si="534"/>
        <v>0</v>
      </c>
      <c r="E207" s="58">
        <f t="shared" si="526"/>
        <v>0</v>
      </c>
      <c r="F207" s="58">
        <f t="shared" si="436"/>
        <v>0</v>
      </c>
      <c r="G207" s="58">
        <f t="shared" si="469"/>
        <v>25.2193</v>
      </c>
      <c r="H207" s="58">
        <f t="shared" si="470"/>
        <v>25.2193</v>
      </c>
      <c r="I207" s="58">
        <f t="shared" si="471"/>
        <v>50.0242</v>
      </c>
      <c r="J207" s="51">
        <f t="shared" si="472"/>
        <v>50.0242</v>
      </c>
      <c r="K207" s="99">
        <f t="shared" si="580"/>
        <v>196.01</v>
      </c>
      <c r="L207" s="105">
        <f t="shared" si="543"/>
        <v>2151</v>
      </c>
      <c r="M207" s="58">
        <f t="shared" si="544"/>
        <v>380</v>
      </c>
      <c r="N207" s="58"/>
      <c r="O207" s="58">
        <f t="shared" si="563"/>
        <v>0</v>
      </c>
      <c r="P207" s="58">
        <f t="shared" si="546"/>
        <v>24</v>
      </c>
      <c r="Q207" s="58">
        <f t="shared" si="547"/>
        <v>24</v>
      </c>
      <c r="R207" s="58">
        <f t="shared" si="548"/>
        <v>139</v>
      </c>
      <c r="S207" s="58">
        <f t="shared" si="549"/>
        <v>139</v>
      </c>
      <c r="T207" s="58">
        <f t="shared" si="564"/>
        <v>1031</v>
      </c>
      <c r="V207" s="137"/>
      <c r="W207" s="58"/>
      <c r="X207" s="58"/>
      <c r="Y207" s="58"/>
      <c r="Z207" s="58"/>
      <c r="AA207" s="58"/>
      <c r="AB207" s="58"/>
      <c r="AC207" s="58"/>
      <c r="AD207" s="138"/>
      <c r="AF207" s="57">
        <f t="shared" si="445"/>
        <v>21300</v>
      </c>
      <c r="AG207" s="49">
        <v>2001.5189</v>
      </c>
      <c r="AH207" s="49"/>
      <c r="AI207" s="49"/>
      <c r="AJ207" s="49"/>
      <c r="AK207" s="49"/>
      <c r="AL207" s="49"/>
      <c r="AM207" s="49"/>
      <c r="AN207" s="49"/>
      <c r="AO207" s="49"/>
      <c r="AP207" s="49"/>
      <c r="AQ207" s="49"/>
      <c r="AR207" s="49"/>
      <c r="AS207" s="49"/>
      <c r="AT207" s="49"/>
      <c r="AU207" s="49"/>
      <c r="AV207" s="49"/>
      <c r="AW207" s="49"/>
      <c r="AX207" s="49"/>
      <c r="AY207" s="49"/>
      <c r="AZ207" s="49"/>
      <c r="BA207" s="49"/>
      <c r="BB207" s="49"/>
      <c r="BC207" s="49"/>
      <c r="BD207" s="49"/>
      <c r="BE207" s="49"/>
      <c r="BF207" s="49"/>
      <c r="BG207" s="49"/>
      <c r="BH207" s="49"/>
      <c r="BI207" s="49"/>
      <c r="BJ207" s="49"/>
      <c r="BK207" s="49"/>
      <c r="BL207" s="49"/>
      <c r="BM207" s="49"/>
      <c r="BN207" s="49">
        <v>25.2193</v>
      </c>
      <c r="BO207" s="49"/>
      <c r="BP207" s="49"/>
      <c r="BQ207" s="49">
        <f>BN207</f>
        <v>25.2193</v>
      </c>
      <c r="BR207" s="49"/>
      <c r="BS207" s="49"/>
      <c r="BT207" s="78">
        <v>50.0242</v>
      </c>
      <c r="BU207" s="78"/>
      <c r="BV207" s="78"/>
      <c r="BW207" s="78">
        <f t="shared" ref="BW207:BW211" si="591">BT207</f>
        <v>50.0242</v>
      </c>
      <c r="BX207" s="78">
        <f t="shared" ref="BX207:BY211" si="592">BU207</f>
        <v>0</v>
      </c>
      <c r="BY207" s="78">
        <f t="shared" si="592"/>
        <v>0</v>
      </c>
      <c r="BZ207" s="49"/>
      <c r="CA207" s="49"/>
      <c r="CB207" s="49">
        <v>196.01</v>
      </c>
      <c r="CC207" s="231">
        <f t="shared" si="583"/>
        <v>21300</v>
      </c>
    </row>
    <row r="208" spans="2:81" s="3" customFormat="1" ht="15.75" thickBot="1" x14ac:dyDescent="0.3">
      <c r="B208" s="158">
        <v>21350</v>
      </c>
      <c r="C208" s="144">
        <f t="shared" si="434"/>
        <v>4389.2903999999999</v>
      </c>
      <c r="D208" s="144">
        <f t="shared" si="534"/>
        <v>0</v>
      </c>
      <c r="E208" s="144">
        <f t="shared" si="526"/>
        <v>0</v>
      </c>
      <c r="F208" s="144">
        <f t="shared" si="436"/>
        <v>0</v>
      </c>
      <c r="G208" s="144">
        <f t="shared" si="469"/>
        <v>25.2193</v>
      </c>
      <c r="H208" s="144">
        <f t="shared" si="470"/>
        <v>25.2193</v>
      </c>
      <c r="I208" s="144">
        <f t="shared" si="471"/>
        <v>50.018300000000004</v>
      </c>
      <c r="J208" s="159">
        <f t="shared" si="472"/>
        <v>50.018300000000004</v>
      </c>
      <c r="K208" s="160">
        <f t="shared" si="580"/>
        <v>275.18</v>
      </c>
      <c r="L208" s="152">
        <f t="shared" si="543"/>
        <v>5918</v>
      </c>
      <c r="M208" s="144">
        <f t="shared" si="544"/>
        <v>0</v>
      </c>
      <c r="N208" s="144"/>
      <c r="O208" s="144">
        <f t="shared" si="563"/>
        <v>0</v>
      </c>
      <c r="P208" s="144">
        <f t="shared" si="546"/>
        <v>47</v>
      </c>
      <c r="Q208" s="144">
        <f t="shared" si="547"/>
        <v>47</v>
      </c>
      <c r="R208" s="144">
        <f>ROUNDUP(((I208+I207)*0.5)*(B208-B207)/9,0)</f>
        <v>278</v>
      </c>
      <c r="S208" s="144">
        <f t="shared" si="549"/>
        <v>278</v>
      </c>
      <c r="T208" s="144">
        <f t="shared" si="564"/>
        <v>1309</v>
      </c>
      <c r="V208" s="150">
        <f>L206+L207+L208</f>
        <v>8367</v>
      </c>
      <c r="W208" s="150">
        <f t="shared" ref="W208" si="593">M206+M207+M208</f>
        <v>1922</v>
      </c>
      <c r="X208" s="150"/>
      <c r="Y208" s="150">
        <f t="shared" ref="Y208" si="594">O206+O207+O208</f>
        <v>0</v>
      </c>
      <c r="Z208" s="150">
        <f t="shared" ref="Z208" si="595">P206+P207+P208</f>
        <v>71</v>
      </c>
      <c r="AA208" s="150">
        <f t="shared" ref="AA208" si="596">Q206+Q207+Q208</f>
        <v>71</v>
      </c>
      <c r="AB208" s="150">
        <f t="shared" ref="AB208" si="597">R206+R207+R208</f>
        <v>417</v>
      </c>
      <c r="AC208" s="150">
        <f t="shared" ref="AC208" si="598">S206+S207+S208</f>
        <v>417</v>
      </c>
      <c r="AD208" s="150">
        <f t="shared" ref="AD208" si="599">T206+T207+T208</f>
        <v>3156</v>
      </c>
      <c r="AF208" s="158">
        <f t="shared" si="445"/>
        <v>21350</v>
      </c>
      <c r="AG208" s="149">
        <v>4389.2903999999999</v>
      </c>
      <c r="AH208" s="149"/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  <c r="BI208" s="149"/>
      <c r="BJ208" s="149"/>
      <c r="BK208" s="149"/>
      <c r="BL208" s="149"/>
      <c r="BM208" s="149"/>
      <c r="BN208" s="149">
        <v>25.2193</v>
      </c>
      <c r="BO208" s="149"/>
      <c r="BP208" s="149"/>
      <c r="BQ208" s="149">
        <f>BN208</f>
        <v>25.2193</v>
      </c>
      <c r="BR208" s="149"/>
      <c r="BS208" s="149"/>
      <c r="BT208" s="149">
        <v>50.018300000000004</v>
      </c>
      <c r="BU208" s="149"/>
      <c r="BV208" s="149"/>
      <c r="BW208" s="78">
        <f t="shared" si="591"/>
        <v>50.018300000000004</v>
      </c>
      <c r="BX208" s="78">
        <f t="shared" si="592"/>
        <v>0</v>
      </c>
      <c r="BY208" s="78">
        <f t="shared" si="592"/>
        <v>0</v>
      </c>
      <c r="BZ208" s="149"/>
      <c r="CA208" s="149"/>
      <c r="CB208" s="149">
        <v>275.18</v>
      </c>
      <c r="CC208" s="231">
        <f t="shared" si="583"/>
        <v>21350</v>
      </c>
    </row>
    <row r="209" spans="2:81" x14ac:dyDescent="0.25">
      <c r="B209" s="155">
        <v>21400</v>
      </c>
      <c r="C209" s="147">
        <f t="shared" si="434"/>
        <v>7454.1540999999997</v>
      </c>
      <c r="D209" s="147">
        <f t="shared" si="534"/>
        <v>0</v>
      </c>
      <c r="E209" s="147">
        <f t="shared" si="526"/>
        <v>0</v>
      </c>
      <c r="F209" s="147">
        <f t="shared" si="436"/>
        <v>0</v>
      </c>
      <c r="G209" s="147">
        <f t="shared" si="469"/>
        <v>25.2193</v>
      </c>
      <c r="H209" s="147">
        <f t="shared" si="470"/>
        <v>25.2193</v>
      </c>
      <c r="I209" s="147">
        <f t="shared" si="471"/>
        <v>50.014499999999998</v>
      </c>
      <c r="J209" s="156">
        <f t="shared" si="472"/>
        <v>50.014499999999998</v>
      </c>
      <c r="K209" s="157">
        <f t="shared" si="580"/>
        <v>383.58</v>
      </c>
      <c r="L209" s="151">
        <f t="shared" si="543"/>
        <v>10967</v>
      </c>
      <c r="M209" s="147">
        <f t="shared" si="544"/>
        <v>0</v>
      </c>
      <c r="N209" s="147"/>
      <c r="O209" s="147">
        <f t="shared" si="563"/>
        <v>0</v>
      </c>
      <c r="P209" s="147">
        <f t="shared" si="546"/>
        <v>47</v>
      </c>
      <c r="Q209" s="147">
        <f t="shared" si="547"/>
        <v>47</v>
      </c>
      <c r="R209" s="147">
        <f>ROUNDUP(((I209+I208)*0.5)*(B209-B208)/9,0)</f>
        <v>278</v>
      </c>
      <c r="S209" s="147">
        <f t="shared" si="549"/>
        <v>278</v>
      </c>
      <c r="T209" s="147">
        <f t="shared" si="564"/>
        <v>1830</v>
      </c>
      <c r="V209" s="146"/>
      <c r="W209" s="147"/>
      <c r="X209" s="147"/>
      <c r="Y209" s="147"/>
      <c r="Z209" s="147"/>
      <c r="AA209" s="147"/>
      <c r="AB209" s="147"/>
      <c r="AC209" s="147"/>
      <c r="AD209" s="148"/>
      <c r="AF209" s="155">
        <f t="shared" si="445"/>
        <v>21400</v>
      </c>
      <c r="AG209" s="78">
        <v>7454.1540999999997</v>
      </c>
      <c r="AH209" s="78"/>
      <c r="AI209" s="78"/>
      <c r="AJ209" s="78"/>
      <c r="AK209" s="78"/>
      <c r="AL209" s="78"/>
      <c r="AM209" s="78"/>
      <c r="AN209" s="78"/>
      <c r="AO209" s="78"/>
      <c r="AP209" s="78"/>
      <c r="AQ209" s="78"/>
      <c r="AR209" s="78"/>
      <c r="AS209" s="78"/>
      <c r="AT209" s="78"/>
      <c r="AU209" s="78"/>
      <c r="AV209" s="78"/>
      <c r="AW209" s="78"/>
      <c r="AX209" s="78"/>
      <c r="AY209" s="78"/>
      <c r="AZ209" s="78"/>
      <c r="BA209" s="78"/>
      <c r="BB209" s="78"/>
      <c r="BC209" s="78"/>
      <c r="BD209" s="78"/>
      <c r="BE209" s="78"/>
      <c r="BF209" s="78"/>
      <c r="BG209" s="78"/>
      <c r="BH209" s="78"/>
      <c r="BI209" s="78"/>
      <c r="BJ209" s="78"/>
      <c r="BK209" s="78"/>
      <c r="BL209" s="78"/>
      <c r="BM209" s="78"/>
      <c r="BN209" s="78">
        <v>25.2193</v>
      </c>
      <c r="BO209" s="78"/>
      <c r="BP209" s="78"/>
      <c r="BQ209" s="78">
        <f>BN209</f>
        <v>25.2193</v>
      </c>
      <c r="BR209" s="78"/>
      <c r="BS209" s="78"/>
      <c r="BT209" s="78">
        <v>50.014499999999998</v>
      </c>
      <c r="BU209" s="78"/>
      <c r="BV209" s="78"/>
      <c r="BW209" s="78">
        <f t="shared" si="591"/>
        <v>50.014499999999998</v>
      </c>
      <c r="BX209" s="78">
        <f t="shared" si="592"/>
        <v>0</v>
      </c>
      <c r="BY209" s="78">
        <f t="shared" si="592"/>
        <v>0</v>
      </c>
      <c r="BZ209" s="78"/>
      <c r="CA209" s="78"/>
      <c r="CB209" s="78">
        <v>383.58</v>
      </c>
      <c r="CC209" s="231">
        <f t="shared" si="583"/>
        <v>21400</v>
      </c>
    </row>
    <row r="210" spans="2:81" s="3" customFormat="1" ht="15.75" thickBot="1" x14ac:dyDescent="0.3">
      <c r="B210" s="158">
        <v>21450</v>
      </c>
      <c r="C210" s="144">
        <f t="shared" si="434"/>
        <v>8887.6278999999995</v>
      </c>
      <c r="D210" s="144">
        <f t="shared" si="534"/>
        <v>0</v>
      </c>
      <c r="E210" s="144">
        <f t="shared" si="526"/>
        <v>0</v>
      </c>
      <c r="F210" s="144">
        <f t="shared" si="436"/>
        <v>0</v>
      </c>
      <c r="G210" s="144">
        <f t="shared" si="469"/>
        <v>25.2193</v>
      </c>
      <c r="H210" s="144">
        <f t="shared" si="470"/>
        <v>25.2193</v>
      </c>
      <c r="I210" s="144">
        <f t="shared" si="471"/>
        <v>50.015099999999997</v>
      </c>
      <c r="J210" s="159">
        <f t="shared" si="472"/>
        <v>50.015099999999997</v>
      </c>
      <c r="K210" s="160">
        <f t="shared" si="580"/>
        <v>419.37</v>
      </c>
      <c r="L210" s="152">
        <f t="shared" si="543"/>
        <v>15132</v>
      </c>
      <c r="M210" s="144">
        <f t="shared" si="544"/>
        <v>0</v>
      </c>
      <c r="N210" s="144"/>
      <c r="O210" s="144">
        <f t="shared" si="563"/>
        <v>0</v>
      </c>
      <c r="P210" s="144">
        <f t="shared" si="546"/>
        <v>47</v>
      </c>
      <c r="Q210" s="144">
        <f t="shared" si="547"/>
        <v>47</v>
      </c>
      <c r="R210" s="144">
        <f>ROUNDUP(((I210+I209)*0.5)*(B210-B209)/9,0)</f>
        <v>278</v>
      </c>
      <c r="S210" s="144">
        <f>ROUNDUP(((J210+J209)*0.5)*(B210-B209)/9,0)</f>
        <v>278</v>
      </c>
      <c r="T210" s="144">
        <f t="shared" si="564"/>
        <v>2231</v>
      </c>
      <c r="V210" s="150">
        <f>L209+L210</f>
        <v>26099</v>
      </c>
      <c r="W210" s="150">
        <f t="shared" ref="W210" si="600">M209+M210</f>
        <v>0</v>
      </c>
      <c r="X210" s="150"/>
      <c r="Y210" s="150">
        <f t="shared" ref="Y210" si="601">O209+O210</f>
        <v>0</v>
      </c>
      <c r="Z210" s="150">
        <f t="shared" ref="Z210" si="602">P209+P210</f>
        <v>94</v>
      </c>
      <c r="AA210" s="150">
        <f t="shared" ref="AA210" si="603">Q209+Q210</f>
        <v>94</v>
      </c>
      <c r="AB210" s="150">
        <f t="shared" ref="AB210" si="604">R209+R210</f>
        <v>556</v>
      </c>
      <c r="AC210" s="150">
        <f t="shared" ref="AC210" si="605">S209+S210</f>
        <v>556</v>
      </c>
      <c r="AD210" s="150">
        <f t="shared" ref="AD210" si="606">T209+T210</f>
        <v>4061</v>
      </c>
      <c r="AF210" s="158">
        <f t="shared" si="445"/>
        <v>21450</v>
      </c>
      <c r="AG210" s="149">
        <v>8887.6278999999995</v>
      </c>
      <c r="AH210" s="149"/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  <c r="BI210" s="149"/>
      <c r="BJ210" s="149"/>
      <c r="BK210" s="149"/>
      <c r="BL210" s="149"/>
      <c r="BM210" s="149"/>
      <c r="BN210" s="149">
        <v>25.2193</v>
      </c>
      <c r="BO210" s="149"/>
      <c r="BP210" s="149"/>
      <c r="BQ210" s="149">
        <f>BN210</f>
        <v>25.2193</v>
      </c>
      <c r="BR210" s="149"/>
      <c r="BS210" s="149"/>
      <c r="BT210" s="149">
        <v>50.015099999999997</v>
      </c>
      <c r="BU210" s="149"/>
      <c r="BV210" s="149"/>
      <c r="BW210" s="78">
        <f t="shared" si="591"/>
        <v>50.015099999999997</v>
      </c>
      <c r="BX210" s="78">
        <f t="shared" si="592"/>
        <v>0</v>
      </c>
      <c r="BY210" s="78">
        <f t="shared" si="592"/>
        <v>0</v>
      </c>
      <c r="BZ210" s="149"/>
      <c r="CA210" s="149"/>
      <c r="CB210" s="149">
        <v>419.37</v>
      </c>
      <c r="CC210" s="231">
        <f t="shared" si="583"/>
        <v>21450</v>
      </c>
    </row>
    <row r="211" spans="2:81" x14ac:dyDescent="0.25">
      <c r="B211" s="155">
        <v>21500</v>
      </c>
      <c r="C211" s="147">
        <f t="shared" si="434"/>
        <v>6964.3413</v>
      </c>
      <c r="D211" s="147">
        <f t="shared" si="534"/>
        <v>0</v>
      </c>
      <c r="E211" s="147">
        <f t="shared" si="526"/>
        <v>0</v>
      </c>
      <c r="F211" s="147">
        <f t="shared" si="436"/>
        <v>0</v>
      </c>
      <c r="G211" s="147">
        <f t="shared" si="469"/>
        <v>25.2193</v>
      </c>
      <c r="H211" s="147">
        <f t="shared" si="470"/>
        <v>25.2193</v>
      </c>
      <c r="I211" s="147">
        <f t="shared" si="471"/>
        <v>50.015799999999999</v>
      </c>
      <c r="J211" s="156">
        <f t="shared" si="472"/>
        <v>50.015799999999999</v>
      </c>
      <c r="K211" s="157">
        <f t="shared" si="580"/>
        <v>479.47</v>
      </c>
      <c r="L211" s="151">
        <f t="shared" si="543"/>
        <v>14678</v>
      </c>
      <c r="M211" s="147">
        <f t="shared" si="544"/>
        <v>0</v>
      </c>
      <c r="N211" s="147"/>
      <c r="O211" s="147">
        <f t="shared" si="563"/>
        <v>0</v>
      </c>
      <c r="P211" s="147">
        <f t="shared" si="546"/>
        <v>47</v>
      </c>
      <c r="Q211" s="147">
        <f t="shared" si="547"/>
        <v>47</v>
      </c>
      <c r="R211" s="147">
        <f>ROUNDUP(((I211+I210)*0.5)*(B211-B210)/9,0)</f>
        <v>278</v>
      </c>
      <c r="S211" s="147">
        <f t="shared" si="549"/>
        <v>278</v>
      </c>
      <c r="T211" s="147">
        <f t="shared" si="564"/>
        <v>2497</v>
      </c>
      <c r="V211" s="146"/>
      <c r="W211" s="147"/>
      <c r="X211" s="147"/>
      <c r="Y211" s="147"/>
      <c r="Z211" s="147"/>
      <c r="AA211" s="147"/>
      <c r="AB211" s="147"/>
      <c r="AC211" s="147"/>
      <c r="AD211" s="148"/>
      <c r="AF211" s="155">
        <f t="shared" si="445"/>
        <v>21500</v>
      </c>
      <c r="AG211" s="78">
        <v>6964.3413</v>
      </c>
      <c r="AH211" s="78"/>
      <c r="AI211" s="78"/>
      <c r="AJ211" s="78"/>
      <c r="AK211" s="78"/>
      <c r="AL211" s="78"/>
      <c r="AM211" s="78"/>
      <c r="AN211" s="78"/>
      <c r="AO211" s="78"/>
      <c r="AP211" s="78"/>
      <c r="AQ211" s="78"/>
      <c r="AR211" s="78"/>
      <c r="AS211" s="78"/>
      <c r="AT211" s="78"/>
      <c r="AU211" s="78"/>
      <c r="AV211" s="78"/>
      <c r="AW211" s="78"/>
      <c r="AX211" s="78"/>
      <c r="AY211" s="78"/>
      <c r="AZ211" s="78"/>
      <c r="BA211" s="78"/>
      <c r="BB211" s="78"/>
      <c r="BC211" s="78"/>
      <c r="BD211" s="78"/>
      <c r="BE211" s="78"/>
      <c r="BF211" s="78"/>
      <c r="BG211" s="78"/>
      <c r="BH211" s="78"/>
      <c r="BI211" s="78"/>
      <c r="BJ211" s="78"/>
      <c r="BK211" s="78"/>
      <c r="BL211" s="78"/>
      <c r="BM211" s="78"/>
      <c r="BN211" s="78">
        <v>25.2193</v>
      </c>
      <c r="BO211" s="78"/>
      <c r="BP211" s="78"/>
      <c r="BQ211" s="78">
        <f>BN211</f>
        <v>25.2193</v>
      </c>
      <c r="BR211" s="78"/>
      <c r="BS211" s="78"/>
      <c r="BT211" s="78">
        <v>50.015799999999999</v>
      </c>
      <c r="BU211" s="78"/>
      <c r="BV211" s="78"/>
      <c r="BW211" s="78">
        <f t="shared" si="591"/>
        <v>50.015799999999999</v>
      </c>
      <c r="BX211" s="78">
        <f t="shared" si="592"/>
        <v>0</v>
      </c>
      <c r="BY211" s="78">
        <f t="shared" si="592"/>
        <v>0</v>
      </c>
      <c r="BZ211" s="78"/>
      <c r="CA211" s="78"/>
      <c r="CB211" s="78">
        <v>479.47</v>
      </c>
      <c r="CC211" s="231">
        <f t="shared" si="583"/>
        <v>21500</v>
      </c>
    </row>
    <row r="212" spans="2:81" s="3" customFormat="1" ht="15.75" thickBot="1" x14ac:dyDescent="0.3">
      <c r="B212" s="158">
        <v>21550</v>
      </c>
      <c r="C212" s="144">
        <f t="shared" si="434"/>
        <v>2457.4582999999998</v>
      </c>
      <c r="D212" s="144">
        <f t="shared" si="534"/>
        <v>0</v>
      </c>
      <c r="E212" s="144">
        <f t="shared" si="526"/>
        <v>0</v>
      </c>
      <c r="F212" s="144">
        <f t="shared" si="436"/>
        <v>0</v>
      </c>
      <c r="G212" s="144">
        <f t="shared" si="469"/>
        <v>0</v>
      </c>
      <c r="H212" s="144">
        <f t="shared" si="470"/>
        <v>0</v>
      </c>
      <c r="I212" s="144">
        <f t="shared" si="471"/>
        <v>0</v>
      </c>
      <c r="J212" s="159">
        <f t="shared" si="472"/>
        <v>0</v>
      </c>
      <c r="K212" s="160">
        <f t="shared" si="580"/>
        <v>196.83</v>
      </c>
      <c r="L212" s="152">
        <f t="shared" si="543"/>
        <v>8724</v>
      </c>
      <c r="M212" s="144">
        <f t="shared" si="544"/>
        <v>0</v>
      </c>
      <c r="N212" s="144"/>
      <c r="O212" s="144">
        <f t="shared" si="563"/>
        <v>0</v>
      </c>
      <c r="P212" s="144">
        <f t="shared" si="546"/>
        <v>24</v>
      </c>
      <c r="Q212" s="144">
        <f t="shared" si="547"/>
        <v>24</v>
      </c>
      <c r="R212" s="144">
        <f t="shared" si="548"/>
        <v>139</v>
      </c>
      <c r="S212" s="144">
        <f t="shared" si="549"/>
        <v>139</v>
      </c>
      <c r="T212" s="144">
        <f t="shared" si="564"/>
        <v>1879</v>
      </c>
      <c r="V212" s="150">
        <f>L211+L212</f>
        <v>23402</v>
      </c>
      <c r="W212" s="150">
        <f t="shared" ref="W212" si="607">M211+M212</f>
        <v>0</v>
      </c>
      <c r="X212" s="150"/>
      <c r="Y212" s="150">
        <f t="shared" ref="Y212" si="608">O211+O212</f>
        <v>0</v>
      </c>
      <c r="Z212" s="150">
        <f t="shared" ref="Z212" si="609">P211+P212</f>
        <v>71</v>
      </c>
      <c r="AA212" s="150">
        <f t="shared" ref="AA212" si="610">Q211+Q212</f>
        <v>71</v>
      </c>
      <c r="AB212" s="150">
        <f t="shared" ref="AB212" si="611">R211+R212</f>
        <v>417</v>
      </c>
      <c r="AC212" s="150">
        <f t="shared" ref="AC212" si="612">S211+S212</f>
        <v>417</v>
      </c>
      <c r="AD212" s="150">
        <f t="shared" ref="AD212" si="613">T211+T212</f>
        <v>4376</v>
      </c>
      <c r="AF212" s="158">
        <f t="shared" si="445"/>
        <v>21550</v>
      </c>
      <c r="AG212" s="149">
        <v>2457.4582999999998</v>
      </c>
      <c r="AH212" s="149"/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  <c r="BA212" s="149"/>
      <c r="BB212" s="149"/>
      <c r="BC212" s="149"/>
      <c r="BD212" s="149"/>
      <c r="BE212" s="149"/>
      <c r="BF212" s="149"/>
      <c r="BG212" s="149"/>
      <c r="BH212" s="149"/>
      <c r="BI212" s="149"/>
      <c r="BJ212" s="149"/>
      <c r="BK212" s="149"/>
      <c r="BL212" s="149"/>
      <c r="BM212" s="149"/>
      <c r="BN212" s="149"/>
      <c r="BO212" s="149"/>
      <c r="BP212" s="149"/>
      <c r="BQ212" s="149"/>
      <c r="BR212" s="149"/>
      <c r="BS212" s="149"/>
      <c r="BT212" s="149"/>
      <c r="BU212" s="149"/>
      <c r="BV212" s="149"/>
      <c r="BW212" s="149"/>
      <c r="BX212" s="149"/>
      <c r="BY212" s="149"/>
      <c r="BZ212" s="149"/>
      <c r="CA212" s="149"/>
      <c r="CB212" s="149">
        <v>196.83</v>
      </c>
      <c r="CC212" s="231">
        <f t="shared" si="583"/>
        <v>21550</v>
      </c>
    </row>
    <row r="213" spans="2:81" x14ac:dyDescent="0.25">
      <c r="B213" s="155">
        <v>21600</v>
      </c>
      <c r="C213" s="147">
        <f t="shared" si="434"/>
        <v>2369.0090999999998</v>
      </c>
      <c r="D213" s="147">
        <f t="shared" si="534"/>
        <v>775.72090000000003</v>
      </c>
      <c r="E213" s="147">
        <f t="shared" si="526"/>
        <v>0</v>
      </c>
      <c r="F213" s="147">
        <f t="shared" si="436"/>
        <v>0</v>
      </c>
      <c r="G213" s="147">
        <f t="shared" si="469"/>
        <v>0</v>
      </c>
      <c r="H213" s="147">
        <f t="shared" si="470"/>
        <v>0</v>
      </c>
      <c r="I213" s="147">
        <f t="shared" si="471"/>
        <v>0</v>
      </c>
      <c r="J213" s="156">
        <f t="shared" si="472"/>
        <v>0</v>
      </c>
      <c r="K213" s="157">
        <f t="shared" si="580"/>
        <v>265.19</v>
      </c>
      <c r="L213" s="151">
        <f t="shared" si="543"/>
        <v>4469</v>
      </c>
      <c r="M213" s="147">
        <f t="shared" si="544"/>
        <v>719</v>
      </c>
      <c r="N213" s="147"/>
      <c r="O213" s="147">
        <f t="shared" si="563"/>
        <v>0</v>
      </c>
      <c r="P213" s="147">
        <f t="shared" si="546"/>
        <v>0</v>
      </c>
      <c r="Q213" s="147">
        <f t="shared" si="547"/>
        <v>0</v>
      </c>
      <c r="R213" s="147">
        <f t="shared" si="548"/>
        <v>0</v>
      </c>
      <c r="S213" s="147">
        <f t="shared" si="549"/>
        <v>0</v>
      </c>
      <c r="T213" s="147">
        <f t="shared" si="564"/>
        <v>1284</v>
      </c>
      <c r="V213" s="146"/>
      <c r="W213" s="147"/>
      <c r="X213" s="147"/>
      <c r="Y213" s="147"/>
      <c r="Z213" s="147"/>
      <c r="AA213" s="147"/>
      <c r="AB213" s="147"/>
      <c r="AC213" s="147"/>
      <c r="AD213" s="148"/>
      <c r="AF213" s="155">
        <f t="shared" si="445"/>
        <v>21600</v>
      </c>
      <c r="AG213" s="78">
        <v>1905.3214</v>
      </c>
      <c r="AH213" s="78">
        <v>200.5934</v>
      </c>
      <c r="AI213" s="78">
        <v>126.6144</v>
      </c>
      <c r="AJ213" s="78">
        <v>136.47989999999999</v>
      </c>
      <c r="AK213" s="78"/>
      <c r="AL213" s="78"/>
      <c r="AM213" s="78"/>
      <c r="AN213" s="78"/>
      <c r="AO213" s="78"/>
      <c r="AP213" s="78"/>
      <c r="AQ213" s="78"/>
      <c r="AR213" s="78"/>
      <c r="AS213" s="78"/>
      <c r="AT213" s="78"/>
      <c r="AU213" s="78"/>
      <c r="AV213" s="78"/>
      <c r="AW213" s="78"/>
      <c r="AX213" s="78">
        <v>200.5934</v>
      </c>
      <c r="AY213" s="78">
        <v>126.6144</v>
      </c>
      <c r="AZ213" s="78">
        <v>136.47989999999999</v>
      </c>
      <c r="BA213" s="78">
        <v>312.03320000000002</v>
      </c>
      <c r="BB213" s="78"/>
      <c r="BC213" s="78"/>
      <c r="BD213" s="78"/>
      <c r="BE213" s="78"/>
      <c r="BF213" s="78"/>
      <c r="BG213" s="78"/>
      <c r="BH213" s="78"/>
      <c r="BI213" s="78"/>
      <c r="BJ213" s="78"/>
      <c r="BK213" s="78"/>
      <c r="BL213" s="78"/>
      <c r="BM213" s="78"/>
      <c r="BN213" s="78"/>
      <c r="BO213" s="78"/>
      <c r="BP213" s="78"/>
      <c r="BQ213" s="78"/>
      <c r="BR213" s="78"/>
      <c r="BS213" s="78"/>
      <c r="BT213" s="78"/>
      <c r="BU213" s="78"/>
      <c r="BV213" s="78"/>
      <c r="BW213" s="78"/>
      <c r="BX213" s="78"/>
      <c r="BY213" s="78"/>
      <c r="BZ213" s="78"/>
      <c r="CA213" s="78"/>
      <c r="CB213" s="78">
        <v>265.19</v>
      </c>
      <c r="CC213" s="231">
        <f t="shared" si="583"/>
        <v>21600</v>
      </c>
    </row>
    <row r="214" spans="2:81" s="3" customFormat="1" ht="15.75" thickBot="1" x14ac:dyDescent="0.3">
      <c r="B214" s="158">
        <v>21650</v>
      </c>
      <c r="C214" s="144">
        <f t="shared" si="434"/>
        <v>1908.1572999999999</v>
      </c>
      <c r="D214" s="144">
        <f t="shared" si="534"/>
        <v>528.13059999999996</v>
      </c>
      <c r="E214" s="144">
        <f t="shared" si="526"/>
        <v>0</v>
      </c>
      <c r="F214" s="144">
        <f t="shared" si="436"/>
        <v>0</v>
      </c>
      <c r="G214" s="144">
        <f t="shared" si="469"/>
        <v>0</v>
      </c>
      <c r="H214" s="144">
        <f t="shared" si="470"/>
        <v>0</v>
      </c>
      <c r="I214" s="144">
        <f t="shared" si="471"/>
        <v>0</v>
      </c>
      <c r="J214" s="159">
        <f t="shared" si="472"/>
        <v>0</v>
      </c>
      <c r="K214" s="160">
        <f t="shared" si="580"/>
        <v>245.89</v>
      </c>
      <c r="L214" s="152">
        <f t="shared" si="543"/>
        <v>3961</v>
      </c>
      <c r="M214" s="144">
        <f t="shared" si="544"/>
        <v>1208</v>
      </c>
      <c r="N214" s="144"/>
      <c r="O214" s="144">
        <f t="shared" si="563"/>
        <v>0</v>
      </c>
      <c r="P214" s="144">
        <f t="shared" si="546"/>
        <v>0</v>
      </c>
      <c r="Q214" s="144">
        <f t="shared" si="547"/>
        <v>0</v>
      </c>
      <c r="R214" s="144">
        <f t="shared" si="548"/>
        <v>0</v>
      </c>
      <c r="S214" s="144">
        <f t="shared" si="549"/>
        <v>0</v>
      </c>
      <c r="T214" s="144">
        <f t="shared" si="564"/>
        <v>1420</v>
      </c>
      <c r="V214" s="150">
        <f>L213+L214</f>
        <v>8430</v>
      </c>
      <c r="W214" s="150">
        <f t="shared" ref="W214" si="614">M213+M214</f>
        <v>1927</v>
      </c>
      <c r="X214" s="150"/>
      <c r="Y214" s="150">
        <f t="shared" ref="Y214" si="615">O213+O214</f>
        <v>0</v>
      </c>
      <c r="Z214" s="150">
        <f t="shared" ref="Z214" si="616">P213+P214</f>
        <v>0</v>
      </c>
      <c r="AA214" s="150">
        <f t="shared" ref="AA214" si="617">Q213+Q214</f>
        <v>0</v>
      </c>
      <c r="AB214" s="150">
        <f t="shared" ref="AB214" si="618">R213+R214</f>
        <v>0</v>
      </c>
      <c r="AC214" s="150">
        <f t="shared" ref="AC214" si="619">S213+S214</f>
        <v>0</v>
      </c>
      <c r="AD214" s="150">
        <f t="shared" ref="AD214" si="620">T213+T214</f>
        <v>2704</v>
      </c>
      <c r="AF214" s="158">
        <f t="shared" si="445"/>
        <v>21650</v>
      </c>
      <c r="AG214" s="149">
        <v>1243.3634999999999</v>
      </c>
      <c r="AH214" s="149">
        <v>304.71359999999999</v>
      </c>
      <c r="AI214" s="149">
        <v>360.08019999999999</v>
      </c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>
        <v>528.13059999999996</v>
      </c>
      <c r="AY214" s="149"/>
      <c r="AZ214" s="149"/>
      <c r="BA214" s="149"/>
      <c r="BB214" s="149"/>
      <c r="BC214" s="149"/>
      <c r="BD214" s="149"/>
      <c r="BE214" s="149"/>
      <c r="BF214" s="149"/>
      <c r="BG214" s="149"/>
      <c r="BH214" s="149"/>
      <c r="BI214" s="149"/>
      <c r="BJ214" s="149"/>
      <c r="BK214" s="149"/>
      <c r="BL214" s="149"/>
      <c r="BM214" s="149"/>
      <c r="BN214" s="149"/>
      <c r="BO214" s="149"/>
      <c r="BP214" s="149"/>
      <c r="BQ214" s="149"/>
      <c r="BR214" s="149"/>
      <c r="BS214" s="149"/>
      <c r="BT214" s="149"/>
      <c r="BU214" s="149"/>
      <c r="BV214" s="149"/>
      <c r="BW214" s="149"/>
      <c r="BX214" s="149"/>
      <c r="BY214" s="149"/>
      <c r="BZ214" s="149"/>
      <c r="CA214" s="149"/>
      <c r="CB214" s="149">
        <v>245.89</v>
      </c>
      <c r="CC214" s="231">
        <f t="shared" si="583"/>
        <v>21650</v>
      </c>
    </row>
    <row r="215" spans="2:81" x14ac:dyDescent="0.25">
      <c r="B215" s="155">
        <v>21700</v>
      </c>
      <c r="C215" s="147">
        <f t="shared" si="434"/>
        <v>1497.5951</v>
      </c>
      <c r="D215" s="147">
        <f t="shared" si="534"/>
        <v>1770.3076000000001</v>
      </c>
      <c r="E215" s="147">
        <f t="shared" si="526"/>
        <v>0</v>
      </c>
      <c r="F215" s="147">
        <f t="shared" si="436"/>
        <v>0</v>
      </c>
      <c r="G215" s="147">
        <f t="shared" si="469"/>
        <v>0</v>
      </c>
      <c r="H215" s="147">
        <f t="shared" si="470"/>
        <v>0</v>
      </c>
      <c r="I215" s="147">
        <f t="shared" si="471"/>
        <v>0</v>
      </c>
      <c r="J215" s="156">
        <f t="shared" si="472"/>
        <v>0</v>
      </c>
      <c r="K215" s="157">
        <f t="shared" si="580"/>
        <v>279.33999999999997</v>
      </c>
      <c r="L215" s="151">
        <f t="shared" si="543"/>
        <v>3154</v>
      </c>
      <c r="M215" s="147">
        <f t="shared" si="544"/>
        <v>2129</v>
      </c>
      <c r="N215" s="147"/>
      <c r="O215" s="147">
        <f t="shared" si="563"/>
        <v>0</v>
      </c>
      <c r="P215" s="147">
        <f t="shared" si="546"/>
        <v>0</v>
      </c>
      <c r="Q215" s="147">
        <f t="shared" si="547"/>
        <v>0</v>
      </c>
      <c r="R215" s="147">
        <f t="shared" si="548"/>
        <v>0</v>
      </c>
      <c r="S215" s="147">
        <f t="shared" si="549"/>
        <v>0</v>
      </c>
      <c r="T215" s="147">
        <f t="shared" si="564"/>
        <v>1459</v>
      </c>
      <c r="V215" s="146"/>
      <c r="W215" s="147"/>
      <c r="X215" s="147"/>
      <c r="Y215" s="147"/>
      <c r="Z215" s="147"/>
      <c r="AA215" s="147"/>
      <c r="AB215" s="147"/>
      <c r="AC215" s="147"/>
      <c r="AD215" s="148"/>
      <c r="AF215" s="155">
        <f t="shared" si="445"/>
        <v>21700</v>
      </c>
      <c r="AG215" s="78">
        <v>831.89620000000002</v>
      </c>
      <c r="AH215" s="78">
        <v>32.605499999999999</v>
      </c>
      <c r="AI215" s="78">
        <v>121.73180000000001</v>
      </c>
      <c r="AJ215" s="78">
        <v>199.173</v>
      </c>
      <c r="AK215" s="78">
        <v>127.5288</v>
      </c>
      <c r="AL215" s="78">
        <v>184.65979999999999</v>
      </c>
      <c r="AM215" s="78"/>
      <c r="AN215" s="78"/>
      <c r="AO215" s="78"/>
      <c r="AP215" s="78"/>
      <c r="AQ215" s="78"/>
      <c r="AR215" s="78"/>
      <c r="AS215" s="78"/>
      <c r="AT215" s="78"/>
      <c r="AU215" s="78"/>
      <c r="AV215" s="78"/>
      <c r="AW215" s="78"/>
      <c r="AX215" s="78">
        <v>32.605499999999999</v>
      </c>
      <c r="AY215" s="78">
        <v>121.73180000000001</v>
      </c>
      <c r="AZ215" s="78">
        <v>199.173</v>
      </c>
      <c r="BA215" s="78">
        <v>127.5288</v>
      </c>
      <c r="BB215" s="78">
        <v>184.65979999999999</v>
      </c>
      <c r="BC215" s="78">
        <v>1104.6087</v>
      </c>
      <c r="BD215" s="78"/>
      <c r="BE215" s="78"/>
      <c r="BF215" s="78"/>
      <c r="BG215" s="78"/>
      <c r="BH215" s="78"/>
      <c r="BI215" s="78"/>
      <c r="BJ215" s="78"/>
      <c r="BK215" s="78"/>
      <c r="BL215" s="78"/>
      <c r="BM215" s="78"/>
      <c r="BN215" s="78"/>
      <c r="BO215" s="78"/>
      <c r="BP215" s="78"/>
      <c r="BQ215" s="78"/>
      <c r="BR215" s="78"/>
      <c r="BS215" s="78"/>
      <c r="BT215" s="78"/>
      <c r="BU215" s="78"/>
      <c r="BV215" s="78"/>
      <c r="BW215" s="78"/>
      <c r="BX215" s="78"/>
      <c r="BY215" s="78"/>
      <c r="BZ215" s="78"/>
      <c r="CA215" s="78"/>
      <c r="CB215" s="78">
        <v>279.33999999999997</v>
      </c>
      <c r="CC215" s="231">
        <f t="shared" si="583"/>
        <v>21700</v>
      </c>
    </row>
    <row r="216" spans="2:81" s="3" customFormat="1" ht="15.75" thickBot="1" x14ac:dyDescent="0.3">
      <c r="B216" s="158">
        <v>21750</v>
      </c>
      <c r="C216" s="144">
        <f>AG216+AH216+AI216+AJ216+AK216+AL216+AM216+AN216+AO216+AP216</f>
        <v>1327.1531</v>
      </c>
      <c r="D216" s="144">
        <f>AX216+AY216+AZ216+BA216+BB216+BC216+BD216+BE216+BF216+BG216</f>
        <v>2753.7352999999998</v>
      </c>
      <c r="E216" s="144">
        <f t="shared" si="526"/>
        <v>0</v>
      </c>
      <c r="F216" s="144">
        <f t="shared" si="436"/>
        <v>0</v>
      </c>
      <c r="G216" s="144">
        <f t="shared" si="469"/>
        <v>0</v>
      </c>
      <c r="H216" s="144">
        <f t="shared" si="470"/>
        <v>0</v>
      </c>
      <c r="I216" s="144">
        <f t="shared" si="471"/>
        <v>0</v>
      </c>
      <c r="J216" s="159">
        <f t="shared" si="472"/>
        <v>0</v>
      </c>
      <c r="K216" s="160">
        <f t="shared" si="580"/>
        <v>298.89</v>
      </c>
      <c r="L216" s="152">
        <f t="shared" si="543"/>
        <v>2616</v>
      </c>
      <c r="M216" s="144">
        <f t="shared" si="544"/>
        <v>4189</v>
      </c>
      <c r="N216" s="144"/>
      <c r="O216" s="144">
        <f t="shared" si="563"/>
        <v>0</v>
      </c>
      <c r="P216" s="144">
        <f t="shared" si="546"/>
        <v>0</v>
      </c>
      <c r="Q216" s="144">
        <f t="shared" si="547"/>
        <v>0</v>
      </c>
      <c r="R216" s="144">
        <f t="shared" si="548"/>
        <v>0</v>
      </c>
      <c r="S216" s="144">
        <f t="shared" si="549"/>
        <v>0</v>
      </c>
      <c r="T216" s="144">
        <f t="shared" si="564"/>
        <v>1607</v>
      </c>
      <c r="V216" s="150">
        <f>L215+L216</f>
        <v>5770</v>
      </c>
      <c r="W216" s="150">
        <f t="shared" ref="W216" si="621">M215+M216</f>
        <v>6318</v>
      </c>
      <c r="X216" s="150"/>
      <c r="Y216" s="150">
        <f t="shared" ref="Y216" si="622">O215+O216</f>
        <v>0</v>
      </c>
      <c r="Z216" s="150">
        <f t="shared" ref="Z216" si="623">P215+P216</f>
        <v>0</v>
      </c>
      <c r="AA216" s="150">
        <f t="shared" ref="AA216" si="624">Q215+Q216</f>
        <v>0</v>
      </c>
      <c r="AB216" s="150">
        <f t="shared" ref="AB216" si="625">R215+R216</f>
        <v>0</v>
      </c>
      <c r="AC216" s="150">
        <f t="shared" ref="AC216" si="626">S215+S216</f>
        <v>0</v>
      </c>
      <c r="AD216" s="150">
        <f t="shared" ref="AD216" si="627">T215+T216</f>
        <v>3066</v>
      </c>
      <c r="AF216" s="158">
        <f t="shared" si="445"/>
        <v>21750</v>
      </c>
      <c r="AG216" s="149">
        <v>457.36009999999999</v>
      </c>
      <c r="AH216" s="149">
        <v>31.504799999999999</v>
      </c>
      <c r="AI216" s="149">
        <v>191.2251</v>
      </c>
      <c r="AJ216" s="149">
        <v>221.09950000000001</v>
      </c>
      <c r="AK216" s="149">
        <v>115.3339</v>
      </c>
      <c r="AL216" s="149">
        <v>153.20859999999999</v>
      </c>
      <c r="AM216" s="149">
        <v>157.4211</v>
      </c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>
        <v>31.504799999999999</v>
      </c>
      <c r="AY216" s="149">
        <v>191.2251</v>
      </c>
      <c r="AZ216" s="149">
        <v>221.09950000000001</v>
      </c>
      <c r="BA216" s="149">
        <v>115.3339</v>
      </c>
      <c r="BB216" s="149">
        <v>153.20859999999999</v>
      </c>
      <c r="BC216" s="149">
        <v>157.4211</v>
      </c>
      <c r="BD216" s="149">
        <v>1883.9422999999999</v>
      </c>
      <c r="BE216" s="149"/>
      <c r="BF216" s="149"/>
      <c r="BG216" s="149"/>
      <c r="BH216" s="149"/>
      <c r="BI216" s="149"/>
      <c r="BJ216" s="149"/>
      <c r="BK216" s="149"/>
      <c r="BL216" s="149"/>
      <c r="BM216" s="149"/>
      <c r="BN216" s="149"/>
      <c r="BO216" s="149"/>
      <c r="BP216" s="149"/>
      <c r="BQ216" s="149"/>
      <c r="BR216" s="149"/>
      <c r="BS216" s="149"/>
      <c r="BT216" s="149"/>
      <c r="BU216" s="149"/>
      <c r="BV216" s="149"/>
      <c r="BW216" s="149"/>
      <c r="BX216" s="149"/>
      <c r="BY216" s="149"/>
      <c r="BZ216" s="149"/>
      <c r="CA216" s="149"/>
      <c r="CB216" s="149">
        <v>298.89</v>
      </c>
      <c r="CC216" s="231">
        <f t="shared" si="583"/>
        <v>21750</v>
      </c>
    </row>
    <row r="217" spans="2:81" x14ac:dyDescent="0.25">
      <c r="B217" s="155">
        <v>21800</v>
      </c>
      <c r="C217" s="147">
        <f t="shared" ref="C217:C280" si="628">AG217+AH217+AI217+AJ217+AK217+AL217+AM217+AN217+AO217+AP217</f>
        <v>1352.7851000000001</v>
      </c>
      <c r="D217" s="147">
        <f t="shared" ref="D217:D280" si="629">AX217+AY217+AZ217+BA217+BB217+BC217+BD217+BE217+BF217+BG217</f>
        <v>3527.3557000000001</v>
      </c>
      <c r="E217" s="147">
        <f t="shared" si="526"/>
        <v>0</v>
      </c>
      <c r="F217" s="147">
        <f t="shared" si="436"/>
        <v>0</v>
      </c>
      <c r="G217" s="147">
        <f t="shared" si="469"/>
        <v>0</v>
      </c>
      <c r="H217" s="147">
        <f t="shared" si="470"/>
        <v>0</v>
      </c>
      <c r="I217" s="147">
        <f t="shared" si="471"/>
        <v>0</v>
      </c>
      <c r="J217" s="156">
        <f t="shared" si="472"/>
        <v>0</v>
      </c>
      <c r="K217" s="157">
        <f t="shared" si="580"/>
        <v>302.31</v>
      </c>
      <c r="L217" s="151">
        <f t="shared" si="543"/>
        <v>2482</v>
      </c>
      <c r="M217" s="147">
        <f t="shared" si="544"/>
        <v>5816</v>
      </c>
      <c r="N217" s="147"/>
      <c r="O217" s="147">
        <f t="shared" si="563"/>
        <v>0</v>
      </c>
      <c r="P217" s="147">
        <f t="shared" si="546"/>
        <v>0</v>
      </c>
      <c r="Q217" s="147">
        <f t="shared" si="547"/>
        <v>0</v>
      </c>
      <c r="R217" s="147">
        <f t="shared" si="548"/>
        <v>0</v>
      </c>
      <c r="S217" s="147">
        <f t="shared" si="549"/>
        <v>0</v>
      </c>
      <c r="T217" s="147">
        <f t="shared" si="564"/>
        <v>1670</v>
      </c>
      <c r="V217" s="146"/>
      <c r="W217" s="147"/>
      <c r="X217" s="147"/>
      <c r="Y217" s="147"/>
      <c r="Z217" s="147"/>
      <c r="AA217" s="147"/>
      <c r="AB217" s="147"/>
      <c r="AC217" s="147"/>
      <c r="AD217" s="148"/>
      <c r="AF217" s="155">
        <f t="shared" si="445"/>
        <v>21800</v>
      </c>
      <c r="AG217" s="78">
        <v>356.44600000000003</v>
      </c>
      <c r="AH217" s="185">
        <v>79.8001</v>
      </c>
      <c r="AI217" s="185">
        <v>114.4802</v>
      </c>
      <c r="AJ217" s="185">
        <v>205.02449999999999</v>
      </c>
      <c r="AK217" s="185">
        <v>154.68219999999999</v>
      </c>
      <c r="AL217" s="185">
        <v>148.08009999999999</v>
      </c>
      <c r="AM217" s="185">
        <v>121.2732</v>
      </c>
      <c r="AN217" s="185">
        <v>172.99879999999999</v>
      </c>
      <c r="AO217" s="78"/>
      <c r="AP217" s="78"/>
      <c r="AQ217" s="78"/>
      <c r="AR217" s="78"/>
      <c r="AS217" s="78"/>
      <c r="AT217" s="78"/>
      <c r="AU217" s="78"/>
      <c r="AV217" s="78"/>
      <c r="AW217" s="78"/>
      <c r="AX217" s="185">
        <v>79.8001</v>
      </c>
      <c r="AY217" s="185">
        <v>114.4802</v>
      </c>
      <c r="AZ217" s="185">
        <v>205.02449999999999</v>
      </c>
      <c r="BA217" s="185">
        <v>154.68219999999999</v>
      </c>
      <c r="BB217" s="185">
        <v>148.08009999999999</v>
      </c>
      <c r="BC217" s="185">
        <v>121.2732</v>
      </c>
      <c r="BD217" s="185">
        <v>172.99879999999999</v>
      </c>
      <c r="BE217" s="78">
        <v>2531.0165999999999</v>
      </c>
      <c r="BF217" s="78"/>
      <c r="BG217" s="78"/>
      <c r="BH217" s="78"/>
      <c r="BI217" s="78"/>
      <c r="BJ217" s="78"/>
      <c r="BK217" s="78"/>
      <c r="BL217" s="78"/>
      <c r="BM217" s="78"/>
      <c r="BN217" s="78"/>
      <c r="BO217" s="78"/>
      <c r="BP217" s="78"/>
      <c r="BQ217" s="78"/>
      <c r="BR217" s="78"/>
      <c r="BS217" s="78"/>
      <c r="BT217" s="78"/>
      <c r="BU217" s="78"/>
      <c r="BV217" s="78"/>
      <c r="BW217" s="78"/>
      <c r="BX217" s="78"/>
      <c r="BY217" s="78"/>
      <c r="BZ217" s="78"/>
      <c r="CA217" s="78"/>
      <c r="CB217" s="78">
        <v>302.31</v>
      </c>
      <c r="CC217" s="231">
        <f t="shared" si="583"/>
        <v>21800</v>
      </c>
    </row>
    <row r="218" spans="2:81" s="3" customFormat="1" ht="15.75" thickBot="1" x14ac:dyDescent="0.3">
      <c r="B218" s="158">
        <v>21850</v>
      </c>
      <c r="C218" s="144">
        <f t="shared" si="628"/>
        <v>1076.6122</v>
      </c>
      <c r="D218" s="144">
        <f t="shared" si="629"/>
        <v>4231.5646999999999</v>
      </c>
      <c r="E218" s="144">
        <f t="shared" si="526"/>
        <v>0</v>
      </c>
      <c r="F218" s="144">
        <f t="shared" ref="F218:F281" si="630">BK218+BL218+BM218</f>
        <v>0</v>
      </c>
      <c r="G218" s="144">
        <f t="shared" si="469"/>
        <v>0</v>
      </c>
      <c r="H218" s="144">
        <f t="shared" si="470"/>
        <v>0</v>
      </c>
      <c r="I218" s="144">
        <f t="shared" si="471"/>
        <v>0</v>
      </c>
      <c r="J218" s="159">
        <f t="shared" si="472"/>
        <v>0</v>
      </c>
      <c r="K218" s="160">
        <f t="shared" si="580"/>
        <v>296.14999999999998</v>
      </c>
      <c r="L218" s="152">
        <f t="shared" si="543"/>
        <v>2250</v>
      </c>
      <c r="M218" s="144">
        <f t="shared" si="544"/>
        <v>7185</v>
      </c>
      <c r="N218" s="144"/>
      <c r="O218" s="144">
        <f t="shared" si="563"/>
        <v>0</v>
      </c>
      <c r="P218" s="144">
        <f t="shared" si="546"/>
        <v>0</v>
      </c>
      <c r="Q218" s="144">
        <f t="shared" si="547"/>
        <v>0</v>
      </c>
      <c r="R218" s="144">
        <f t="shared" si="548"/>
        <v>0</v>
      </c>
      <c r="S218" s="144">
        <f t="shared" si="549"/>
        <v>0</v>
      </c>
      <c r="T218" s="144">
        <f t="shared" si="564"/>
        <v>1663</v>
      </c>
      <c r="V218" s="150">
        <f>L217+L218</f>
        <v>4732</v>
      </c>
      <c r="W218" s="150">
        <f t="shared" ref="W218" si="631">M217+M218</f>
        <v>13001</v>
      </c>
      <c r="X218" s="150"/>
      <c r="Y218" s="150">
        <f t="shared" ref="Y218" si="632">O217+O218</f>
        <v>0</v>
      </c>
      <c r="Z218" s="150">
        <f t="shared" ref="Z218" si="633">P217+P218</f>
        <v>0</v>
      </c>
      <c r="AA218" s="150">
        <f t="shared" ref="AA218" si="634">Q217+Q218</f>
        <v>0</v>
      </c>
      <c r="AB218" s="150">
        <f t="shared" ref="AB218" si="635">R217+R218</f>
        <v>0</v>
      </c>
      <c r="AC218" s="150">
        <f t="shared" ref="AC218" si="636">S217+S218</f>
        <v>0</v>
      </c>
      <c r="AD218" s="150">
        <f t="shared" ref="AD218" si="637">T217+T218</f>
        <v>3333</v>
      </c>
      <c r="AF218" s="158">
        <f t="shared" si="445"/>
        <v>21850</v>
      </c>
      <c r="AG218" s="149">
        <v>126.08369999999999</v>
      </c>
      <c r="AH218" s="186">
        <v>108.3644</v>
      </c>
      <c r="AI218" s="186">
        <v>143.9795</v>
      </c>
      <c r="AJ218" s="186">
        <v>115.91849999999999</v>
      </c>
      <c r="AK218" s="186">
        <v>114.75709999999999</v>
      </c>
      <c r="AL218" s="186">
        <v>128.77940000000001</v>
      </c>
      <c r="AM218" s="186">
        <v>136.7055</v>
      </c>
      <c r="AN218" s="186">
        <v>202.0241</v>
      </c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86">
        <v>108.3644</v>
      </c>
      <c r="AY218" s="186">
        <v>143.9795</v>
      </c>
      <c r="AZ218" s="186">
        <v>115.91849999999999</v>
      </c>
      <c r="BA218" s="186">
        <v>114.75709999999999</v>
      </c>
      <c r="BB218" s="186">
        <v>128.77940000000001</v>
      </c>
      <c r="BC218" s="186">
        <v>136.7055</v>
      </c>
      <c r="BD218" s="186">
        <v>202.0241</v>
      </c>
      <c r="BE218" s="149">
        <v>3281.0362</v>
      </c>
      <c r="BF218" s="149"/>
      <c r="BG218" s="149"/>
      <c r="BH218" s="149"/>
      <c r="BI218" s="149"/>
      <c r="BJ218" s="149"/>
      <c r="BK218" s="149"/>
      <c r="BL218" s="149"/>
      <c r="BM218" s="149"/>
      <c r="BN218" s="149"/>
      <c r="BO218" s="149"/>
      <c r="BP218" s="149"/>
      <c r="BQ218" s="149"/>
      <c r="BR218" s="149"/>
      <c r="BS218" s="149"/>
      <c r="BT218" s="149"/>
      <c r="BU218" s="149"/>
      <c r="BV218" s="149"/>
      <c r="BW218" s="149"/>
      <c r="BX218" s="149"/>
      <c r="BY218" s="149"/>
      <c r="BZ218" s="149"/>
      <c r="CA218" s="149"/>
      <c r="CB218" s="149">
        <v>296.14999999999998</v>
      </c>
      <c r="CC218" s="231">
        <f t="shared" si="583"/>
        <v>21850</v>
      </c>
    </row>
    <row r="219" spans="2:81" x14ac:dyDescent="0.25">
      <c r="B219" s="155">
        <v>21900</v>
      </c>
      <c r="C219" s="147">
        <f t="shared" si="628"/>
        <v>1096.7424000000001</v>
      </c>
      <c r="D219" s="147">
        <f t="shared" si="629"/>
        <v>4896.8353999999999</v>
      </c>
      <c r="E219" s="147">
        <f t="shared" si="526"/>
        <v>0</v>
      </c>
      <c r="F219" s="147">
        <f t="shared" si="630"/>
        <v>0</v>
      </c>
      <c r="G219" s="147">
        <f t="shared" si="469"/>
        <v>0</v>
      </c>
      <c r="H219" s="147">
        <f t="shared" si="470"/>
        <v>0</v>
      </c>
      <c r="I219" s="147">
        <f t="shared" si="471"/>
        <v>0</v>
      </c>
      <c r="J219" s="156">
        <f t="shared" si="472"/>
        <v>0</v>
      </c>
      <c r="K219" s="157">
        <f t="shared" si="580"/>
        <v>284.49</v>
      </c>
      <c r="L219" s="151">
        <f t="shared" si="543"/>
        <v>2013</v>
      </c>
      <c r="M219" s="147">
        <f t="shared" si="544"/>
        <v>8453</v>
      </c>
      <c r="N219" s="147"/>
      <c r="O219" s="147">
        <f t="shared" si="563"/>
        <v>0</v>
      </c>
      <c r="P219" s="147">
        <f t="shared" si="546"/>
        <v>0</v>
      </c>
      <c r="Q219" s="147">
        <f t="shared" si="547"/>
        <v>0</v>
      </c>
      <c r="R219" s="147">
        <f t="shared" si="548"/>
        <v>0</v>
      </c>
      <c r="S219" s="147">
        <f t="shared" si="549"/>
        <v>0</v>
      </c>
      <c r="T219" s="147">
        <f t="shared" si="564"/>
        <v>1613</v>
      </c>
      <c r="V219" s="146"/>
      <c r="W219" s="147"/>
      <c r="X219" s="147"/>
      <c r="Y219" s="147"/>
      <c r="Z219" s="147"/>
      <c r="AA219" s="147"/>
      <c r="AB219" s="147"/>
      <c r="AC219" s="147"/>
      <c r="AD219" s="148"/>
      <c r="AF219" s="155">
        <f t="shared" si="445"/>
        <v>21900</v>
      </c>
      <c r="AG219" s="78">
        <v>56.249099999999999</v>
      </c>
      <c r="AH219" s="185">
        <v>142.97460000000001</v>
      </c>
      <c r="AI219" s="185">
        <v>118.77970000000001</v>
      </c>
      <c r="AJ219" s="185">
        <v>121.7393</v>
      </c>
      <c r="AK219" s="185">
        <v>140.59800000000001</v>
      </c>
      <c r="AL219" s="185">
        <v>129.5215</v>
      </c>
      <c r="AM219" s="185">
        <v>131.62569999999999</v>
      </c>
      <c r="AN219" s="185">
        <v>255.25450000000001</v>
      </c>
      <c r="AO219" s="78"/>
      <c r="AP219" s="78"/>
      <c r="AQ219" s="78"/>
      <c r="AR219" s="78"/>
      <c r="AS219" s="78"/>
      <c r="AT219" s="78"/>
      <c r="AU219" s="78"/>
      <c r="AV219" s="78"/>
      <c r="AW219" s="78"/>
      <c r="AX219" s="185">
        <v>142.97460000000001</v>
      </c>
      <c r="AY219" s="185">
        <v>118.77970000000001</v>
      </c>
      <c r="AZ219" s="185">
        <v>121.7393</v>
      </c>
      <c r="BA219" s="185">
        <v>140.59800000000001</v>
      </c>
      <c r="BB219" s="185">
        <v>129.5215</v>
      </c>
      <c r="BC219" s="185">
        <v>131.62569999999999</v>
      </c>
      <c r="BD219" s="185">
        <v>255.25450000000001</v>
      </c>
      <c r="BE219" s="78">
        <v>3856.3420999999998</v>
      </c>
      <c r="BF219" s="78"/>
      <c r="BG219" s="78"/>
      <c r="BH219" s="78"/>
      <c r="BI219" s="78"/>
      <c r="BJ219" s="78"/>
      <c r="BK219" s="78"/>
      <c r="BL219" s="78"/>
      <c r="BM219" s="78"/>
      <c r="BN219" s="78"/>
      <c r="BO219" s="78"/>
      <c r="BP219" s="78"/>
      <c r="BQ219" s="78"/>
      <c r="BR219" s="78"/>
      <c r="BS219" s="78"/>
      <c r="BT219" s="78"/>
      <c r="BU219" s="78"/>
      <c r="BV219" s="78"/>
      <c r="BW219" s="78"/>
      <c r="BX219" s="78"/>
      <c r="BY219" s="78"/>
      <c r="BZ219" s="78"/>
      <c r="CA219" s="78"/>
      <c r="CB219" s="78">
        <v>284.49</v>
      </c>
      <c r="CC219" s="231">
        <f t="shared" si="583"/>
        <v>21900</v>
      </c>
    </row>
    <row r="220" spans="2:81" s="3" customFormat="1" ht="15.75" thickBot="1" x14ac:dyDescent="0.3">
      <c r="B220" s="158">
        <v>21950</v>
      </c>
      <c r="C220" s="144">
        <f t="shared" si="628"/>
        <v>1283.9103</v>
      </c>
      <c r="D220" s="144">
        <f t="shared" si="629"/>
        <v>6623.3218999999999</v>
      </c>
      <c r="E220" s="144">
        <f t="shared" si="526"/>
        <v>0</v>
      </c>
      <c r="F220" s="144">
        <f t="shared" si="630"/>
        <v>0</v>
      </c>
      <c r="G220" s="144">
        <f t="shared" si="469"/>
        <v>0</v>
      </c>
      <c r="H220" s="144">
        <f t="shared" si="470"/>
        <v>0</v>
      </c>
      <c r="I220" s="144">
        <f t="shared" si="471"/>
        <v>0</v>
      </c>
      <c r="J220" s="159">
        <f t="shared" si="472"/>
        <v>0</v>
      </c>
      <c r="K220" s="160">
        <f t="shared" si="580"/>
        <v>360.56</v>
      </c>
      <c r="L220" s="152">
        <f t="shared" si="543"/>
        <v>2205</v>
      </c>
      <c r="M220" s="144">
        <f t="shared" si="544"/>
        <v>10667</v>
      </c>
      <c r="N220" s="144"/>
      <c r="O220" s="144">
        <f t="shared" si="563"/>
        <v>0</v>
      </c>
      <c r="P220" s="144">
        <f t="shared" si="546"/>
        <v>0</v>
      </c>
      <c r="Q220" s="144">
        <f t="shared" si="547"/>
        <v>0</v>
      </c>
      <c r="R220" s="144">
        <f t="shared" si="548"/>
        <v>0</v>
      </c>
      <c r="S220" s="144">
        <f t="shared" si="549"/>
        <v>0</v>
      </c>
      <c r="T220" s="144">
        <f t="shared" si="564"/>
        <v>1792</v>
      </c>
      <c r="V220" s="150">
        <f>L219+L220</f>
        <v>4218</v>
      </c>
      <c r="W220" s="150">
        <f t="shared" ref="W220" si="638">M219+M220</f>
        <v>19120</v>
      </c>
      <c r="X220" s="150"/>
      <c r="Y220" s="150">
        <f t="shared" ref="Y220" si="639">O219+O220</f>
        <v>0</v>
      </c>
      <c r="Z220" s="150">
        <f t="shared" ref="Z220" si="640">P219+P220</f>
        <v>0</v>
      </c>
      <c r="AA220" s="150">
        <f t="shared" ref="AA220" si="641">Q219+Q220</f>
        <v>0</v>
      </c>
      <c r="AB220" s="150">
        <f t="shared" ref="AB220" si="642">R219+R220</f>
        <v>0</v>
      </c>
      <c r="AC220" s="150">
        <f t="shared" ref="AC220" si="643">S219+S220</f>
        <v>0</v>
      </c>
      <c r="AD220" s="150">
        <f t="shared" ref="AD220" si="644">T219+T220</f>
        <v>3405</v>
      </c>
      <c r="AF220" s="158">
        <f t="shared" ref="AF220:AF283" si="645">B220</f>
        <v>21950</v>
      </c>
      <c r="AG220" s="186">
        <v>66.893500000000003</v>
      </c>
      <c r="AH220" s="186">
        <v>152.7414</v>
      </c>
      <c r="AI220" s="186">
        <v>277.39940000000001</v>
      </c>
      <c r="AJ220" s="186">
        <v>155.78989999999999</v>
      </c>
      <c r="AK220" s="186">
        <v>111.7799</v>
      </c>
      <c r="AL220" s="186">
        <v>262.34539999999998</v>
      </c>
      <c r="AM220" s="149">
        <v>256.96080000000001</v>
      </c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86">
        <v>66.893500000000003</v>
      </c>
      <c r="AY220" s="186">
        <v>152.7414</v>
      </c>
      <c r="AZ220" s="186">
        <v>277.39940000000001</v>
      </c>
      <c r="BA220" s="186">
        <v>155.78989999999999</v>
      </c>
      <c r="BB220" s="186">
        <v>111.7799</v>
      </c>
      <c r="BC220" s="186">
        <v>262.34539999999998</v>
      </c>
      <c r="BD220" s="149">
        <v>5585.5145000000002</v>
      </c>
      <c r="BE220" s="149">
        <v>10.857900000000001</v>
      </c>
      <c r="BF220" s="149"/>
      <c r="BG220" s="149"/>
      <c r="BH220" s="149"/>
      <c r="BI220" s="149"/>
      <c r="BJ220" s="149"/>
      <c r="BK220" s="149"/>
      <c r="BL220" s="149"/>
      <c r="BM220" s="149"/>
      <c r="BN220" s="149"/>
      <c r="BO220" s="149"/>
      <c r="BP220" s="149"/>
      <c r="BQ220" s="149"/>
      <c r="BR220" s="149"/>
      <c r="BS220" s="149"/>
      <c r="BT220" s="149"/>
      <c r="BU220" s="149"/>
      <c r="BV220" s="149"/>
      <c r="BW220" s="149"/>
      <c r="BX220" s="149"/>
      <c r="BY220" s="149"/>
      <c r="BZ220" s="149"/>
      <c r="CA220" s="149"/>
      <c r="CB220" s="149">
        <v>360.56</v>
      </c>
      <c r="CC220" s="231">
        <f t="shared" si="583"/>
        <v>21950</v>
      </c>
    </row>
    <row r="221" spans="2:81" x14ac:dyDescent="0.25">
      <c r="B221" s="155">
        <v>22000</v>
      </c>
      <c r="C221" s="147">
        <f t="shared" si="628"/>
        <v>1002.6713</v>
      </c>
      <c r="D221" s="147">
        <f>AX221+AY221+AZ221+BA221+BB221+BC221+BD221+BE221+BF221+BG221</f>
        <v>6664.9606000000003</v>
      </c>
      <c r="E221" s="147">
        <f t="shared" si="526"/>
        <v>0</v>
      </c>
      <c r="F221" s="147">
        <f t="shared" si="630"/>
        <v>0</v>
      </c>
      <c r="G221" s="147">
        <f t="shared" si="469"/>
        <v>0</v>
      </c>
      <c r="H221" s="147">
        <f t="shared" si="470"/>
        <v>0</v>
      </c>
      <c r="I221" s="147">
        <f t="shared" si="471"/>
        <v>0</v>
      </c>
      <c r="J221" s="156">
        <f t="shared" si="472"/>
        <v>0</v>
      </c>
      <c r="K221" s="157">
        <f t="shared" si="580"/>
        <v>321.73</v>
      </c>
      <c r="L221" s="151">
        <f t="shared" si="543"/>
        <v>2118</v>
      </c>
      <c r="M221" s="147">
        <f t="shared" si="544"/>
        <v>12304</v>
      </c>
      <c r="N221" s="147"/>
      <c r="O221" s="147">
        <f t="shared" si="563"/>
        <v>0</v>
      </c>
      <c r="P221" s="147">
        <f t="shared" si="546"/>
        <v>0</v>
      </c>
      <c r="Q221" s="147">
        <f t="shared" si="547"/>
        <v>0</v>
      </c>
      <c r="R221" s="147">
        <f t="shared" si="548"/>
        <v>0</v>
      </c>
      <c r="S221" s="147">
        <f t="shared" si="549"/>
        <v>0</v>
      </c>
      <c r="T221" s="147">
        <f t="shared" si="564"/>
        <v>1896</v>
      </c>
      <c r="V221" s="146"/>
      <c r="W221" s="147"/>
      <c r="X221" s="147"/>
      <c r="Y221" s="147"/>
      <c r="Z221" s="147"/>
      <c r="AA221" s="147"/>
      <c r="AB221" s="147"/>
      <c r="AC221" s="147"/>
      <c r="AD221" s="148"/>
      <c r="AF221" s="155">
        <f t="shared" si="645"/>
        <v>22000</v>
      </c>
      <c r="AG221" s="185">
        <v>197.22919999999999</v>
      </c>
      <c r="AH221" s="185">
        <v>123.4362</v>
      </c>
      <c r="AI221" s="185">
        <v>87.286799999999999</v>
      </c>
      <c r="AJ221" s="185">
        <v>142.70400000000001</v>
      </c>
      <c r="AK221" s="185">
        <v>101.1065</v>
      </c>
      <c r="AL221" s="185">
        <v>99.3142</v>
      </c>
      <c r="AM221" s="185">
        <v>131.90110000000001</v>
      </c>
      <c r="AN221" s="78">
        <v>119.69329999999999</v>
      </c>
      <c r="AO221" s="78"/>
      <c r="AP221" s="78"/>
      <c r="AQ221" s="78"/>
      <c r="AR221" s="78"/>
      <c r="AS221" s="78"/>
      <c r="AT221" s="78"/>
      <c r="AU221" s="78"/>
      <c r="AV221" s="78"/>
      <c r="AW221" s="78"/>
      <c r="AX221" s="185">
        <v>197.22919999999999</v>
      </c>
      <c r="AY221" s="185">
        <v>123.4362</v>
      </c>
      <c r="AZ221" s="185">
        <v>87.286799999999999</v>
      </c>
      <c r="BA221" s="185">
        <v>142.70400000000001</v>
      </c>
      <c r="BB221" s="185">
        <v>101.1065</v>
      </c>
      <c r="BC221" s="185">
        <v>99.3142</v>
      </c>
      <c r="BD221" s="185">
        <v>131.90110000000001</v>
      </c>
      <c r="BE221" s="78">
        <v>5766.4672</v>
      </c>
      <c r="BF221" s="78">
        <v>15.5154</v>
      </c>
      <c r="BG221" s="78"/>
      <c r="BH221" s="78"/>
      <c r="BI221" s="78"/>
      <c r="BJ221" s="78"/>
      <c r="BK221" s="78"/>
      <c r="BL221" s="78"/>
      <c r="BM221" s="78"/>
      <c r="BN221" s="78"/>
      <c r="BO221" s="78"/>
      <c r="BP221" s="78"/>
      <c r="BQ221" s="78"/>
      <c r="BR221" s="78"/>
      <c r="BS221" s="78"/>
      <c r="BT221" s="78"/>
      <c r="BU221" s="78"/>
      <c r="BV221" s="78"/>
      <c r="BW221" s="78"/>
      <c r="BX221" s="78"/>
      <c r="BY221" s="78"/>
      <c r="BZ221" s="78"/>
      <c r="CA221" s="78"/>
      <c r="CB221" s="78">
        <v>321.73</v>
      </c>
      <c r="CC221" s="231">
        <f t="shared" si="583"/>
        <v>22000</v>
      </c>
    </row>
    <row r="222" spans="2:81" s="3" customFormat="1" ht="15.75" thickBot="1" x14ac:dyDescent="0.3">
      <c r="B222" s="158">
        <v>22050</v>
      </c>
      <c r="C222" s="144">
        <f t="shared" si="628"/>
        <v>879.31309999999996</v>
      </c>
      <c r="D222" s="144">
        <f t="shared" si="629"/>
        <v>6608.2327000000005</v>
      </c>
      <c r="E222" s="144">
        <f t="shared" si="526"/>
        <v>0</v>
      </c>
      <c r="F222" s="144">
        <f t="shared" si="630"/>
        <v>0</v>
      </c>
      <c r="G222" s="144">
        <f t="shared" si="469"/>
        <v>0</v>
      </c>
      <c r="H222" s="144">
        <f t="shared" si="470"/>
        <v>0</v>
      </c>
      <c r="I222" s="144">
        <f t="shared" si="471"/>
        <v>0</v>
      </c>
      <c r="J222" s="159">
        <f t="shared" si="472"/>
        <v>0</v>
      </c>
      <c r="K222" s="160">
        <f t="shared" si="580"/>
        <v>300.97000000000003</v>
      </c>
      <c r="L222" s="152">
        <f t="shared" si="543"/>
        <v>1743</v>
      </c>
      <c r="M222" s="144">
        <f t="shared" si="544"/>
        <v>12290</v>
      </c>
      <c r="N222" s="144"/>
      <c r="O222" s="144">
        <f t="shared" si="563"/>
        <v>0</v>
      </c>
      <c r="P222" s="144">
        <f t="shared" si="546"/>
        <v>0</v>
      </c>
      <c r="Q222" s="144">
        <f t="shared" si="547"/>
        <v>0</v>
      </c>
      <c r="R222" s="144">
        <f t="shared" si="548"/>
        <v>0</v>
      </c>
      <c r="S222" s="144">
        <f t="shared" si="549"/>
        <v>0</v>
      </c>
      <c r="T222" s="144">
        <f t="shared" si="564"/>
        <v>1730</v>
      </c>
      <c r="V222" s="150">
        <f>L221+L222</f>
        <v>3861</v>
      </c>
      <c r="W222" s="150">
        <f t="shared" ref="W222" si="646">M221+M222</f>
        <v>24594</v>
      </c>
      <c r="X222" s="150"/>
      <c r="Y222" s="150">
        <f t="shared" ref="Y222" si="647">O221+O222</f>
        <v>0</v>
      </c>
      <c r="Z222" s="150">
        <f t="shared" ref="Z222" si="648">P221+P222</f>
        <v>0</v>
      </c>
      <c r="AA222" s="150">
        <f t="shared" ref="AA222" si="649">Q221+Q222</f>
        <v>0</v>
      </c>
      <c r="AB222" s="150">
        <f t="shared" ref="AB222" si="650">R221+R222</f>
        <v>0</v>
      </c>
      <c r="AC222" s="150">
        <f t="shared" ref="AC222" si="651">S221+S222</f>
        <v>0</v>
      </c>
      <c r="AD222" s="150">
        <f t="shared" ref="AD222" si="652">T221+T222</f>
        <v>3626</v>
      </c>
      <c r="AF222" s="158">
        <f t="shared" si="645"/>
        <v>22050</v>
      </c>
      <c r="AG222" s="149">
        <v>2.4792999999999998</v>
      </c>
      <c r="AH222" s="186">
        <v>93.0745</v>
      </c>
      <c r="AI222" s="186">
        <v>111.94889999999999</v>
      </c>
      <c r="AJ222" s="186">
        <v>149.07839999999999</v>
      </c>
      <c r="AK222" s="186">
        <v>153.66849999999999</v>
      </c>
      <c r="AL222" s="186">
        <v>142.19409999999999</v>
      </c>
      <c r="AM222" s="186">
        <v>112.782</v>
      </c>
      <c r="AN222" s="186">
        <v>101.2987</v>
      </c>
      <c r="AO222" s="149">
        <v>12.7887</v>
      </c>
      <c r="AP222" s="149"/>
      <c r="AQ222" s="149"/>
      <c r="AR222" s="149"/>
      <c r="AS222" s="149"/>
      <c r="AT222" s="149"/>
      <c r="AU222" s="149"/>
      <c r="AV222" s="149"/>
      <c r="AW222" s="149"/>
      <c r="AX222" s="186">
        <v>93.0745</v>
      </c>
      <c r="AY222" s="186">
        <v>111.94889999999999</v>
      </c>
      <c r="AZ222" s="186">
        <v>149.07839999999999</v>
      </c>
      <c r="BA222" s="186">
        <v>153.66849999999999</v>
      </c>
      <c r="BB222" s="186">
        <v>142.19409999999999</v>
      </c>
      <c r="BC222" s="186">
        <v>112.782</v>
      </c>
      <c r="BD222" s="186">
        <v>101.2987</v>
      </c>
      <c r="BE222" s="149">
        <v>5744.1876000000002</v>
      </c>
      <c r="BF222" s="149"/>
      <c r="BG222" s="149"/>
      <c r="BH222" s="149"/>
      <c r="BI222" s="149"/>
      <c r="BJ222" s="149"/>
      <c r="BK222" s="149"/>
      <c r="BL222" s="149"/>
      <c r="BM222" s="149"/>
      <c r="BN222" s="149"/>
      <c r="BO222" s="149"/>
      <c r="BP222" s="149"/>
      <c r="BQ222" s="149"/>
      <c r="BR222" s="149"/>
      <c r="BS222" s="149"/>
      <c r="BT222" s="149"/>
      <c r="BU222" s="149"/>
      <c r="BV222" s="149"/>
      <c r="BW222" s="149"/>
      <c r="BX222" s="149"/>
      <c r="BY222" s="149"/>
      <c r="BZ222" s="149"/>
      <c r="CA222" s="149"/>
      <c r="CB222" s="149">
        <v>300.97000000000003</v>
      </c>
      <c r="CC222" s="231">
        <f t="shared" si="583"/>
        <v>22050</v>
      </c>
    </row>
    <row r="223" spans="2:81" x14ac:dyDescent="0.25">
      <c r="B223" s="155">
        <v>22100</v>
      </c>
      <c r="C223" s="147">
        <f t="shared" si="628"/>
        <v>916.6146</v>
      </c>
      <c r="D223" s="147">
        <f t="shared" si="629"/>
        <v>7145.0722999999998</v>
      </c>
      <c r="E223" s="147">
        <f t="shared" si="526"/>
        <v>0</v>
      </c>
      <c r="F223" s="147">
        <f t="shared" si="630"/>
        <v>0</v>
      </c>
      <c r="G223" s="147">
        <f t="shared" si="469"/>
        <v>0</v>
      </c>
      <c r="H223" s="147">
        <f t="shared" si="470"/>
        <v>0</v>
      </c>
      <c r="I223" s="147">
        <f t="shared" si="471"/>
        <v>0</v>
      </c>
      <c r="J223" s="156">
        <f t="shared" si="472"/>
        <v>0</v>
      </c>
      <c r="K223" s="157">
        <f t="shared" si="580"/>
        <v>299.87</v>
      </c>
      <c r="L223" s="151">
        <f t="shared" si="543"/>
        <v>1663</v>
      </c>
      <c r="M223" s="147">
        <f t="shared" si="544"/>
        <v>12735</v>
      </c>
      <c r="N223" s="147"/>
      <c r="O223" s="147">
        <f t="shared" si="563"/>
        <v>0</v>
      </c>
      <c r="P223" s="147">
        <f t="shared" si="546"/>
        <v>0</v>
      </c>
      <c r="Q223" s="147">
        <f t="shared" si="547"/>
        <v>0</v>
      </c>
      <c r="R223" s="147">
        <f t="shared" si="548"/>
        <v>0</v>
      </c>
      <c r="S223" s="147">
        <f t="shared" si="549"/>
        <v>0</v>
      </c>
      <c r="T223" s="147">
        <f t="shared" si="564"/>
        <v>1669</v>
      </c>
      <c r="V223" s="146"/>
      <c r="W223" s="147"/>
      <c r="X223" s="147"/>
      <c r="Y223" s="147"/>
      <c r="Z223" s="147"/>
      <c r="AA223" s="147"/>
      <c r="AB223" s="147"/>
      <c r="AC223" s="147"/>
      <c r="AD223" s="148"/>
      <c r="AF223" s="155">
        <f t="shared" si="645"/>
        <v>22100</v>
      </c>
      <c r="AG223" s="78">
        <v>9.0869999999999997</v>
      </c>
      <c r="AH223" s="185">
        <v>48.497599999999998</v>
      </c>
      <c r="AI223" s="185">
        <v>99.968199999999996</v>
      </c>
      <c r="AJ223" s="185">
        <v>78.126800000000003</v>
      </c>
      <c r="AK223" s="185">
        <v>135.58439999999999</v>
      </c>
      <c r="AL223" s="185">
        <v>185.69489999999999</v>
      </c>
      <c r="AM223" s="185">
        <v>79.159700000000001</v>
      </c>
      <c r="AN223" s="185">
        <v>88.736500000000007</v>
      </c>
      <c r="AO223" s="185">
        <v>183.6737</v>
      </c>
      <c r="AP223" s="78">
        <v>8.0858000000000008</v>
      </c>
      <c r="AQ223" s="78"/>
      <c r="AR223" s="78"/>
      <c r="AS223" s="78"/>
      <c r="AT223" s="78"/>
      <c r="AU223" s="78"/>
      <c r="AV223" s="78"/>
      <c r="AW223" s="78"/>
      <c r="AX223" s="185">
        <v>48.497599999999998</v>
      </c>
      <c r="AY223" s="185">
        <v>99.968199999999996</v>
      </c>
      <c r="AZ223" s="185">
        <v>78.126800000000003</v>
      </c>
      <c r="BA223" s="185">
        <v>135.58439999999999</v>
      </c>
      <c r="BB223" s="185">
        <v>185.69489999999999</v>
      </c>
      <c r="BC223" s="185">
        <v>79.159700000000001</v>
      </c>
      <c r="BD223" s="185">
        <v>88.736500000000007</v>
      </c>
      <c r="BE223" s="185">
        <v>183.6737</v>
      </c>
      <c r="BF223" s="78">
        <v>6245.6305000000002</v>
      </c>
      <c r="BG223" s="78"/>
      <c r="BH223" s="78"/>
      <c r="BI223" s="78"/>
      <c r="BJ223" s="78"/>
      <c r="BK223" s="78"/>
      <c r="BL223" s="78"/>
      <c r="BM223" s="78"/>
      <c r="BN223" s="78"/>
      <c r="BO223" s="78"/>
      <c r="BP223" s="78"/>
      <c r="BQ223" s="78"/>
      <c r="BR223" s="78"/>
      <c r="BS223" s="78"/>
      <c r="BT223" s="78"/>
      <c r="BU223" s="78"/>
      <c r="BV223" s="78"/>
      <c r="BW223" s="78"/>
      <c r="BX223" s="78"/>
      <c r="BY223" s="78"/>
      <c r="BZ223" s="78"/>
      <c r="CA223" s="78"/>
      <c r="CB223" s="78">
        <v>299.87</v>
      </c>
      <c r="CC223" s="231">
        <f t="shared" si="583"/>
        <v>22100</v>
      </c>
    </row>
    <row r="224" spans="2:81" s="3" customFormat="1" ht="15.75" thickBot="1" x14ac:dyDescent="0.3">
      <c r="B224" s="158">
        <v>22150</v>
      </c>
      <c r="C224" s="144">
        <f t="shared" si="628"/>
        <v>853.44830000000002</v>
      </c>
      <c r="D224" s="144">
        <f t="shared" si="629"/>
        <v>6429.0890999999992</v>
      </c>
      <c r="E224" s="144">
        <f t="shared" si="526"/>
        <v>0</v>
      </c>
      <c r="F224" s="144">
        <f t="shared" si="630"/>
        <v>0</v>
      </c>
      <c r="G224" s="144">
        <f t="shared" si="469"/>
        <v>0</v>
      </c>
      <c r="H224" s="144">
        <f t="shared" si="470"/>
        <v>0</v>
      </c>
      <c r="I224" s="144">
        <f t="shared" si="471"/>
        <v>0</v>
      </c>
      <c r="J224" s="159">
        <f t="shared" si="472"/>
        <v>0</v>
      </c>
      <c r="K224" s="160">
        <f t="shared" si="580"/>
        <v>325.77999999999997</v>
      </c>
      <c r="L224" s="152">
        <f t="shared" si="543"/>
        <v>1639</v>
      </c>
      <c r="M224" s="144">
        <f t="shared" si="544"/>
        <v>12569</v>
      </c>
      <c r="N224" s="144"/>
      <c r="O224" s="144">
        <f t="shared" si="563"/>
        <v>0</v>
      </c>
      <c r="P224" s="144">
        <f t="shared" si="546"/>
        <v>0</v>
      </c>
      <c r="Q224" s="144">
        <f t="shared" si="547"/>
        <v>0</v>
      </c>
      <c r="R224" s="144">
        <f t="shared" si="548"/>
        <v>0</v>
      </c>
      <c r="S224" s="144">
        <f t="shared" si="549"/>
        <v>0</v>
      </c>
      <c r="T224" s="144">
        <f t="shared" si="564"/>
        <v>1738</v>
      </c>
      <c r="V224" s="150">
        <f>L223+L224</f>
        <v>3302</v>
      </c>
      <c r="W224" s="150">
        <f t="shared" ref="W224" si="653">M223+M224</f>
        <v>25304</v>
      </c>
      <c r="X224" s="150"/>
      <c r="Y224" s="150">
        <f t="shared" ref="Y224" si="654">O223+O224</f>
        <v>0</v>
      </c>
      <c r="Z224" s="150">
        <f t="shared" ref="Z224" si="655">P223+P224</f>
        <v>0</v>
      </c>
      <c r="AA224" s="150">
        <f t="shared" ref="AA224" si="656">Q223+Q224</f>
        <v>0</v>
      </c>
      <c r="AB224" s="150">
        <f t="shared" ref="AB224" si="657">R223+R224</f>
        <v>0</v>
      </c>
      <c r="AC224" s="150">
        <f t="shared" ref="AC224" si="658">S223+S224</f>
        <v>0</v>
      </c>
      <c r="AD224" s="150">
        <f t="shared" ref="AD224" si="659">T223+T224</f>
        <v>3407</v>
      </c>
      <c r="AF224" s="158">
        <f t="shared" si="645"/>
        <v>22150</v>
      </c>
      <c r="AG224" s="149">
        <v>56.421599999999998</v>
      </c>
      <c r="AH224" s="186">
        <v>131.054</v>
      </c>
      <c r="AI224" s="186">
        <v>34.503999999999998</v>
      </c>
      <c r="AJ224" s="186">
        <v>228.01220000000001</v>
      </c>
      <c r="AK224" s="186">
        <v>61.244399999999999</v>
      </c>
      <c r="AL224" s="186">
        <v>197.79740000000001</v>
      </c>
      <c r="AM224" s="186">
        <v>51.138599999999997</v>
      </c>
      <c r="AN224" s="186">
        <v>69.302800000000005</v>
      </c>
      <c r="AO224" s="149">
        <v>23.973299999999998</v>
      </c>
      <c r="AP224" s="149"/>
      <c r="AQ224" s="149"/>
      <c r="AR224" s="149"/>
      <c r="AS224" s="149"/>
      <c r="AT224" s="149"/>
      <c r="AU224" s="149"/>
      <c r="AV224" s="149"/>
      <c r="AW224" s="149"/>
      <c r="AX224" s="186">
        <v>131.054</v>
      </c>
      <c r="AY224" s="186">
        <v>34.503999999999998</v>
      </c>
      <c r="AZ224" s="186">
        <v>228.01220000000001</v>
      </c>
      <c r="BA224" s="186">
        <v>61.244399999999999</v>
      </c>
      <c r="BB224" s="186">
        <v>197.79740000000001</v>
      </c>
      <c r="BC224" s="186">
        <v>51.138599999999997</v>
      </c>
      <c r="BD224" s="186">
        <v>69.302800000000005</v>
      </c>
      <c r="BE224" s="149">
        <v>5648.3253999999997</v>
      </c>
      <c r="BF224" s="149">
        <v>7.7103000000000002</v>
      </c>
      <c r="BG224" s="149"/>
      <c r="BH224" s="149"/>
      <c r="BI224" s="149"/>
      <c r="BJ224" s="149"/>
      <c r="BK224" s="149"/>
      <c r="BL224" s="149"/>
      <c r="BM224" s="149"/>
      <c r="BN224" s="149"/>
      <c r="BO224" s="149"/>
      <c r="BP224" s="149"/>
      <c r="BQ224" s="149"/>
      <c r="BR224" s="149"/>
      <c r="BS224" s="149"/>
      <c r="BT224" s="149"/>
      <c r="BU224" s="149"/>
      <c r="BV224" s="149"/>
      <c r="BW224" s="149"/>
      <c r="BX224" s="149"/>
      <c r="BY224" s="149"/>
      <c r="BZ224" s="149"/>
      <c r="CA224" s="149"/>
      <c r="CB224" s="149">
        <v>325.77999999999997</v>
      </c>
      <c r="CC224" s="231">
        <f t="shared" si="583"/>
        <v>22150</v>
      </c>
    </row>
    <row r="225" spans="2:81" x14ac:dyDescent="0.25">
      <c r="B225" s="155">
        <v>22200</v>
      </c>
      <c r="C225" s="147">
        <f t="shared" si="628"/>
        <v>1003.3832</v>
      </c>
      <c r="D225" s="147">
        <f t="shared" si="629"/>
        <v>6275.8489</v>
      </c>
      <c r="E225" s="147">
        <f t="shared" si="526"/>
        <v>0</v>
      </c>
      <c r="F225" s="147">
        <f t="shared" si="630"/>
        <v>0</v>
      </c>
      <c r="G225" s="147">
        <f t="shared" si="469"/>
        <v>0</v>
      </c>
      <c r="H225" s="147">
        <f t="shared" si="470"/>
        <v>0</v>
      </c>
      <c r="I225" s="147">
        <f t="shared" si="471"/>
        <v>0</v>
      </c>
      <c r="J225" s="156">
        <f t="shared" si="472"/>
        <v>0</v>
      </c>
      <c r="K225" s="157">
        <f t="shared" si="580"/>
        <v>366.84</v>
      </c>
      <c r="L225" s="151">
        <f t="shared" si="543"/>
        <v>1720</v>
      </c>
      <c r="M225" s="147">
        <f t="shared" si="544"/>
        <v>11764</v>
      </c>
      <c r="N225" s="147"/>
      <c r="O225" s="147">
        <f t="shared" si="563"/>
        <v>0</v>
      </c>
      <c r="P225" s="147">
        <f t="shared" si="546"/>
        <v>0</v>
      </c>
      <c r="Q225" s="147">
        <f t="shared" si="547"/>
        <v>0</v>
      </c>
      <c r="R225" s="147">
        <f t="shared" si="548"/>
        <v>0</v>
      </c>
      <c r="S225" s="147">
        <f t="shared" si="549"/>
        <v>0</v>
      </c>
      <c r="T225" s="147">
        <f t="shared" si="564"/>
        <v>1924</v>
      </c>
      <c r="V225" s="146"/>
      <c r="W225" s="147"/>
      <c r="X225" s="147"/>
      <c r="Y225" s="147"/>
      <c r="Z225" s="147"/>
      <c r="AA225" s="147"/>
      <c r="AB225" s="147"/>
      <c r="AC225" s="147"/>
      <c r="AD225" s="148"/>
      <c r="AF225" s="155">
        <f t="shared" si="645"/>
        <v>22200</v>
      </c>
      <c r="AG225" s="78">
        <v>210.82939999999999</v>
      </c>
      <c r="AH225" s="185">
        <v>117.56229999999999</v>
      </c>
      <c r="AI225" s="185">
        <v>23.674199999999999</v>
      </c>
      <c r="AJ225" s="185">
        <v>248.68469999999999</v>
      </c>
      <c r="AK225" s="185">
        <v>39.841500000000003</v>
      </c>
      <c r="AL225" s="185">
        <v>239.5891</v>
      </c>
      <c r="AM225" s="185">
        <v>78.124300000000005</v>
      </c>
      <c r="AN225" s="78">
        <v>45.0777</v>
      </c>
      <c r="AO225" s="78"/>
      <c r="AP225" s="78"/>
      <c r="AQ225" s="78"/>
      <c r="AR225" s="78"/>
      <c r="AS225" s="78"/>
      <c r="AT225" s="78"/>
      <c r="AU225" s="78"/>
      <c r="AV225" s="78"/>
      <c r="AW225" s="78"/>
      <c r="AX225" s="185">
        <v>117.56229999999999</v>
      </c>
      <c r="AY225" s="185">
        <v>23.674199999999999</v>
      </c>
      <c r="AZ225" s="185">
        <v>248.68469999999999</v>
      </c>
      <c r="BA225" s="185">
        <v>39.841500000000003</v>
      </c>
      <c r="BB225" s="185">
        <v>239.5891</v>
      </c>
      <c r="BC225" s="185">
        <v>78.124300000000005</v>
      </c>
      <c r="BD225" s="78">
        <v>5515.1264000000001</v>
      </c>
      <c r="BE225" s="78">
        <v>13.2464</v>
      </c>
      <c r="BF225" s="78"/>
      <c r="BG225" s="78"/>
      <c r="BH225" s="78"/>
      <c r="BI225" s="78"/>
      <c r="BJ225" s="78"/>
      <c r="BK225" s="78"/>
      <c r="BL225" s="78"/>
      <c r="BM225" s="78"/>
      <c r="BN225" s="78"/>
      <c r="BO225" s="78"/>
      <c r="BP225" s="78"/>
      <c r="BQ225" s="78"/>
      <c r="BR225" s="78"/>
      <c r="BS225" s="78"/>
      <c r="BT225" s="78"/>
      <c r="BU225" s="78"/>
      <c r="BV225" s="78"/>
      <c r="BW225" s="78"/>
      <c r="BX225" s="78"/>
      <c r="BY225" s="78"/>
      <c r="BZ225" s="78"/>
      <c r="CA225" s="78"/>
      <c r="CB225" s="78">
        <v>366.84</v>
      </c>
      <c r="CC225" s="231">
        <f t="shared" si="583"/>
        <v>22200</v>
      </c>
    </row>
    <row r="226" spans="2:81" s="3" customFormat="1" ht="15.75" thickBot="1" x14ac:dyDescent="0.3">
      <c r="B226" s="158">
        <v>22250</v>
      </c>
      <c r="C226" s="144">
        <f t="shared" si="628"/>
        <v>889.71669999999995</v>
      </c>
      <c r="D226" s="144">
        <f t="shared" si="629"/>
        <v>6721.5126</v>
      </c>
      <c r="E226" s="144">
        <f t="shared" si="526"/>
        <v>0</v>
      </c>
      <c r="F226" s="144">
        <f t="shared" si="630"/>
        <v>0</v>
      </c>
      <c r="G226" s="144">
        <f t="shared" si="469"/>
        <v>0</v>
      </c>
      <c r="H226" s="144">
        <f t="shared" si="470"/>
        <v>0</v>
      </c>
      <c r="I226" s="144">
        <f t="shared" si="471"/>
        <v>0</v>
      </c>
      <c r="J226" s="159">
        <f t="shared" si="472"/>
        <v>0</v>
      </c>
      <c r="K226" s="160">
        <f t="shared" si="580"/>
        <v>367.25</v>
      </c>
      <c r="L226" s="152">
        <f t="shared" si="543"/>
        <v>1753</v>
      </c>
      <c r="M226" s="144">
        <f t="shared" si="544"/>
        <v>12035</v>
      </c>
      <c r="N226" s="144"/>
      <c r="O226" s="144">
        <f t="shared" si="563"/>
        <v>0</v>
      </c>
      <c r="P226" s="144">
        <f t="shared" si="546"/>
        <v>0</v>
      </c>
      <c r="Q226" s="144">
        <f t="shared" si="547"/>
        <v>0</v>
      </c>
      <c r="R226" s="144">
        <f t="shared" si="548"/>
        <v>0</v>
      </c>
      <c r="S226" s="144">
        <f t="shared" si="549"/>
        <v>0</v>
      </c>
      <c r="T226" s="144">
        <f t="shared" si="564"/>
        <v>2040</v>
      </c>
      <c r="V226" s="150">
        <f>L225+L226</f>
        <v>3473</v>
      </c>
      <c r="W226" s="150">
        <f t="shared" ref="W226" si="660">M225+M226</f>
        <v>23799</v>
      </c>
      <c r="X226" s="150"/>
      <c r="Y226" s="150">
        <f t="shared" ref="Y226" si="661">O225+O226</f>
        <v>0</v>
      </c>
      <c r="Z226" s="150">
        <f t="shared" ref="Z226" si="662">P225+P226</f>
        <v>0</v>
      </c>
      <c r="AA226" s="150">
        <f t="shared" ref="AA226" si="663">Q225+Q226</f>
        <v>0</v>
      </c>
      <c r="AB226" s="150">
        <f t="shared" ref="AB226" si="664">R225+R226</f>
        <v>0</v>
      </c>
      <c r="AC226" s="150">
        <f t="shared" ref="AC226" si="665">S225+S226</f>
        <v>0</v>
      </c>
      <c r="AD226" s="150">
        <f t="shared" ref="AD226" si="666">T225+T226</f>
        <v>3964</v>
      </c>
      <c r="AF226" s="158">
        <f t="shared" si="645"/>
        <v>22250</v>
      </c>
      <c r="AG226" s="149">
        <v>46.014899999999997</v>
      </c>
      <c r="AH226" s="186">
        <v>181.94810000000001</v>
      </c>
      <c r="AI226" s="186">
        <v>287.81529999999998</v>
      </c>
      <c r="AJ226" s="186">
        <v>30.810199999999998</v>
      </c>
      <c r="AK226" s="186">
        <v>241.86869999999999</v>
      </c>
      <c r="AL226" s="186">
        <v>38.695799999999998</v>
      </c>
      <c r="AM226" s="149">
        <v>62.563699999999997</v>
      </c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86">
        <v>181.94810000000001</v>
      </c>
      <c r="AY226" s="186">
        <v>287.81529999999998</v>
      </c>
      <c r="AZ226" s="186">
        <v>30.810199999999998</v>
      </c>
      <c r="BA226" s="186">
        <v>241.86869999999999</v>
      </c>
      <c r="BB226" s="186">
        <v>38.695799999999998</v>
      </c>
      <c r="BC226" s="149">
        <v>5940.3744999999999</v>
      </c>
      <c r="BD226" s="149"/>
      <c r="BE226" s="149"/>
      <c r="BF226" s="149"/>
      <c r="BG226" s="149"/>
      <c r="BH226" s="149"/>
      <c r="BI226" s="149"/>
      <c r="BJ226" s="149"/>
      <c r="BK226" s="149"/>
      <c r="BL226" s="149"/>
      <c r="BM226" s="149"/>
      <c r="BN226" s="149"/>
      <c r="BO226" s="149"/>
      <c r="BP226" s="149"/>
      <c r="BQ226" s="149"/>
      <c r="BR226" s="149"/>
      <c r="BS226" s="149"/>
      <c r="BT226" s="149"/>
      <c r="BU226" s="149"/>
      <c r="BV226" s="149"/>
      <c r="BW226" s="149"/>
      <c r="BX226" s="149"/>
      <c r="BY226" s="149"/>
      <c r="BZ226" s="149"/>
      <c r="CA226" s="149"/>
      <c r="CB226" s="149">
        <v>367.25</v>
      </c>
      <c r="CC226" s="231">
        <f t="shared" si="583"/>
        <v>22250</v>
      </c>
    </row>
    <row r="227" spans="2:81" x14ac:dyDescent="0.25">
      <c r="B227" s="155">
        <v>22300</v>
      </c>
      <c r="C227" s="147">
        <f t="shared" si="628"/>
        <v>838.70510000000002</v>
      </c>
      <c r="D227" s="147">
        <f t="shared" si="629"/>
        <v>7133.5282000000007</v>
      </c>
      <c r="E227" s="147">
        <f t="shared" si="526"/>
        <v>0</v>
      </c>
      <c r="F227" s="147">
        <f t="shared" si="630"/>
        <v>0</v>
      </c>
      <c r="G227" s="147">
        <f t="shared" si="469"/>
        <v>0</v>
      </c>
      <c r="H227" s="147">
        <f t="shared" si="470"/>
        <v>0</v>
      </c>
      <c r="I227" s="147">
        <f t="shared" si="471"/>
        <v>0</v>
      </c>
      <c r="J227" s="156">
        <f t="shared" si="472"/>
        <v>0</v>
      </c>
      <c r="K227" s="157">
        <f t="shared" si="580"/>
        <v>370.7</v>
      </c>
      <c r="L227" s="151">
        <f t="shared" si="543"/>
        <v>1601</v>
      </c>
      <c r="M227" s="147">
        <f t="shared" si="544"/>
        <v>12829</v>
      </c>
      <c r="N227" s="147"/>
      <c r="O227" s="147">
        <f t="shared" si="563"/>
        <v>0</v>
      </c>
      <c r="P227" s="147">
        <f t="shared" si="546"/>
        <v>0</v>
      </c>
      <c r="Q227" s="147">
        <f t="shared" si="547"/>
        <v>0</v>
      </c>
      <c r="R227" s="147">
        <f t="shared" si="548"/>
        <v>0</v>
      </c>
      <c r="S227" s="147">
        <f t="shared" si="549"/>
        <v>0</v>
      </c>
      <c r="T227" s="147">
        <f t="shared" si="564"/>
        <v>2050</v>
      </c>
      <c r="V227" s="146"/>
      <c r="W227" s="147"/>
      <c r="X227" s="147"/>
      <c r="Y227" s="147"/>
      <c r="Z227" s="147"/>
      <c r="AA227" s="147"/>
      <c r="AB227" s="147"/>
      <c r="AC227" s="147"/>
      <c r="AD227" s="148"/>
      <c r="AF227" s="155">
        <f t="shared" si="645"/>
        <v>22300</v>
      </c>
      <c r="AG227" s="78">
        <v>23.473400000000002</v>
      </c>
      <c r="AH227" s="185">
        <v>95.264600000000002</v>
      </c>
      <c r="AI227" s="185">
        <v>78.035700000000006</v>
      </c>
      <c r="AJ227" s="185">
        <v>174.6489</v>
      </c>
      <c r="AK227" s="185">
        <v>102.41800000000001</v>
      </c>
      <c r="AL227" s="185">
        <v>128.61580000000001</v>
      </c>
      <c r="AM227" s="185">
        <v>137.58099999999999</v>
      </c>
      <c r="AN227" s="78">
        <v>98.667699999999996</v>
      </c>
      <c r="AO227" s="78"/>
      <c r="AP227" s="78"/>
      <c r="AQ227" s="78"/>
      <c r="AR227" s="78"/>
      <c r="AS227" s="78"/>
      <c r="AT227" s="78"/>
      <c r="AU227" s="78"/>
      <c r="AV227" s="78"/>
      <c r="AW227" s="78"/>
      <c r="AX227" s="185">
        <v>95.264600000000002</v>
      </c>
      <c r="AY227" s="185">
        <v>78.035700000000006</v>
      </c>
      <c r="AZ227" s="185">
        <v>174.6489</v>
      </c>
      <c r="BA227" s="185">
        <v>102.41800000000001</v>
      </c>
      <c r="BB227" s="185">
        <v>128.61580000000001</v>
      </c>
      <c r="BC227" s="185">
        <v>137.58099999999999</v>
      </c>
      <c r="BD227" s="78">
        <v>6416.9642000000003</v>
      </c>
      <c r="BE227" s="78"/>
      <c r="BF227" s="78"/>
      <c r="BG227" s="78"/>
      <c r="BH227" s="78"/>
      <c r="BI227" s="78"/>
      <c r="BJ227" s="78"/>
      <c r="BK227" s="78"/>
      <c r="BL227" s="78"/>
      <c r="BM227" s="78"/>
      <c r="BN227" s="78"/>
      <c r="BO227" s="78"/>
      <c r="BP227" s="78"/>
      <c r="BQ227" s="78"/>
      <c r="BR227" s="78"/>
      <c r="BS227" s="78"/>
      <c r="BT227" s="78"/>
      <c r="BU227" s="78"/>
      <c r="BV227" s="78"/>
      <c r="BW227" s="78"/>
      <c r="BX227" s="78"/>
      <c r="BY227" s="78"/>
      <c r="BZ227" s="78"/>
      <c r="CA227" s="78"/>
      <c r="CB227" s="78">
        <v>370.7</v>
      </c>
      <c r="CC227" s="231">
        <f t="shared" si="583"/>
        <v>22300</v>
      </c>
    </row>
    <row r="228" spans="2:81" s="3" customFormat="1" ht="15.75" thickBot="1" x14ac:dyDescent="0.3">
      <c r="B228" s="158">
        <v>22350</v>
      </c>
      <c r="C228" s="144">
        <f t="shared" si="628"/>
        <v>653.72270000000003</v>
      </c>
      <c r="D228" s="144">
        <f t="shared" si="629"/>
        <v>7472.3589000000002</v>
      </c>
      <c r="E228" s="144">
        <f t="shared" si="526"/>
        <v>0</v>
      </c>
      <c r="F228" s="144">
        <f t="shared" si="630"/>
        <v>0</v>
      </c>
      <c r="G228" s="144">
        <f t="shared" si="469"/>
        <v>0</v>
      </c>
      <c r="H228" s="144">
        <f t="shared" si="470"/>
        <v>0</v>
      </c>
      <c r="I228" s="144">
        <f t="shared" si="471"/>
        <v>0</v>
      </c>
      <c r="J228" s="159">
        <f t="shared" si="472"/>
        <v>0</v>
      </c>
      <c r="K228" s="160">
        <f t="shared" si="580"/>
        <v>327.87</v>
      </c>
      <c r="L228" s="152">
        <f t="shared" si="543"/>
        <v>1382</v>
      </c>
      <c r="M228" s="144">
        <f t="shared" si="544"/>
        <v>13524</v>
      </c>
      <c r="N228" s="144"/>
      <c r="O228" s="144">
        <f t="shared" si="563"/>
        <v>0</v>
      </c>
      <c r="P228" s="144">
        <f t="shared" si="546"/>
        <v>0</v>
      </c>
      <c r="Q228" s="144">
        <f t="shared" si="547"/>
        <v>0</v>
      </c>
      <c r="R228" s="144">
        <f t="shared" si="548"/>
        <v>0</v>
      </c>
      <c r="S228" s="144">
        <f t="shared" si="549"/>
        <v>0</v>
      </c>
      <c r="T228" s="144">
        <f t="shared" si="564"/>
        <v>1941</v>
      </c>
      <c r="V228" s="150">
        <f>L227+L228</f>
        <v>2983</v>
      </c>
      <c r="W228" s="150">
        <f t="shared" ref="W228" si="667">M227+M228</f>
        <v>26353</v>
      </c>
      <c r="X228" s="150"/>
      <c r="Y228" s="150">
        <f t="shared" ref="Y228" si="668">O227+O228</f>
        <v>0</v>
      </c>
      <c r="Z228" s="150">
        <f t="shared" ref="Z228" si="669">P227+P228</f>
        <v>0</v>
      </c>
      <c r="AA228" s="150">
        <f t="shared" ref="AA228" si="670">Q227+Q228</f>
        <v>0</v>
      </c>
      <c r="AB228" s="150">
        <f t="shared" ref="AB228" si="671">R227+R228</f>
        <v>0</v>
      </c>
      <c r="AC228" s="150">
        <f t="shared" ref="AC228" si="672">S227+S228</f>
        <v>0</v>
      </c>
      <c r="AD228" s="150">
        <f t="shared" ref="AD228" si="673">T227+T228</f>
        <v>3991</v>
      </c>
      <c r="AF228" s="158">
        <f t="shared" si="645"/>
        <v>22350</v>
      </c>
      <c r="AG228" s="149">
        <v>15.530799999999999</v>
      </c>
      <c r="AH228" s="186">
        <v>35.009399999999999</v>
      </c>
      <c r="AI228" s="186">
        <v>62.3675</v>
      </c>
      <c r="AJ228" s="186">
        <v>355.40350000000001</v>
      </c>
      <c r="AK228" s="186">
        <v>171.2912</v>
      </c>
      <c r="AL228" s="149">
        <v>14.1203</v>
      </c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86">
        <v>35.009399999999999</v>
      </c>
      <c r="AY228" s="186">
        <v>62.3675</v>
      </c>
      <c r="AZ228" s="186">
        <v>355.40350000000001</v>
      </c>
      <c r="BA228" s="186">
        <v>171.2912</v>
      </c>
      <c r="BB228" s="149">
        <v>6848.2873</v>
      </c>
      <c r="BC228" s="149"/>
      <c r="BD228" s="149"/>
      <c r="BE228" s="149"/>
      <c r="BF228" s="149"/>
      <c r="BG228" s="149"/>
      <c r="BH228" s="149"/>
      <c r="BI228" s="149"/>
      <c r="BJ228" s="149"/>
      <c r="BK228" s="149"/>
      <c r="BL228" s="149"/>
      <c r="BM228" s="149"/>
      <c r="BN228" s="149"/>
      <c r="BO228" s="149"/>
      <c r="BP228" s="149"/>
      <c r="BQ228" s="149"/>
      <c r="BR228" s="149"/>
      <c r="BS228" s="149"/>
      <c r="BT228" s="149"/>
      <c r="BU228" s="149"/>
      <c r="BV228" s="149"/>
      <c r="BW228" s="149"/>
      <c r="BX228" s="149"/>
      <c r="BY228" s="149"/>
      <c r="BZ228" s="149"/>
      <c r="CA228" s="149"/>
      <c r="CB228" s="149">
        <v>327.87</v>
      </c>
      <c r="CC228" s="231">
        <f t="shared" si="583"/>
        <v>22350</v>
      </c>
    </row>
    <row r="229" spans="2:81" x14ac:dyDescent="0.25">
      <c r="B229" s="155">
        <v>22400</v>
      </c>
      <c r="C229" s="147">
        <f t="shared" si="628"/>
        <v>608.35230000000001</v>
      </c>
      <c r="D229" s="147">
        <f t="shared" si="629"/>
        <v>6022.5558999999994</v>
      </c>
      <c r="E229" s="147">
        <f t="shared" si="526"/>
        <v>0</v>
      </c>
      <c r="F229" s="147">
        <f t="shared" si="630"/>
        <v>0</v>
      </c>
      <c r="G229" s="147">
        <f t="shared" si="469"/>
        <v>0</v>
      </c>
      <c r="H229" s="147">
        <f t="shared" si="470"/>
        <v>0</v>
      </c>
      <c r="I229" s="147">
        <f t="shared" si="471"/>
        <v>0</v>
      </c>
      <c r="J229" s="156">
        <f t="shared" si="472"/>
        <v>0</v>
      </c>
      <c r="K229" s="157">
        <f t="shared" si="580"/>
        <v>328.95</v>
      </c>
      <c r="L229" s="151">
        <f t="shared" si="543"/>
        <v>1169</v>
      </c>
      <c r="M229" s="147">
        <f t="shared" si="544"/>
        <v>12496</v>
      </c>
      <c r="N229" s="147"/>
      <c r="O229" s="147">
        <f t="shared" si="563"/>
        <v>0</v>
      </c>
      <c r="P229" s="147">
        <f t="shared" si="546"/>
        <v>0</v>
      </c>
      <c r="Q229" s="147">
        <f t="shared" si="547"/>
        <v>0</v>
      </c>
      <c r="R229" s="147">
        <f t="shared" si="548"/>
        <v>0</v>
      </c>
      <c r="S229" s="147">
        <f t="shared" si="549"/>
        <v>0</v>
      </c>
      <c r="T229" s="147">
        <f t="shared" si="564"/>
        <v>1825</v>
      </c>
      <c r="V229" s="146"/>
      <c r="W229" s="147"/>
      <c r="X229" s="147"/>
      <c r="Y229" s="147"/>
      <c r="Z229" s="147"/>
      <c r="AA229" s="147"/>
      <c r="AB229" s="147"/>
      <c r="AC229" s="147"/>
      <c r="AD229" s="148"/>
      <c r="AF229" s="155">
        <f t="shared" si="645"/>
        <v>22400</v>
      </c>
      <c r="AG229" s="78">
        <v>16.955500000000001</v>
      </c>
      <c r="AH229" s="185">
        <v>98.286900000000003</v>
      </c>
      <c r="AI229" s="185">
        <v>78.973500000000001</v>
      </c>
      <c r="AJ229" s="185">
        <v>208.79239999999999</v>
      </c>
      <c r="AK229" s="185">
        <v>23.1066</v>
      </c>
      <c r="AL229" s="185">
        <v>159.78880000000001</v>
      </c>
      <c r="AM229" s="78">
        <v>22.448599999999999</v>
      </c>
      <c r="AN229" s="78"/>
      <c r="AO229" s="78"/>
      <c r="AP229" s="78"/>
      <c r="AQ229" s="78"/>
      <c r="AR229" s="78"/>
      <c r="AS229" s="78"/>
      <c r="AT229" s="78"/>
      <c r="AU229" s="78"/>
      <c r="AV229" s="78"/>
      <c r="AW229" s="78"/>
      <c r="AX229" s="185">
        <v>98.286900000000003</v>
      </c>
      <c r="AY229" s="185">
        <v>78.973500000000001</v>
      </c>
      <c r="AZ229" s="185">
        <v>208.79239999999999</v>
      </c>
      <c r="BA229" s="185">
        <v>23.1066</v>
      </c>
      <c r="BB229" s="185">
        <v>159.78880000000001</v>
      </c>
      <c r="BC229" s="78">
        <v>5453.6076999999996</v>
      </c>
      <c r="BD229" s="78"/>
      <c r="BE229" s="78"/>
      <c r="BF229" s="78"/>
      <c r="BG229" s="78"/>
      <c r="BH229" s="78"/>
      <c r="BI229" s="78"/>
      <c r="BJ229" s="78"/>
      <c r="BK229" s="78"/>
      <c r="BL229" s="78"/>
      <c r="BM229" s="78"/>
      <c r="BN229" s="78"/>
      <c r="BO229" s="78"/>
      <c r="BP229" s="78"/>
      <c r="BQ229" s="78"/>
      <c r="BR229" s="78"/>
      <c r="BS229" s="78"/>
      <c r="BT229" s="78"/>
      <c r="BU229" s="78"/>
      <c r="BV229" s="78"/>
      <c r="BW229" s="78"/>
      <c r="BX229" s="78"/>
      <c r="BY229" s="78"/>
      <c r="BZ229" s="78"/>
      <c r="CA229" s="78"/>
      <c r="CB229" s="78">
        <v>328.95</v>
      </c>
      <c r="CC229" s="231">
        <f t="shared" si="583"/>
        <v>22400</v>
      </c>
    </row>
    <row r="230" spans="2:81" s="3" customFormat="1" ht="15.75" thickBot="1" x14ac:dyDescent="0.3">
      <c r="B230" s="158">
        <v>22450</v>
      </c>
      <c r="C230" s="144">
        <f t="shared" si="628"/>
        <v>678.72059999999999</v>
      </c>
      <c r="D230" s="144">
        <f t="shared" si="629"/>
        <v>6053.5213000000003</v>
      </c>
      <c r="E230" s="144">
        <f t="shared" si="526"/>
        <v>0</v>
      </c>
      <c r="F230" s="144">
        <f t="shared" si="630"/>
        <v>0</v>
      </c>
      <c r="G230" s="144">
        <f t="shared" si="469"/>
        <v>0</v>
      </c>
      <c r="H230" s="144">
        <f t="shared" si="470"/>
        <v>0</v>
      </c>
      <c r="I230" s="144">
        <f t="shared" si="471"/>
        <v>0</v>
      </c>
      <c r="J230" s="159">
        <f t="shared" si="472"/>
        <v>0</v>
      </c>
      <c r="K230" s="160">
        <f t="shared" si="580"/>
        <v>330.4</v>
      </c>
      <c r="L230" s="152">
        <f t="shared" si="543"/>
        <v>1192</v>
      </c>
      <c r="M230" s="144">
        <f t="shared" si="544"/>
        <v>11182</v>
      </c>
      <c r="N230" s="144"/>
      <c r="O230" s="144">
        <f t="shared" si="563"/>
        <v>0</v>
      </c>
      <c r="P230" s="144">
        <f t="shared" si="546"/>
        <v>0</v>
      </c>
      <c r="Q230" s="144">
        <f t="shared" si="547"/>
        <v>0</v>
      </c>
      <c r="R230" s="144">
        <f t="shared" si="548"/>
        <v>0</v>
      </c>
      <c r="S230" s="144">
        <f t="shared" si="549"/>
        <v>0</v>
      </c>
      <c r="T230" s="144">
        <f t="shared" si="564"/>
        <v>1832</v>
      </c>
      <c r="V230" s="150">
        <f>L229+L230</f>
        <v>2361</v>
      </c>
      <c r="W230" s="150">
        <f t="shared" ref="W230" si="674">M229+M230</f>
        <v>23678</v>
      </c>
      <c r="X230" s="150"/>
      <c r="Y230" s="150">
        <f t="shared" ref="Y230" si="675">O229+O230</f>
        <v>0</v>
      </c>
      <c r="Z230" s="150">
        <f t="shared" ref="Z230" si="676">P229+P230</f>
        <v>0</v>
      </c>
      <c r="AA230" s="150">
        <f t="shared" ref="AA230" si="677">Q229+Q230</f>
        <v>0</v>
      </c>
      <c r="AB230" s="150">
        <f t="shared" ref="AB230" si="678">R229+R230</f>
        <v>0</v>
      </c>
      <c r="AC230" s="150">
        <f t="shared" ref="AC230" si="679">S229+S230</f>
        <v>0</v>
      </c>
      <c r="AD230" s="150">
        <f t="shared" ref="AD230" si="680">T229+T230</f>
        <v>3657</v>
      </c>
      <c r="AF230" s="158">
        <f t="shared" si="645"/>
        <v>22450</v>
      </c>
      <c r="AG230" s="149">
        <v>18.426400000000001</v>
      </c>
      <c r="AH230" s="186">
        <v>143.97239999999999</v>
      </c>
      <c r="AI230" s="186">
        <v>62.227899999999998</v>
      </c>
      <c r="AJ230" s="186">
        <v>125.14879999999999</v>
      </c>
      <c r="AK230" s="186">
        <v>140.9091</v>
      </c>
      <c r="AL230" s="186">
        <v>160.64070000000001</v>
      </c>
      <c r="AM230" s="149">
        <v>27.395299999999999</v>
      </c>
      <c r="AN230" s="149"/>
      <c r="AO230" s="149"/>
      <c r="AP230" s="149"/>
      <c r="AQ230" s="149"/>
      <c r="AR230" s="149"/>
      <c r="AS230" s="149"/>
      <c r="AT230" s="149"/>
      <c r="AU230" s="149"/>
      <c r="AV230" s="149"/>
      <c r="AW230" s="149"/>
      <c r="AX230" s="186">
        <v>143.97239999999999</v>
      </c>
      <c r="AY230" s="186">
        <v>62.227899999999998</v>
      </c>
      <c r="AZ230" s="186">
        <v>125.14879999999999</v>
      </c>
      <c r="BA230" s="186">
        <v>140.9091</v>
      </c>
      <c r="BB230" s="186">
        <v>160.64070000000001</v>
      </c>
      <c r="BC230" s="149">
        <v>5409.42</v>
      </c>
      <c r="BD230" s="149">
        <v>11.202400000000001</v>
      </c>
      <c r="BE230" s="149"/>
      <c r="BF230" s="149"/>
      <c r="BG230" s="149"/>
      <c r="BH230" s="149"/>
      <c r="BI230" s="149"/>
      <c r="BJ230" s="149"/>
      <c r="BK230" s="149"/>
      <c r="BL230" s="149"/>
      <c r="BM230" s="149"/>
      <c r="BN230" s="149"/>
      <c r="BO230" s="149"/>
      <c r="BP230" s="149"/>
      <c r="BQ230" s="149"/>
      <c r="BR230" s="149"/>
      <c r="BS230" s="149"/>
      <c r="BT230" s="149"/>
      <c r="BU230" s="149"/>
      <c r="BV230" s="149"/>
      <c r="BW230" s="149"/>
      <c r="BX230" s="149"/>
      <c r="BY230" s="149"/>
      <c r="BZ230" s="149"/>
      <c r="CA230" s="149"/>
      <c r="CB230" s="149">
        <v>330.4</v>
      </c>
      <c r="CC230" s="231">
        <f t="shared" si="583"/>
        <v>22450</v>
      </c>
    </row>
    <row r="231" spans="2:81" x14ac:dyDescent="0.25">
      <c r="B231" s="155">
        <v>22500</v>
      </c>
      <c r="C231" s="147">
        <f t="shared" si="628"/>
        <v>763.30749999999989</v>
      </c>
      <c r="D231" s="147">
        <f t="shared" si="629"/>
        <v>6085.5483999999997</v>
      </c>
      <c r="E231" s="147">
        <f t="shared" si="526"/>
        <v>0</v>
      </c>
      <c r="F231" s="147">
        <f t="shared" si="630"/>
        <v>0</v>
      </c>
      <c r="G231" s="147">
        <f t="shared" ref="G231:G283" si="681">BN231+BO231+BP231</f>
        <v>0</v>
      </c>
      <c r="H231" s="147">
        <f t="shared" ref="H231:H283" si="682">BQ231+BR231+BS231</f>
        <v>0</v>
      </c>
      <c r="I231" s="147">
        <f t="shared" ref="I231:I283" si="683">BT231+BU231+BV231</f>
        <v>0</v>
      </c>
      <c r="J231" s="156">
        <f t="shared" ref="J231:J283" si="684">BW231+BX231+BY231</f>
        <v>0</v>
      </c>
      <c r="K231" s="157">
        <f t="shared" si="580"/>
        <v>328.08</v>
      </c>
      <c r="L231" s="151">
        <f t="shared" si="543"/>
        <v>1336</v>
      </c>
      <c r="M231" s="147">
        <f t="shared" si="544"/>
        <v>11240</v>
      </c>
      <c r="N231" s="147"/>
      <c r="O231" s="147">
        <f t="shared" si="563"/>
        <v>0</v>
      </c>
      <c r="P231" s="147">
        <f t="shared" si="546"/>
        <v>0</v>
      </c>
      <c r="Q231" s="147">
        <f t="shared" si="547"/>
        <v>0</v>
      </c>
      <c r="R231" s="147">
        <f t="shared" si="548"/>
        <v>0</v>
      </c>
      <c r="S231" s="147">
        <f t="shared" si="549"/>
        <v>0</v>
      </c>
      <c r="T231" s="147">
        <f t="shared" si="564"/>
        <v>1830</v>
      </c>
      <c r="V231" s="146"/>
      <c r="W231" s="147"/>
      <c r="X231" s="147"/>
      <c r="Y231" s="147"/>
      <c r="Z231" s="147"/>
      <c r="AA231" s="147"/>
      <c r="AB231" s="147"/>
      <c r="AC231" s="147"/>
      <c r="AD231" s="148"/>
      <c r="AF231" s="155">
        <f t="shared" si="645"/>
        <v>22500</v>
      </c>
      <c r="AG231" s="78">
        <v>13.3087</v>
      </c>
      <c r="AH231" s="185">
        <v>124.44759999999999</v>
      </c>
      <c r="AI231" s="185">
        <v>85.500900000000001</v>
      </c>
      <c r="AJ231" s="185">
        <v>123.4093</v>
      </c>
      <c r="AK231" s="185">
        <v>117.63200000000001</v>
      </c>
      <c r="AL231" s="185">
        <v>275.07400000000001</v>
      </c>
      <c r="AM231" s="78">
        <v>23.934999999999999</v>
      </c>
      <c r="AN231" s="78"/>
      <c r="AO231" s="78"/>
      <c r="AP231" s="78"/>
      <c r="AQ231" s="78"/>
      <c r="AR231" s="78"/>
      <c r="AS231" s="78"/>
      <c r="AT231" s="78"/>
      <c r="AU231" s="78"/>
      <c r="AV231" s="78"/>
      <c r="AW231" s="78"/>
      <c r="AX231" s="185">
        <v>124.44759999999999</v>
      </c>
      <c r="AY231" s="185">
        <v>85.500900000000001</v>
      </c>
      <c r="AZ231" s="185">
        <v>123.4093</v>
      </c>
      <c r="BA231" s="185">
        <v>117.63200000000001</v>
      </c>
      <c r="BB231" s="185">
        <v>275.07400000000001</v>
      </c>
      <c r="BC231" s="78">
        <v>5355.1859999999997</v>
      </c>
      <c r="BD231" s="78">
        <v>4.2986000000000004</v>
      </c>
      <c r="BE231" s="78"/>
      <c r="BF231" s="78"/>
      <c r="BG231" s="78"/>
      <c r="BH231" s="78"/>
      <c r="BI231" s="78"/>
      <c r="BJ231" s="78"/>
      <c r="BK231" s="78"/>
      <c r="BL231" s="78"/>
      <c r="BM231" s="78"/>
      <c r="BN231" s="78"/>
      <c r="BO231" s="78"/>
      <c r="BP231" s="78"/>
      <c r="BQ231" s="78"/>
      <c r="BR231" s="78"/>
      <c r="BS231" s="78"/>
      <c r="BT231" s="78"/>
      <c r="BU231" s="78"/>
      <c r="BV231" s="78"/>
      <c r="BW231" s="78"/>
      <c r="BX231" s="78"/>
      <c r="BY231" s="78"/>
      <c r="BZ231" s="78"/>
      <c r="CA231" s="78"/>
      <c r="CB231" s="78">
        <v>328.08</v>
      </c>
      <c r="CC231" s="231">
        <f t="shared" si="583"/>
        <v>22500</v>
      </c>
    </row>
    <row r="232" spans="2:81" s="3" customFormat="1" ht="15.75" thickBot="1" x14ac:dyDescent="0.3">
      <c r="B232" s="158">
        <v>22550</v>
      </c>
      <c r="C232" s="144">
        <f t="shared" si="628"/>
        <v>636.80449999999996</v>
      </c>
      <c r="D232" s="144">
        <f t="shared" si="629"/>
        <v>5766.9338000000007</v>
      </c>
      <c r="E232" s="144">
        <f t="shared" si="526"/>
        <v>0</v>
      </c>
      <c r="F232" s="144">
        <f t="shared" si="630"/>
        <v>0</v>
      </c>
      <c r="G232" s="144">
        <f t="shared" si="681"/>
        <v>0</v>
      </c>
      <c r="H232" s="144">
        <f t="shared" si="682"/>
        <v>0</v>
      </c>
      <c r="I232" s="144">
        <f t="shared" si="683"/>
        <v>0</v>
      </c>
      <c r="J232" s="159">
        <f t="shared" si="684"/>
        <v>0</v>
      </c>
      <c r="K232" s="160">
        <f t="shared" si="580"/>
        <v>327.04000000000002</v>
      </c>
      <c r="L232" s="152">
        <f t="shared" si="543"/>
        <v>1297</v>
      </c>
      <c r="M232" s="144">
        <f t="shared" si="544"/>
        <v>10975</v>
      </c>
      <c r="N232" s="144"/>
      <c r="O232" s="144">
        <f t="shared" si="563"/>
        <v>0</v>
      </c>
      <c r="P232" s="144">
        <f t="shared" si="546"/>
        <v>0</v>
      </c>
      <c r="Q232" s="144">
        <f t="shared" si="547"/>
        <v>0</v>
      </c>
      <c r="R232" s="144">
        <f t="shared" si="548"/>
        <v>0</v>
      </c>
      <c r="S232" s="144">
        <f t="shared" si="549"/>
        <v>0</v>
      </c>
      <c r="T232" s="144">
        <f t="shared" si="564"/>
        <v>1820</v>
      </c>
      <c r="V232" s="150">
        <f>L231+L232</f>
        <v>2633</v>
      </c>
      <c r="W232" s="150">
        <f t="shared" ref="W232" si="685">M231+M232</f>
        <v>22215</v>
      </c>
      <c r="X232" s="150"/>
      <c r="Y232" s="150">
        <f t="shared" ref="Y232" si="686">O231+O232</f>
        <v>0</v>
      </c>
      <c r="Z232" s="150">
        <f t="shared" ref="Z232" si="687">P231+P232</f>
        <v>0</v>
      </c>
      <c r="AA232" s="150">
        <f t="shared" ref="AA232" si="688">Q231+Q232</f>
        <v>0</v>
      </c>
      <c r="AB232" s="150">
        <f t="shared" ref="AB232" si="689">R231+R232</f>
        <v>0</v>
      </c>
      <c r="AC232" s="150">
        <f t="shared" ref="AC232" si="690">S231+S232</f>
        <v>0</v>
      </c>
      <c r="AD232" s="150">
        <f t="shared" ref="AD232" si="691">T231+T232</f>
        <v>3650</v>
      </c>
      <c r="AF232" s="158">
        <f t="shared" si="645"/>
        <v>22550</v>
      </c>
      <c r="AG232" s="149">
        <v>15.805099999999999</v>
      </c>
      <c r="AH232" s="186">
        <v>67.364500000000007</v>
      </c>
      <c r="AI232" s="186">
        <v>96.833299999999994</v>
      </c>
      <c r="AJ232" s="186">
        <v>107.4198</v>
      </c>
      <c r="AK232" s="186">
        <v>109.446</v>
      </c>
      <c r="AL232" s="186">
        <v>67.650800000000004</v>
      </c>
      <c r="AM232" s="186">
        <v>146.14410000000001</v>
      </c>
      <c r="AN232" s="149">
        <v>26.140899999999998</v>
      </c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86">
        <v>67.364500000000007</v>
      </c>
      <c r="AY232" s="186">
        <v>96.833299999999994</v>
      </c>
      <c r="AZ232" s="186">
        <v>107.4198</v>
      </c>
      <c r="BA232" s="186">
        <v>109.446</v>
      </c>
      <c r="BB232" s="186">
        <v>67.650800000000004</v>
      </c>
      <c r="BC232" s="186">
        <v>146.14410000000001</v>
      </c>
      <c r="BD232" s="149">
        <v>5164.0635000000002</v>
      </c>
      <c r="BE232" s="149">
        <v>8.0117999999999991</v>
      </c>
      <c r="BF232" s="149"/>
      <c r="BG232" s="149"/>
      <c r="BH232" s="149"/>
      <c r="BI232" s="149"/>
      <c r="BJ232" s="149"/>
      <c r="BK232" s="149"/>
      <c r="BL232" s="149"/>
      <c r="BM232" s="149"/>
      <c r="BN232" s="149"/>
      <c r="BO232" s="149"/>
      <c r="BP232" s="149"/>
      <c r="BQ232" s="149"/>
      <c r="BR232" s="149"/>
      <c r="BS232" s="149"/>
      <c r="BT232" s="149"/>
      <c r="BU232" s="149"/>
      <c r="BV232" s="149"/>
      <c r="BW232" s="149"/>
      <c r="BX232" s="149"/>
      <c r="BY232" s="149"/>
      <c r="BZ232" s="149"/>
      <c r="CA232" s="149"/>
      <c r="CB232" s="149">
        <v>327.04000000000002</v>
      </c>
      <c r="CC232" s="231">
        <f t="shared" si="583"/>
        <v>22550</v>
      </c>
    </row>
    <row r="233" spans="2:81" x14ac:dyDescent="0.25">
      <c r="B233" s="155">
        <v>22600</v>
      </c>
      <c r="C233" s="147">
        <f t="shared" si="628"/>
        <v>850.54650000000004</v>
      </c>
      <c r="D233" s="147">
        <f t="shared" si="629"/>
        <v>801.91579999999999</v>
      </c>
      <c r="E233" s="147">
        <f t="shared" si="526"/>
        <v>0</v>
      </c>
      <c r="F233" s="147">
        <f t="shared" si="630"/>
        <v>0</v>
      </c>
      <c r="G233" s="147">
        <f t="shared" si="681"/>
        <v>0</v>
      </c>
      <c r="H233" s="147">
        <f t="shared" si="682"/>
        <v>0</v>
      </c>
      <c r="I233" s="147">
        <f t="shared" si="683"/>
        <v>0</v>
      </c>
      <c r="J233" s="156">
        <f t="shared" si="684"/>
        <v>0</v>
      </c>
      <c r="K233" s="157">
        <f t="shared" si="580"/>
        <v>328.87</v>
      </c>
      <c r="L233" s="151">
        <f t="shared" si="543"/>
        <v>1378</v>
      </c>
      <c r="M233" s="147">
        <f t="shared" si="544"/>
        <v>6083</v>
      </c>
      <c r="N233" s="147"/>
      <c r="O233" s="147">
        <f t="shared" si="563"/>
        <v>0</v>
      </c>
      <c r="P233" s="147">
        <f t="shared" si="546"/>
        <v>0</v>
      </c>
      <c r="Q233" s="147">
        <f t="shared" si="547"/>
        <v>0</v>
      </c>
      <c r="R233" s="147">
        <f t="shared" si="548"/>
        <v>0</v>
      </c>
      <c r="S233" s="147">
        <f t="shared" si="549"/>
        <v>0</v>
      </c>
      <c r="T233" s="147">
        <f t="shared" si="564"/>
        <v>1822</v>
      </c>
      <c r="V233" s="146"/>
      <c r="W233" s="147"/>
      <c r="X233" s="147"/>
      <c r="Y233" s="147"/>
      <c r="Z233" s="147"/>
      <c r="AA233" s="147"/>
      <c r="AB233" s="147"/>
      <c r="AC233" s="147"/>
      <c r="AD233" s="148"/>
      <c r="AF233" s="155">
        <f t="shared" si="645"/>
        <v>22600</v>
      </c>
      <c r="AG233" s="78">
        <v>12.407500000000001</v>
      </c>
      <c r="AH233" s="185">
        <v>97.510099999999994</v>
      </c>
      <c r="AI233" s="185">
        <v>128.1865</v>
      </c>
      <c r="AJ233" s="185">
        <v>110.81359999999999</v>
      </c>
      <c r="AK233" s="185">
        <v>108.2084</v>
      </c>
      <c r="AL233" s="185">
        <v>67.723699999999994</v>
      </c>
      <c r="AM233" s="185">
        <v>289.4735</v>
      </c>
      <c r="AN233" s="78">
        <v>36.223199999999999</v>
      </c>
      <c r="AO233" s="78"/>
      <c r="AP233" s="78"/>
      <c r="AQ233" s="78"/>
      <c r="AR233" s="78"/>
      <c r="AS233" s="78"/>
      <c r="AT233" s="78"/>
      <c r="AU233" s="78"/>
      <c r="AV233" s="78"/>
      <c r="AW233" s="78"/>
      <c r="AX233" s="185">
        <v>97.510099999999994</v>
      </c>
      <c r="AY233" s="185">
        <v>128.1865</v>
      </c>
      <c r="AZ233" s="185">
        <v>110.81359999999999</v>
      </c>
      <c r="BA233" s="185">
        <v>108.2084</v>
      </c>
      <c r="BB233" s="185">
        <v>67.723699999999994</v>
      </c>
      <c r="BC233" s="185">
        <v>289.4735</v>
      </c>
      <c r="BD233" s="78"/>
      <c r="BE233" s="78"/>
      <c r="BF233" s="78"/>
      <c r="BG233" s="78"/>
      <c r="BH233" s="78"/>
      <c r="BI233" s="78"/>
      <c r="BJ233" s="78"/>
      <c r="BK233" s="78"/>
      <c r="BL233" s="78"/>
      <c r="BM233" s="78"/>
      <c r="BN233" s="78"/>
      <c r="BO233" s="78"/>
      <c r="BP233" s="78"/>
      <c r="BQ233" s="78"/>
      <c r="BR233" s="78"/>
      <c r="BS233" s="78"/>
      <c r="BT233" s="78"/>
      <c r="BU233" s="78"/>
      <c r="BV233" s="78"/>
      <c r="BW233" s="78"/>
      <c r="BX233" s="78"/>
      <c r="BY233" s="78"/>
      <c r="BZ233" s="78"/>
      <c r="CA233" s="78"/>
      <c r="CB233" s="78">
        <v>328.87</v>
      </c>
      <c r="CC233" s="231">
        <f t="shared" si="583"/>
        <v>22600</v>
      </c>
    </row>
    <row r="234" spans="2:81" s="3" customFormat="1" ht="15.75" thickBot="1" x14ac:dyDescent="0.3">
      <c r="B234" s="158">
        <v>22650</v>
      </c>
      <c r="C234" s="144">
        <f t="shared" si="628"/>
        <v>858.12440000000004</v>
      </c>
      <c r="D234" s="144">
        <f t="shared" si="629"/>
        <v>6263.183</v>
      </c>
      <c r="E234" s="144">
        <f t="shared" si="526"/>
        <v>0</v>
      </c>
      <c r="F234" s="144">
        <f t="shared" si="630"/>
        <v>0</v>
      </c>
      <c r="G234" s="144">
        <f t="shared" si="681"/>
        <v>0</v>
      </c>
      <c r="H234" s="144">
        <f t="shared" si="682"/>
        <v>0</v>
      </c>
      <c r="I234" s="144">
        <f t="shared" si="683"/>
        <v>0</v>
      </c>
      <c r="J234" s="159">
        <f t="shared" si="684"/>
        <v>0</v>
      </c>
      <c r="K234" s="160">
        <f t="shared" si="580"/>
        <v>328.73</v>
      </c>
      <c r="L234" s="152">
        <f t="shared" si="543"/>
        <v>1583</v>
      </c>
      <c r="M234" s="144">
        <f t="shared" si="544"/>
        <v>6542</v>
      </c>
      <c r="N234" s="144"/>
      <c r="O234" s="144">
        <f t="shared" si="563"/>
        <v>0</v>
      </c>
      <c r="P234" s="144">
        <f t="shared" si="546"/>
        <v>0</v>
      </c>
      <c r="Q234" s="144">
        <f t="shared" si="547"/>
        <v>0</v>
      </c>
      <c r="R234" s="144">
        <f t="shared" si="548"/>
        <v>0</v>
      </c>
      <c r="S234" s="144">
        <f t="shared" si="549"/>
        <v>0</v>
      </c>
      <c r="T234" s="144">
        <f t="shared" si="564"/>
        <v>1827</v>
      </c>
      <c r="V234" s="150">
        <f>L233+L234</f>
        <v>2961</v>
      </c>
      <c r="W234" s="150">
        <f t="shared" ref="W234" si="692">M233+M234</f>
        <v>12625</v>
      </c>
      <c r="X234" s="150"/>
      <c r="Y234" s="150">
        <f t="shared" ref="Y234" si="693">O233+O234</f>
        <v>0</v>
      </c>
      <c r="Z234" s="150">
        <f t="shared" ref="Z234" si="694">P233+P234</f>
        <v>0</v>
      </c>
      <c r="AA234" s="150">
        <f t="shared" ref="AA234" si="695">Q233+Q234</f>
        <v>0</v>
      </c>
      <c r="AB234" s="150">
        <f t="shared" ref="AB234" si="696">R233+R234</f>
        <v>0</v>
      </c>
      <c r="AC234" s="150">
        <f t="shared" ref="AC234" si="697">S233+S234</f>
        <v>0</v>
      </c>
      <c r="AD234" s="150">
        <f t="shared" ref="AD234" si="698">T233+T234</f>
        <v>3649</v>
      </c>
      <c r="AF234" s="158">
        <f t="shared" si="645"/>
        <v>22650</v>
      </c>
      <c r="AG234" s="149">
        <v>12.5787</v>
      </c>
      <c r="AH234" s="186">
        <v>189.2927</v>
      </c>
      <c r="AI234" s="186">
        <v>97.936499999999995</v>
      </c>
      <c r="AJ234" s="186">
        <v>200.9117</v>
      </c>
      <c r="AK234" s="186">
        <v>105.2321</v>
      </c>
      <c r="AL234" s="186">
        <v>59.409100000000002</v>
      </c>
      <c r="AM234" s="186">
        <v>144.71969999999999</v>
      </c>
      <c r="AN234" s="149">
        <v>48.043900000000001</v>
      </c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86">
        <v>189.2927</v>
      </c>
      <c r="AY234" s="186">
        <v>97.936499999999995</v>
      </c>
      <c r="AZ234" s="186">
        <v>200.9117</v>
      </c>
      <c r="BA234" s="186">
        <v>105.2321</v>
      </c>
      <c r="BB234" s="186">
        <v>59.409100000000002</v>
      </c>
      <c r="BC234" s="186">
        <v>144.71969999999999</v>
      </c>
      <c r="BD234" s="149">
        <v>5465.6812</v>
      </c>
      <c r="BE234" s="149"/>
      <c r="BF234" s="149"/>
      <c r="BG234" s="149"/>
      <c r="BH234" s="149"/>
      <c r="BI234" s="149"/>
      <c r="BJ234" s="149"/>
      <c r="BK234" s="149"/>
      <c r="BL234" s="149"/>
      <c r="BM234" s="149"/>
      <c r="BN234" s="149"/>
      <c r="BO234" s="149"/>
      <c r="BP234" s="149"/>
      <c r="BQ234" s="149"/>
      <c r="BR234" s="149"/>
      <c r="BS234" s="149"/>
      <c r="BT234" s="149"/>
      <c r="BU234" s="149"/>
      <c r="BV234" s="149"/>
      <c r="BW234" s="149"/>
      <c r="BX234" s="149"/>
      <c r="BY234" s="149"/>
      <c r="BZ234" s="149"/>
      <c r="CA234" s="149"/>
      <c r="CB234" s="149">
        <v>328.73</v>
      </c>
      <c r="CC234" s="231">
        <f t="shared" si="583"/>
        <v>22650</v>
      </c>
    </row>
    <row r="235" spans="2:81" x14ac:dyDescent="0.25">
      <c r="B235" s="155">
        <v>22700</v>
      </c>
      <c r="C235" s="147">
        <f t="shared" si="628"/>
        <v>994.08129999999994</v>
      </c>
      <c r="D235" s="147">
        <f t="shared" si="629"/>
        <v>7249.4246000000003</v>
      </c>
      <c r="E235" s="147">
        <f t="shared" si="526"/>
        <v>0</v>
      </c>
      <c r="F235" s="147">
        <f t="shared" si="630"/>
        <v>0</v>
      </c>
      <c r="G235" s="147">
        <f t="shared" si="681"/>
        <v>0</v>
      </c>
      <c r="H235" s="147">
        <f t="shared" si="682"/>
        <v>0</v>
      </c>
      <c r="I235" s="147">
        <f t="shared" si="683"/>
        <v>0</v>
      </c>
      <c r="J235" s="156">
        <f t="shared" si="684"/>
        <v>0</v>
      </c>
      <c r="K235" s="157">
        <f t="shared" si="580"/>
        <v>335.59</v>
      </c>
      <c r="L235" s="151">
        <f t="shared" si="543"/>
        <v>1716</v>
      </c>
      <c r="M235" s="147">
        <f t="shared" si="544"/>
        <v>12512</v>
      </c>
      <c r="N235" s="147"/>
      <c r="O235" s="147">
        <f t="shared" si="563"/>
        <v>0</v>
      </c>
      <c r="P235" s="147">
        <f t="shared" si="546"/>
        <v>0</v>
      </c>
      <c r="Q235" s="147">
        <f t="shared" si="547"/>
        <v>0</v>
      </c>
      <c r="R235" s="147">
        <f t="shared" si="548"/>
        <v>0</v>
      </c>
      <c r="S235" s="147">
        <f t="shared" si="549"/>
        <v>0</v>
      </c>
      <c r="T235" s="147">
        <f t="shared" si="564"/>
        <v>1846</v>
      </c>
      <c r="V235" s="146"/>
      <c r="W235" s="147"/>
      <c r="X235" s="147"/>
      <c r="Y235" s="147"/>
      <c r="Z235" s="147"/>
      <c r="AA235" s="147"/>
      <c r="AB235" s="147"/>
      <c r="AC235" s="147"/>
      <c r="AD235" s="148"/>
      <c r="AF235" s="155">
        <f t="shared" si="645"/>
        <v>22700</v>
      </c>
      <c r="AG235" s="78">
        <v>7.4819000000000004</v>
      </c>
      <c r="AH235" s="185">
        <v>541.25390000000004</v>
      </c>
      <c r="AI235" s="185">
        <v>118.51779999999999</v>
      </c>
      <c r="AJ235" s="185">
        <v>56.769599999999997</v>
      </c>
      <c r="AK235" s="185">
        <v>48.973100000000002</v>
      </c>
      <c r="AL235" s="185">
        <v>179.44399999999999</v>
      </c>
      <c r="AM235" s="78">
        <v>41.640999999999998</v>
      </c>
      <c r="AN235" s="78"/>
      <c r="AO235" s="78"/>
      <c r="AP235" s="78"/>
      <c r="AQ235" s="78"/>
      <c r="AR235" s="78"/>
      <c r="AS235" s="78"/>
      <c r="AT235" s="78"/>
      <c r="AU235" s="78"/>
      <c r="AV235" s="78"/>
      <c r="AW235" s="78"/>
      <c r="AX235" s="185">
        <v>541.25390000000004</v>
      </c>
      <c r="AY235" s="185">
        <v>118.51779999999999</v>
      </c>
      <c r="AZ235" s="185">
        <v>56.769599999999997</v>
      </c>
      <c r="BA235" s="185">
        <v>48.973100000000002</v>
      </c>
      <c r="BB235" s="185">
        <v>179.44399999999999</v>
      </c>
      <c r="BC235" s="78">
        <v>6304.4661999999998</v>
      </c>
      <c r="BD235" s="78"/>
      <c r="BE235" s="78"/>
      <c r="BF235" s="78"/>
      <c r="BG235" s="78"/>
      <c r="BH235" s="78"/>
      <c r="BI235" s="78"/>
      <c r="BJ235" s="78"/>
      <c r="BK235" s="78"/>
      <c r="BL235" s="78"/>
      <c r="BM235" s="78"/>
      <c r="BN235" s="78"/>
      <c r="BO235" s="78"/>
      <c r="BP235" s="78"/>
      <c r="BQ235" s="78"/>
      <c r="BR235" s="78"/>
      <c r="BS235" s="78"/>
      <c r="BT235" s="78"/>
      <c r="BU235" s="78"/>
      <c r="BV235" s="78"/>
      <c r="BW235" s="78"/>
      <c r="BX235" s="78"/>
      <c r="BY235" s="78"/>
      <c r="BZ235" s="78"/>
      <c r="CA235" s="78"/>
      <c r="CB235" s="78">
        <v>335.59</v>
      </c>
      <c r="CC235" s="231">
        <f t="shared" ref="CC235:CC266" si="699">B235</f>
        <v>22700</v>
      </c>
    </row>
    <row r="236" spans="2:81" s="3" customFormat="1" ht="15.75" thickBot="1" x14ac:dyDescent="0.3">
      <c r="B236" s="158">
        <v>22750</v>
      </c>
      <c r="C236" s="144">
        <f t="shared" si="628"/>
        <v>885.54430000000013</v>
      </c>
      <c r="D236" s="144">
        <f t="shared" si="629"/>
        <v>8401.1314999999995</v>
      </c>
      <c r="E236" s="144">
        <f t="shared" si="526"/>
        <v>0</v>
      </c>
      <c r="F236" s="144">
        <f t="shared" si="630"/>
        <v>0</v>
      </c>
      <c r="G236" s="144">
        <f t="shared" si="681"/>
        <v>0</v>
      </c>
      <c r="H236" s="144">
        <f t="shared" si="682"/>
        <v>0</v>
      </c>
      <c r="I236" s="144">
        <f t="shared" si="683"/>
        <v>0</v>
      </c>
      <c r="J236" s="159">
        <f t="shared" si="684"/>
        <v>0</v>
      </c>
      <c r="K236" s="160">
        <f t="shared" si="580"/>
        <v>355.45</v>
      </c>
      <c r="L236" s="152">
        <f t="shared" si="543"/>
        <v>1741</v>
      </c>
      <c r="M236" s="144">
        <f t="shared" si="544"/>
        <v>14492</v>
      </c>
      <c r="N236" s="144"/>
      <c r="O236" s="144">
        <f t="shared" si="563"/>
        <v>0</v>
      </c>
      <c r="P236" s="144">
        <f t="shared" si="546"/>
        <v>0</v>
      </c>
      <c r="Q236" s="144">
        <f t="shared" si="547"/>
        <v>0</v>
      </c>
      <c r="R236" s="144">
        <f t="shared" si="548"/>
        <v>0</v>
      </c>
      <c r="S236" s="144">
        <f t="shared" si="549"/>
        <v>0</v>
      </c>
      <c r="T236" s="144">
        <f t="shared" si="564"/>
        <v>1920</v>
      </c>
      <c r="V236" s="150">
        <f>L235+L236</f>
        <v>3457</v>
      </c>
      <c r="W236" s="150">
        <f t="shared" ref="W236" si="700">M235+M236</f>
        <v>27004</v>
      </c>
      <c r="X236" s="150"/>
      <c r="Y236" s="150">
        <f t="shared" ref="Y236" si="701">O235+O236</f>
        <v>0</v>
      </c>
      <c r="Z236" s="150">
        <f t="shared" ref="Z236" si="702">P235+P236</f>
        <v>0</v>
      </c>
      <c r="AA236" s="150">
        <f t="shared" ref="AA236" si="703">Q235+Q236</f>
        <v>0</v>
      </c>
      <c r="AB236" s="150">
        <f t="shared" ref="AB236" si="704">R235+R236</f>
        <v>0</v>
      </c>
      <c r="AC236" s="150">
        <f t="shared" ref="AC236" si="705">S235+S236</f>
        <v>0</v>
      </c>
      <c r="AD236" s="150">
        <f t="shared" ref="AD236" si="706">T235+T236</f>
        <v>3766</v>
      </c>
      <c r="AF236" s="158">
        <f t="shared" si="645"/>
        <v>22750</v>
      </c>
      <c r="AG236" s="149">
        <v>8.8521999999999998</v>
      </c>
      <c r="AH236" s="186">
        <v>141.96260000000001</v>
      </c>
      <c r="AI236" s="186">
        <v>228.74369999999999</v>
      </c>
      <c r="AJ236" s="186">
        <v>131.12389999999999</v>
      </c>
      <c r="AK236" s="186">
        <v>137.56530000000001</v>
      </c>
      <c r="AL236" s="186">
        <v>54.123100000000001</v>
      </c>
      <c r="AM236" s="186">
        <v>157.22669999999999</v>
      </c>
      <c r="AN236" s="149">
        <v>25.9468</v>
      </c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86">
        <v>141.96260000000001</v>
      </c>
      <c r="AY236" s="186">
        <v>228.74369999999999</v>
      </c>
      <c r="AZ236" s="186">
        <v>131.12389999999999</v>
      </c>
      <c r="BA236" s="186">
        <v>137.56530000000001</v>
      </c>
      <c r="BB236" s="186">
        <v>54.123100000000001</v>
      </c>
      <c r="BC236" s="186">
        <v>157.22669999999999</v>
      </c>
      <c r="BD236" s="149">
        <v>7550.3861999999999</v>
      </c>
      <c r="BE236" s="149"/>
      <c r="BF236" s="149"/>
      <c r="BG236" s="149"/>
      <c r="BH236" s="149"/>
      <c r="BI236" s="149"/>
      <c r="BJ236" s="149"/>
      <c r="BK236" s="149"/>
      <c r="BL236" s="149"/>
      <c r="BM236" s="149"/>
      <c r="BN236" s="149"/>
      <c r="BO236" s="149"/>
      <c r="BP236" s="149"/>
      <c r="BQ236" s="149"/>
      <c r="BR236" s="149"/>
      <c r="BS236" s="149"/>
      <c r="BT236" s="149"/>
      <c r="BU236" s="149"/>
      <c r="BV236" s="149"/>
      <c r="BW236" s="149"/>
      <c r="BX236" s="149"/>
      <c r="BY236" s="149"/>
      <c r="BZ236" s="149"/>
      <c r="CA236" s="149"/>
      <c r="CB236" s="149">
        <v>355.45</v>
      </c>
      <c r="CC236" s="231">
        <f t="shared" si="699"/>
        <v>22750</v>
      </c>
    </row>
    <row r="237" spans="2:81" x14ac:dyDescent="0.25">
      <c r="B237" s="155">
        <v>22800</v>
      </c>
      <c r="C237" s="147">
        <f t="shared" si="628"/>
        <v>979.99250000000018</v>
      </c>
      <c r="D237" s="147">
        <f t="shared" si="629"/>
        <v>10842.386399999999</v>
      </c>
      <c r="E237" s="147">
        <f t="shared" si="526"/>
        <v>0</v>
      </c>
      <c r="F237" s="147">
        <f t="shared" si="630"/>
        <v>0</v>
      </c>
      <c r="G237" s="147">
        <f t="shared" si="681"/>
        <v>0</v>
      </c>
      <c r="H237" s="147">
        <f t="shared" si="682"/>
        <v>0</v>
      </c>
      <c r="I237" s="147">
        <f t="shared" si="683"/>
        <v>0</v>
      </c>
      <c r="J237" s="156">
        <f t="shared" si="684"/>
        <v>0</v>
      </c>
      <c r="K237" s="157">
        <f t="shared" si="580"/>
        <v>373.84</v>
      </c>
      <c r="L237" s="151">
        <f t="shared" si="543"/>
        <v>1728</v>
      </c>
      <c r="M237" s="147">
        <f t="shared" si="544"/>
        <v>17819</v>
      </c>
      <c r="N237" s="147"/>
      <c r="O237" s="147">
        <f t="shared" si="563"/>
        <v>0</v>
      </c>
      <c r="P237" s="147">
        <f t="shared" si="546"/>
        <v>0</v>
      </c>
      <c r="Q237" s="147">
        <f t="shared" si="547"/>
        <v>0</v>
      </c>
      <c r="R237" s="147">
        <f t="shared" si="548"/>
        <v>0</v>
      </c>
      <c r="S237" s="147">
        <f t="shared" si="549"/>
        <v>0</v>
      </c>
      <c r="T237" s="147">
        <f t="shared" si="564"/>
        <v>2026</v>
      </c>
      <c r="V237" s="146"/>
      <c r="W237" s="147"/>
      <c r="X237" s="147"/>
      <c r="Y237" s="147"/>
      <c r="Z237" s="147"/>
      <c r="AA237" s="147"/>
      <c r="AB237" s="147"/>
      <c r="AC237" s="147"/>
      <c r="AD237" s="148"/>
      <c r="AF237" s="155">
        <f t="shared" si="645"/>
        <v>22800</v>
      </c>
      <c r="AG237" s="78">
        <v>11.6675</v>
      </c>
      <c r="AH237" s="185">
        <v>402.5104</v>
      </c>
      <c r="AI237" s="185">
        <v>163.8562</v>
      </c>
      <c r="AJ237" s="185">
        <v>215.7064</v>
      </c>
      <c r="AK237" s="185">
        <v>151.21270000000001</v>
      </c>
      <c r="AL237" s="78">
        <v>35.039299999999997</v>
      </c>
      <c r="AM237" s="78"/>
      <c r="AN237" s="78"/>
      <c r="AO237" s="78"/>
      <c r="AP237" s="78"/>
      <c r="AQ237" s="78"/>
      <c r="AR237" s="78"/>
      <c r="AS237" s="78"/>
      <c r="AT237" s="78"/>
      <c r="AU237" s="78"/>
      <c r="AV237" s="78"/>
      <c r="AW237" s="78"/>
      <c r="AX237" s="185">
        <v>402.5104</v>
      </c>
      <c r="AY237" s="185">
        <v>163.8562</v>
      </c>
      <c r="AZ237" s="185">
        <v>215.7064</v>
      </c>
      <c r="BA237" s="185">
        <v>151.21270000000001</v>
      </c>
      <c r="BB237" s="78">
        <v>9894.3439999999991</v>
      </c>
      <c r="BC237" s="78">
        <v>14.7567</v>
      </c>
      <c r="BD237" s="78"/>
      <c r="BE237" s="78"/>
      <c r="BF237" s="78"/>
      <c r="BG237" s="78"/>
      <c r="BH237" s="78"/>
      <c r="BI237" s="78"/>
      <c r="BJ237" s="78"/>
      <c r="BK237" s="78"/>
      <c r="BL237" s="78"/>
      <c r="BM237" s="78"/>
      <c r="BN237" s="78"/>
      <c r="BO237" s="78"/>
      <c r="BP237" s="78"/>
      <c r="BQ237" s="78"/>
      <c r="BR237" s="78"/>
      <c r="BS237" s="78"/>
      <c r="BT237" s="78"/>
      <c r="BU237" s="78"/>
      <c r="BV237" s="78"/>
      <c r="BW237" s="78"/>
      <c r="BX237" s="78"/>
      <c r="BY237" s="78"/>
      <c r="BZ237" s="78"/>
      <c r="CA237" s="78"/>
      <c r="CB237" s="78">
        <v>373.84</v>
      </c>
      <c r="CC237" s="231">
        <f t="shared" si="699"/>
        <v>22800</v>
      </c>
    </row>
    <row r="238" spans="2:81" s="3" customFormat="1" ht="15.75" thickBot="1" x14ac:dyDescent="0.3">
      <c r="B238" s="158">
        <v>22850</v>
      </c>
      <c r="C238" s="144">
        <f t="shared" si="628"/>
        <v>762.0643</v>
      </c>
      <c r="D238" s="144">
        <f t="shared" si="629"/>
        <v>12113.4676</v>
      </c>
      <c r="E238" s="144">
        <f t="shared" si="526"/>
        <v>0</v>
      </c>
      <c r="F238" s="144">
        <f t="shared" si="630"/>
        <v>0</v>
      </c>
      <c r="G238" s="144">
        <f t="shared" si="681"/>
        <v>0</v>
      </c>
      <c r="H238" s="144">
        <f t="shared" si="682"/>
        <v>0</v>
      </c>
      <c r="I238" s="144">
        <f t="shared" si="683"/>
        <v>0</v>
      </c>
      <c r="J238" s="159">
        <f t="shared" si="684"/>
        <v>0</v>
      </c>
      <c r="K238" s="160">
        <f t="shared" si="580"/>
        <v>447.51</v>
      </c>
      <c r="L238" s="152">
        <f t="shared" si="543"/>
        <v>1614</v>
      </c>
      <c r="M238" s="144">
        <f t="shared" si="544"/>
        <v>21256</v>
      </c>
      <c r="N238" s="144"/>
      <c r="O238" s="144">
        <f t="shared" si="563"/>
        <v>0</v>
      </c>
      <c r="P238" s="144">
        <f t="shared" si="546"/>
        <v>0</v>
      </c>
      <c r="Q238" s="144">
        <f t="shared" si="547"/>
        <v>0</v>
      </c>
      <c r="R238" s="144">
        <f t="shared" si="548"/>
        <v>0</v>
      </c>
      <c r="S238" s="144">
        <f t="shared" si="549"/>
        <v>0</v>
      </c>
      <c r="T238" s="144">
        <f t="shared" si="564"/>
        <v>2282</v>
      </c>
      <c r="V238" s="150">
        <f>L237+L238</f>
        <v>3342</v>
      </c>
      <c r="W238" s="150">
        <f t="shared" ref="W238" si="707">M237+M238</f>
        <v>39075</v>
      </c>
      <c r="X238" s="150"/>
      <c r="Y238" s="150">
        <f t="shared" ref="Y238" si="708">O237+O238</f>
        <v>0</v>
      </c>
      <c r="Z238" s="150">
        <f t="shared" ref="Z238" si="709">P237+P238</f>
        <v>0</v>
      </c>
      <c r="AA238" s="150">
        <f t="shared" ref="AA238" si="710">Q237+Q238</f>
        <v>0</v>
      </c>
      <c r="AB238" s="150">
        <f t="shared" ref="AB238" si="711">R237+R238</f>
        <v>0</v>
      </c>
      <c r="AC238" s="150">
        <f t="shared" ref="AC238" si="712">S237+S238</f>
        <v>0</v>
      </c>
      <c r="AD238" s="150">
        <f t="shared" ref="AD238" si="713">T237+T238</f>
        <v>4308</v>
      </c>
      <c r="AF238" s="158">
        <f t="shared" si="645"/>
        <v>22850</v>
      </c>
      <c r="AG238" s="149">
        <v>257.88510000000002</v>
      </c>
      <c r="AH238" s="186">
        <v>172.07079999999999</v>
      </c>
      <c r="AI238" s="186">
        <v>222.88759999999999</v>
      </c>
      <c r="AJ238" s="186">
        <v>77.817599999999999</v>
      </c>
      <c r="AK238" s="149">
        <v>31.403199999999998</v>
      </c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86">
        <v>172.07079999999999</v>
      </c>
      <c r="AY238" s="186">
        <v>222.88759999999999</v>
      </c>
      <c r="AZ238" s="186">
        <v>77.817599999999999</v>
      </c>
      <c r="BA238" s="149">
        <v>11626.062599999999</v>
      </c>
      <c r="BB238" s="149">
        <v>14.629</v>
      </c>
      <c r="BC238" s="149"/>
      <c r="BD238" s="149"/>
      <c r="BE238" s="149"/>
      <c r="BF238" s="149"/>
      <c r="BG238" s="149"/>
      <c r="BH238" s="149"/>
      <c r="BI238" s="149"/>
      <c r="BJ238" s="149"/>
      <c r="BK238" s="149"/>
      <c r="BL238" s="149"/>
      <c r="BM238" s="149"/>
      <c r="BN238" s="149"/>
      <c r="BO238" s="149"/>
      <c r="BP238" s="149"/>
      <c r="BQ238" s="149"/>
      <c r="BR238" s="149"/>
      <c r="BS238" s="149"/>
      <c r="BT238" s="149"/>
      <c r="BU238" s="149"/>
      <c r="BV238" s="149"/>
      <c r="BW238" s="149"/>
      <c r="BX238" s="149"/>
      <c r="BY238" s="149"/>
      <c r="BZ238" s="149"/>
      <c r="CA238" s="149"/>
      <c r="CB238" s="149">
        <v>447.51</v>
      </c>
      <c r="CC238" s="231">
        <f t="shared" si="699"/>
        <v>22850</v>
      </c>
    </row>
    <row r="239" spans="2:81" x14ac:dyDescent="0.25">
      <c r="B239" s="155">
        <v>22900</v>
      </c>
      <c r="C239" s="147">
        <f t="shared" si="628"/>
        <v>270.4778</v>
      </c>
      <c r="D239" s="147">
        <f t="shared" si="629"/>
        <v>14028.3639</v>
      </c>
      <c r="E239" s="147">
        <f t="shared" si="526"/>
        <v>0</v>
      </c>
      <c r="F239" s="147">
        <f t="shared" si="630"/>
        <v>0</v>
      </c>
      <c r="G239" s="147">
        <f t="shared" si="681"/>
        <v>0</v>
      </c>
      <c r="H239" s="147">
        <f t="shared" si="682"/>
        <v>0</v>
      </c>
      <c r="I239" s="147">
        <f t="shared" si="683"/>
        <v>0</v>
      </c>
      <c r="J239" s="156">
        <f t="shared" si="684"/>
        <v>0</v>
      </c>
      <c r="K239" s="157">
        <f t="shared" si="580"/>
        <v>459.4</v>
      </c>
      <c r="L239" s="151">
        <f t="shared" si="543"/>
        <v>957</v>
      </c>
      <c r="M239" s="147">
        <f t="shared" si="544"/>
        <v>24206</v>
      </c>
      <c r="N239" s="147"/>
      <c r="O239" s="147">
        <f t="shared" si="563"/>
        <v>0</v>
      </c>
      <c r="P239" s="147">
        <f t="shared" si="546"/>
        <v>0</v>
      </c>
      <c r="Q239" s="147">
        <f t="shared" si="547"/>
        <v>0</v>
      </c>
      <c r="R239" s="147">
        <f t="shared" si="548"/>
        <v>0</v>
      </c>
      <c r="S239" s="147">
        <f t="shared" si="549"/>
        <v>0</v>
      </c>
      <c r="T239" s="147">
        <f t="shared" si="564"/>
        <v>2520</v>
      </c>
      <c r="V239" s="146"/>
      <c r="W239" s="147"/>
      <c r="X239" s="147"/>
      <c r="Y239" s="147"/>
      <c r="Z239" s="147"/>
      <c r="AA239" s="147"/>
      <c r="AB239" s="147"/>
      <c r="AC239" s="147"/>
      <c r="AD239" s="148"/>
      <c r="AF239" s="155">
        <f t="shared" si="645"/>
        <v>22900</v>
      </c>
      <c r="AG239" s="78">
        <v>224.45599999999999</v>
      </c>
      <c r="AH239" s="78">
        <v>46.021799999999999</v>
      </c>
      <c r="AI239" s="78"/>
      <c r="AJ239" s="78"/>
      <c r="AK239" s="78"/>
      <c r="AL239" s="78"/>
      <c r="AM239" s="78"/>
      <c r="AN239" s="78"/>
      <c r="AO239" s="78"/>
      <c r="AP239" s="78"/>
      <c r="AQ239" s="78"/>
      <c r="AR239" s="78"/>
      <c r="AS239" s="78"/>
      <c r="AT239" s="78"/>
      <c r="AU239" s="78"/>
      <c r="AV239" s="78"/>
      <c r="AW239" s="78"/>
      <c r="AX239" s="78">
        <v>14014.4825</v>
      </c>
      <c r="AY239" s="78">
        <v>13.881399999999999</v>
      </c>
      <c r="AZ239" s="78"/>
      <c r="BA239" s="78"/>
      <c r="BB239" s="78"/>
      <c r="BC239" s="78"/>
      <c r="BD239" s="78"/>
      <c r="BE239" s="78"/>
      <c r="BF239" s="78"/>
      <c r="BG239" s="78"/>
      <c r="BH239" s="78"/>
      <c r="BI239" s="78"/>
      <c r="BJ239" s="78"/>
      <c r="BK239" s="78"/>
      <c r="BL239" s="78"/>
      <c r="BM239" s="78"/>
      <c r="BN239" s="78"/>
      <c r="BO239" s="78"/>
      <c r="BP239" s="78"/>
      <c r="BQ239" s="78"/>
      <c r="BR239" s="78"/>
      <c r="BS239" s="78"/>
      <c r="BT239" s="78"/>
      <c r="BU239" s="78"/>
      <c r="BV239" s="78"/>
      <c r="BW239" s="78"/>
      <c r="BX239" s="78"/>
      <c r="BY239" s="78"/>
      <c r="BZ239" s="78"/>
      <c r="CA239" s="78"/>
      <c r="CB239" s="78">
        <v>459.4</v>
      </c>
      <c r="CC239" s="231">
        <f t="shared" si="699"/>
        <v>22900</v>
      </c>
    </row>
    <row r="240" spans="2:81" s="3" customFormat="1" ht="15.75" thickBot="1" x14ac:dyDescent="0.3">
      <c r="B240" s="158">
        <v>22950</v>
      </c>
      <c r="C240" s="144">
        <f t="shared" si="628"/>
        <v>36.118299999999998</v>
      </c>
      <c r="D240" s="144">
        <f t="shared" si="629"/>
        <v>16554.223700000002</v>
      </c>
      <c r="E240" s="144">
        <f t="shared" si="526"/>
        <v>0</v>
      </c>
      <c r="F240" s="144">
        <f t="shared" si="630"/>
        <v>0</v>
      </c>
      <c r="G240" s="144">
        <f t="shared" si="681"/>
        <v>0</v>
      </c>
      <c r="H240" s="144">
        <f t="shared" si="682"/>
        <v>0</v>
      </c>
      <c r="I240" s="144">
        <f t="shared" si="683"/>
        <v>0</v>
      </c>
      <c r="J240" s="159">
        <f t="shared" si="684"/>
        <v>0</v>
      </c>
      <c r="K240" s="160">
        <f t="shared" si="580"/>
        <v>470.46</v>
      </c>
      <c r="L240" s="152">
        <f t="shared" si="543"/>
        <v>284</v>
      </c>
      <c r="M240" s="144">
        <f t="shared" si="544"/>
        <v>28318</v>
      </c>
      <c r="N240" s="144"/>
      <c r="O240" s="144">
        <f t="shared" si="563"/>
        <v>0</v>
      </c>
      <c r="P240" s="144">
        <f t="shared" si="546"/>
        <v>0</v>
      </c>
      <c r="Q240" s="144">
        <f t="shared" si="547"/>
        <v>0</v>
      </c>
      <c r="R240" s="144">
        <f t="shared" si="548"/>
        <v>0</v>
      </c>
      <c r="S240" s="144">
        <f t="shared" si="549"/>
        <v>0</v>
      </c>
      <c r="T240" s="144">
        <f t="shared" si="564"/>
        <v>2583</v>
      </c>
      <c r="V240" s="150">
        <f>L239+L240</f>
        <v>1241</v>
      </c>
      <c r="W240" s="150">
        <f t="shared" ref="W240" si="714">M239+M240</f>
        <v>52524</v>
      </c>
      <c r="X240" s="150"/>
      <c r="Y240" s="150">
        <f t="shared" ref="Y240" si="715">O239+O240</f>
        <v>0</v>
      </c>
      <c r="Z240" s="150">
        <f t="shared" ref="Z240" si="716">P239+P240</f>
        <v>0</v>
      </c>
      <c r="AA240" s="150">
        <f t="shared" ref="AA240" si="717">Q239+Q240</f>
        <v>0</v>
      </c>
      <c r="AB240" s="150">
        <f t="shared" ref="AB240" si="718">R239+R240</f>
        <v>0</v>
      </c>
      <c r="AC240" s="150">
        <f t="shared" ref="AC240" si="719">S239+S240</f>
        <v>0</v>
      </c>
      <c r="AD240" s="150">
        <f t="shared" ref="AD240" si="720">T239+T240</f>
        <v>5103</v>
      </c>
      <c r="AF240" s="158">
        <f t="shared" si="645"/>
        <v>22950</v>
      </c>
      <c r="AG240" s="149">
        <v>36.118299999999998</v>
      </c>
      <c r="AH240" s="149"/>
      <c r="AI240" s="149"/>
      <c r="AJ240" s="149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>
        <v>16539.811600000001</v>
      </c>
      <c r="AY240" s="149">
        <v>14.412100000000001</v>
      </c>
      <c r="AZ240" s="149"/>
      <c r="BA240" s="149"/>
      <c r="BB240" s="149"/>
      <c r="BC240" s="149"/>
      <c r="BD240" s="149"/>
      <c r="BE240" s="149"/>
      <c r="BF240" s="149"/>
      <c r="BG240" s="149"/>
      <c r="BH240" s="149"/>
      <c r="BI240" s="149"/>
      <c r="BJ240" s="149"/>
      <c r="BK240" s="149"/>
      <c r="BL240" s="149"/>
      <c r="BM240" s="149"/>
      <c r="BN240" s="149"/>
      <c r="BO240" s="149"/>
      <c r="BP240" s="149"/>
      <c r="BQ240" s="149"/>
      <c r="BR240" s="149"/>
      <c r="BS240" s="149"/>
      <c r="BT240" s="149"/>
      <c r="BU240" s="149"/>
      <c r="BV240" s="149"/>
      <c r="BW240" s="149"/>
      <c r="BX240" s="149"/>
      <c r="BY240" s="149"/>
      <c r="BZ240" s="149"/>
      <c r="CA240" s="149"/>
      <c r="CB240" s="149">
        <v>470.46</v>
      </c>
      <c r="CC240" s="231">
        <f t="shared" si="699"/>
        <v>22950</v>
      </c>
    </row>
    <row r="241" spans="2:81" x14ac:dyDescent="0.25">
      <c r="B241" s="155">
        <v>23000</v>
      </c>
      <c r="C241" s="147">
        <f t="shared" si="628"/>
        <v>22.977900000000002</v>
      </c>
      <c r="D241" s="147">
        <f t="shared" si="629"/>
        <v>15738.411</v>
      </c>
      <c r="E241" s="147">
        <f t="shared" si="526"/>
        <v>0</v>
      </c>
      <c r="F241" s="147">
        <f t="shared" si="630"/>
        <v>0</v>
      </c>
      <c r="G241" s="147">
        <f t="shared" si="681"/>
        <v>0</v>
      </c>
      <c r="H241" s="147">
        <f t="shared" si="682"/>
        <v>0</v>
      </c>
      <c r="I241" s="147">
        <f t="shared" si="683"/>
        <v>0</v>
      </c>
      <c r="J241" s="156">
        <f t="shared" si="684"/>
        <v>0</v>
      </c>
      <c r="K241" s="157">
        <f t="shared" si="580"/>
        <v>415.08</v>
      </c>
      <c r="L241" s="151">
        <f t="shared" si="543"/>
        <v>55</v>
      </c>
      <c r="M241" s="147">
        <f t="shared" si="544"/>
        <v>29901</v>
      </c>
      <c r="N241" s="147"/>
      <c r="O241" s="147">
        <f t="shared" si="563"/>
        <v>0</v>
      </c>
      <c r="P241" s="147">
        <f t="shared" si="546"/>
        <v>0</v>
      </c>
      <c r="Q241" s="147">
        <f t="shared" si="547"/>
        <v>0</v>
      </c>
      <c r="R241" s="147">
        <f t="shared" si="548"/>
        <v>0</v>
      </c>
      <c r="S241" s="147">
        <f t="shared" si="549"/>
        <v>0</v>
      </c>
      <c r="T241" s="147">
        <f t="shared" si="564"/>
        <v>2460</v>
      </c>
      <c r="V241" s="146"/>
      <c r="W241" s="147"/>
      <c r="X241" s="147"/>
      <c r="Y241" s="147"/>
      <c r="Z241" s="147"/>
      <c r="AA241" s="147"/>
      <c r="AB241" s="147"/>
      <c r="AC241" s="147"/>
      <c r="AD241" s="148"/>
      <c r="AF241" s="155">
        <f t="shared" si="645"/>
        <v>23000</v>
      </c>
      <c r="AG241" s="78">
        <v>22.977900000000002</v>
      </c>
      <c r="AH241" s="78"/>
      <c r="AI241" s="78"/>
      <c r="AJ241" s="78"/>
      <c r="AK241" s="78"/>
      <c r="AL241" s="78"/>
      <c r="AM241" s="78"/>
      <c r="AN241" s="78"/>
      <c r="AO241" s="78"/>
      <c r="AP241" s="78"/>
      <c r="AQ241" s="78"/>
      <c r="AR241" s="78"/>
      <c r="AS241" s="78"/>
      <c r="AT241" s="78"/>
      <c r="AU241" s="78"/>
      <c r="AV241" s="78"/>
      <c r="AW241" s="78"/>
      <c r="AX241" s="78">
        <v>15721.8529</v>
      </c>
      <c r="AY241" s="78">
        <v>16.5581</v>
      </c>
      <c r="AZ241" s="78"/>
      <c r="BA241" s="78"/>
      <c r="BB241" s="78"/>
      <c r="BC241" s="78"/>
      <c r="BD241" s="78"/>
      <c r="BE241" s="78"/>
      <c r="BF241" s="78"/>
      <c r="BG241" s="78"/>
      <c r="BH241" s="78"/>
      <c r="BI241" s="78"/>
      <c r="BJ241" s="78"/>
      <c r="BK241" s="78"/>
      <c r="BL241" s="78"/>
      <c r="BM241" s="78"/>
      <c r="BN241" s="78"/>
      <c r="BO241" s="78"/>
      <c r="BP241" s="78"/>
      <c r="BQ241" s="78"/>
      <c r="BR241" s="78"/>
      <c r="BS241" s="78"/>
      <c r="BT241" s="78"/>
      <c r="BU241" s="78"/>
      <c r="BV241" s="78"/>
      <c r="BW241" s="78"/>
      <c r="BX241" s="78"/>
      <c r="BY241" s="78"/>
      <c r="BZ241" s="78"/>
      <c r="CA241" s="78"/>
      <c r="CB241" s="78">
        <v>415.08</v>
      </c>
      <c r="CC241" s="231">
        <f t="shared" si="699"/>
        <v>23000</v>
      </c>
    </row>
    <row r="242" spans="2:81" s="3" customFormat="1" ht="15.75" thickBot="1" x14ac:dyDescent="0.3">
      <c r="B242" s="158">
        <v>23050</v>
      </c>
      <c r="C242" s="144">
        <f t="shared" si="628"/>
        <v>98.168499999999995</v>
      </c>
      <c r="D242" s="144">
        <f t="shared" si="629"/>
        <v>12940.512200000001</v>
      </c>
      <c r="E242" s="144">
        <f t="shared" si="526"/>
        <v>0</v>
      </c>
      <c r="F242" s="144">
        <f t="shared" si="630"/>
        <v>0</v>
      </c>
      <c r="G242" s="144">
        <f t="shared" si="681"/>
        <v>0</v>
      </c>
      <c r="H242" s="144">
        <f t="shared" si="682"/>
        <v>0</v>
      </c>
      <c r="I242" s="144">
        <f t="shared" si="683"/>
        <v>0</v>
      </c>
      <c r="J242" s="159">
        <f t="shared" si="684"/>
        <v>0</v>
      </c>
      <c r="K242" s="160">
        <f t="shared" si="580"/>
        <v>385.87</v>
      </c>
      <c r="L242" s="152">
        <f t="shared" si="543"/>
        <v>113</v>
      </c>
      <c r="M242" s="144">
        <f t="shared" si="544"/>
        <v>26555</v>
      </c>
      <c r="N242" s="144"/>
      <c r="O242" s="144">
        <f t="shared" si="563"/>
        <v>0</v>
      </c>
      <c r="P242" s="144">
        <f t="shared" si="546"/>
        <v>0</v>
      </c>
      <c r="Q242" s="144">
        <f t="shared" si="547"/>
        <v>0</v>
      </c>
      <c r="R242" s="144">
        <f t="shared" si="548"/>
        <v>0</v>
      </c>
      <c r="S242" s="144">
        <f t="shared" si="549"/>
        <v>0</v>
      </c>
      <c r="T242" s="144">
        <f t="shared" si="564"/>
        <v>2225</v>
      </c>
      <c r="V242" s="150">
        <f>L241+L242</f>
        <v>168</v>
      </c>
      <c r="W242" s="150">
        <f>M241+M242</f>
        <v>56456</v>
      </c>
      <c r="X242" s="150"/>
      <c r="Y242" s="150">
        <f t="shared" ref="Y242" si="721">O241+O242</f>
        <v>0</v>
      </c>
      <c r="Z242" s="150">
        <f t="shared" ref="Z242" si="722">P241+P242</f>
        <v>0</v>
      </c>
      <c r="AA242" s="150">
        <f t="shared" ref="AA242" si="723">Q241+Q242</f>
        <v>0</v>
      </c>
      <c r="AB242" s="150">
        <f t="shared" ref="AB242" si="724">R241+R242</f>
        <v>0</v>
      </c>
      <c r="AC242" s="150">
        <f t="shared" ref="AC242" si="725">S241+S242</f>
        <v>0</v>
      </c>
      <c r="AD242" s="150">
        <f t="shared" ref="AD242" si="726">T241+T242</f>
        <v>4685</v>
      </c>
      <c r="AF242" s="158">
        <f t="shared" si="645"/>
        <v>23050</v>
      </c>
      <c r="AG242" s="149">
        <v>98.168499999999995</v>
      </c>
      <c r="AH242" s="149"/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>
        <v>12924.808000000001</v>
      </c>
      <c r="AY242" s="149">
        <v>15.7042</v>
      </c>
      <c r="AZ242" s="149"/>
      <c r="BA242" s="149"/>
      <c r="BB242" s="149"/>
      <c r="BC242" s="149"/>
      <c r="BD242" s="149"/>
      <c r="BE242" s="149"/>
      <c r="BF242" s="149"/>
      <c r="BG242" s="149"/>
      <c r="BH242" s="149"/>
      <c r="BI242" s="149"/>
      <c r="BJ242" s="149"/>
      <c r="BK242" s="149"/>
      <c r="BL242" s="149"/>
      <c r="BM242" s="149"/>
      <c r="BN242" s="149"/>
      <c r="BO242" s="149"/>
      <c r="BP242" s="149"/>
      <c r="BQ242" s="149"/>
      <c r="BR242" s="149"/>
      <c r="BS242" s="149"/>
      <c r="BT242" s="149"/>
      <c r="BU242" s="149"/>
      <c r="BV242" s="149"/>
      <c r="BW242" s="149"/>
      <c r="BX242" s="149"/>
      <c r="BY242" s="149"/>
      <c r="BZ242" s="149"/>
      <c r="CA242" s="149"/>
      <c r="CB242" s="149">
        <v>385.87</v>
      </c>
      <c r="CC242" s="231">
        <f t="shared" si="699"/>
        <v>23050</v>
      </c>
    </row>
    <row r="243" spans="2:81" x14ac:dyDescent="0.25">
      <c r="B243" s="155">
        <v>23100</v>
      </c>
      <c r="C243" s="147">
        <f t="shared" si="628"/>
        <v>55.050899999999999</v>
      </c>
      <c r="D243" s="147">
        <f t="shared" si="629"/>
        <v>9116.303899999999</v>
      </c>
      <c r="E243" s="147">
        <f t="shared" si="526"/>
        <v>0</v>
      </c>
      <c r="F243" s="147">
        <f t="shared" si="630"/>
        <v>0</v>
      </c>
      <c r="G243" s="147">
        <f t="shared" si="681"/>
        <v>0</v>
      </c>
      <c r="H243" s="147">
        <f t="shared" si="682"/>
        <v>0</v>
      </c>
      <c r="I243" s="147">
        <f t="shared" si="683"/>
        <v>0</v>
      </c>
      <c r="J243" s="156">
        <f t="shared" si="684"/>
        <v>0</v>
      </c>
      <c r="K243" s="157">
        <f t="shared" si="580"/>
        <v>315.76</v>
      </c>
      <c r="L243" s="151">
        <f t="shared" si="543"/>
        <v>142</v>
      </c>
      <c r="M243" s="147">
        <f t="shared" si="544"/>
        <v>20423</v>
      </c>
      <c r="N243" s="147"/>
      <c r="O243" s="147">
        <f t="shared" si="563"/>
        <v>0</v>
      </c>
      <c r="P243" s="147">
        <f t="shared" si="546"/>
        <v>0</v>
      </c>
      <c r="Q243" s="147">
        <f t="shared" si="547"/>
        <v>0</v>
      </c>
      <c r="R243" s="147">
        <f t="shared" si="548"/>
        <v>0</v>
      </c>
      <c r="S243" s="147">
        <f t="shared" si="549"/>
        <v>0</v>
      </c>
      <c r="T243" s="147">
        <f t="shared" si="564"/>
        <v>1949</v>
      </c>
      <c r="V243" s="146"/>
      <c r="W243" s="147"/>
      <c r="X243" s="147"/>
      <c r="Y243" s="147"/>
      <c r="Z243" s="147"/>
      <c r="AA243" s="147"/>
      <c r="AB243" s="147"/>
      <c r="AC243" s="147"/>
      <c r="AD243" s="148"/>
      <c r="AF243" s="155">
        <f t="shared" si="645"/>
        <v>23100</v>
      </c>
      <c r="AG243" s="78">
        <v>18.5276</v>
      </c>
      <c r="AH243" s="78">
        <v>36.523299999999999</v>
      </c>
      <c r="AI243" s="78"/>
      <c r="AJ243" s="78"/>
      <c r="AK243" s="78"/>
      <c r="AL243" s="78"/>
      <c r="AM243" s="78"/>
      <c r="AN243" s="78"/>
      <c r="AO243" s="78"/>
      <c r="AP243" s="78"/>
      <c r="AQ243" s="78"/>
      <c r="AR243" s="78"/>
      <c r="AS243" s="78"/>
      <c r="AT243" s="78"/>
      <c r="AU243" s="78"/>
      <c r="AV243" s="78"/>
      <c r="AW243" s="78"/>
      <c r="AX243" s="78">
        <v>9100.9228999999996</v>
      </c>
      <c r="AY243" s="78">
        <v>15.381</v>
      </c>
      <c r="AZ243" s="78"/>
      <c r="BA243" s="78"/>
      <c r="BB243" s="78"/>
      <c r="BC243" s="78"/>
      <c r="BD243" s="78"/>
      <c r="BE243" s="78"/>
      <c r="BF243" s="78"/>
      <c r="BG243" s="78"/>
      <c r="BH243" s="78"/>
      <c r="BI243" s="78"/>
      <c r="BJ243" s="78"/>
      <c r="BK243" s="78"/>
      <c r="BL243" s="78"/>
      <c r="BM243" s="78"/>
      <c r="BN243" s="78"/>
      <c r="BO243" s="78"/>
      <c r="BP243" s="78"/>
      <c r="BQ243" s="78"/>
      <c r="BR243" s="78"/>
      <c r="BS243" s="78"/>
      <c r="BT243" s="78"/>
      <c r="BU243" s="78"/>
      <c r="BV243" s="78"/>
      <c r="BW243" s="78"/>
      <c r="BX243" s="78"/>
      <c r="BY243" s="78"/>
      <c r="BZ243" s="78"/>
      <c r="CA243" s="78"/>
      <c r="CB243" s="78">
        <v>315.76</v>
      </c>
      <c r="CC243" s="231">
        <f t="shared" si="699"/>
        <v>23100</v>
      </c>
    </row>
    <row r="244" spans="2:81" x14ac:dyDescent="0.25">
      <c r="B244" s="57">
        <v>23150</v>
      </c>
      <c r="C244" s="58">
        <f t="shared" si="628"/>
        <v>6.8612000000000002</v>
      </c>
      <c r="D244" s="58">
        <f t="shared" si="629"/>
        <v>6505.4614000000001</v>
      </c>
      <c r="E244" s="58">
        <f t="shared" si="526"/>
        <v>0</v>
      </c>
      <c r="F244" s="58">
        <f t="shared" si="630"/>
        <v>0</v>
      </c>
      <c r="G244" s="58">
        <f t="shared" si="681"/>
        <v>0</v>
      </c>
      <c r="H244" s="58">
        <f t="shared" si="682"/>
        <v>0</v>
      </c>
      <c r="I244" s="58">
        <f t="shared" si="683"/>
        <v>0</v>
      </c>
      <c r="J244" s="51">
        <f t="shared" si="684"/>
        <v>0</v>
      </c>
      <c r="K244" s="99">
        <f t="shared" si="580"/>
        <v>231.62</v>
      </c>
      <c r="L244" s="105">
        <f t="shared" si="543"/>
        <v>58</v>
      </c>
      <c r="M244" s="58">
        <f t="shared" si="544"/>
        <v>14465</v>
      </c>
      <c r="N244" s="58"/>
      <c r="O244" s="58">
        <f t="shared" si="563"/>
        <v>0</v>
      </c>
      <c r="P244" s="58">
        <f t="shared" si="546"/>
        <v>0</v>
      </c>
      <c r="Q244" s="58">
        <f t="shared" si="547"/>
        <v>0</v>
      </c>
      <c r="R244" s="58">
        <f t="shared" si="548"/>
        <v>0</v>
      </c>
      <c r="S244" s="58">
        <f t="shared" si="549"/>
        <v>0</v>
      </c>
      <c r="T244" s="58">
        <f t="shared" si="564"/>
        <v>1521</v>
      </c>
      <c r="V244" s="137"/>
      <c r="W244" s="58"/>
      <c r="X244" s="58"/>
      <c r="Y244" s="58"/>
      <c r="Z244" s="58"/>
      <c r="AA244" s="58"/>
      <c r="AB244" s="58"/>
      <c r="AC244" s="58"/>
      <c r="AD244" s="138"/>
      <c r="AF244" s="57">
        <f t="shared" si="645"/>
        <v>23150</v>
      </c>
      <c r="AG244" s="49">
        <v>6.8612000000000002</v>
      </c>
      <c r="AH244" s="49"/>
      <c r="AI244" s="49"/>
      <c r="AJ244" s="49"/>
      <c r="AK244" s="49"/>
      <c r="AL244" s="49"/>
      <c r="AM244" s="49"/>
      <c r="AN244" s="49"/>
      <c r="AO244" s="49"/>
      <c r="AP244" s="49"/>
      <c r="AQ244" s="49"/>
      <c r="AR244" s="49"/>
      <c r="AS244" s="49"/>
      <c r="AT244" s="49"/>
      <c r="AU244" s="49"/>
      <c r="AV244" s="49"/>
      <c r="AW244" s="49"/>
      <c r="AX244" s="49">
        <v>6490.0999000000002</v>
      </c>
      <c r="AY244" s="49">
        <v>15.361499999999999</v>
      </c>
      <c r="AZ244" s="49"/>
      <c r="BA244" s="49"/>
      <c r="BB244" s="49"/>
      <c r="BC244" s="49"/>
      <c r="BD244" s="49"/>
      <c r="BE244" s="49"/>
      <c r="BF244" s="49"/>
      <c r="BG244" s="49"/>
      <c r="BH244" s="49"/>
      <c r="BI244" s="49"/>
      <c r="BJ244" s="49"/>
      <c r="BK244" s="49"/>
      <c r="BL244" s="49"/>
      <c r="BM244" s="49"/>
      <c r="BN244" s="49"/>
      <c r="BO244" s="49"/>
      <c r="BP244" s="49"/>
      <c r="BQ244" s="49"/>
      <c r="BR244" s="49"/>
      <c r="BS244" s="49"/>
      <c r="BT244" s="49"/>
      <c r="BU244" s="49"/>
      <c r="BV244" s="49"/>
      <c r="BW244" s="49"/>
      <c r="BX244" s="49"/>
      <c r="BY244" s="49"/>
      <c r="BZ244" s="49"/>
      <c r="CA244" s="49"/>
      <c r="CB244" s="49">
        <v>231.62</v>
      </c>
      <c r="CC244" s="231">
        <f t="shared" si="699"/>
        <v>23150</v>
      </c>
    </row>
    <row r="245" spans="2:81" s="3" customFormat="1" ht="15.75" thickBot="1" x14ac:dyDescent="0.3">
      <c r="B245" s="158">
        <v>23200</v>
      </c>
      <c r="C245" s="144">
        <f t="shared" si="628"/>
        <v>61.900300000000001</v>
      </c>
      <c r="D245" s="144">
        <f t="shared" si="629"/>
        <v>3883.3818999999999</v>
      </c>
      <c r="E245" s="144">
        <f t="shared" si="526"/>
        <v>0</v>
      </c>
      <c r="F245" s="144">
        <f t="shared" si="630"/>
        <v>0</v>
      </c>
      <c r="G245" s="144">
        <f t="shared" si="681"/>
        <v>0</v>
      </c>
      <c r="H245" s="144">
        <f t="shared" si="682"/>
        <v>0</v>
      </c>
      <c r="I245" s="144">
        <f t="shared" si="683"/>
        <v>0</v>
      </c>
      <c r="J245" s="159">
        <f t="shared" si="684"/>
        <v>0</v>
      </c>
      <c r="K245" s="160">
        <f t="shared" si="580"/>
        <v>221.84</v>
      </c>
      <c r="L245" s="152">
        <f t="shared" si="543"/>
        <v>64</v>
      </c>
      <c r="M245" s="144">
        <f t="shared" si="544"/>
        <v>9620</v>
      </c>
      <c r="N245" s="144"/>
      <c r="O245" s="144">
        <f t="shared" si="563"/>
        <v>0</v>
      </c>
      <c r="P245" s="144">
        <f t="shared" si="546"/>
        <v>0</v>
      </c>
      <c r="Q245" s="144">
        <f t="shared" si="547"/>
        <v>0</v>
      </c>
      <c r="R245" s="144">
        <f t="shared" si="548"/>
        <v>0</v>
      </c>
      <c r="S245" s="144">
        <f t="shared" si="549"/>
        <v>0</v>
      </c>
      <c r="T245" s="144">
        <f t="shared" si="564"/>
        <v>1260</v>
      </c>
      <c r="V245" s="150">
        <f>L243+L244+L245</f>
        <v>264</v>
      </c>
      <c r="W245" s="150">
        <f t="shared" ref="W245" si="727">M243+M244+M245</f>
        <v>44508</v>
      </c>
      <c r="X245" s="150"/>
      <c r="Y245" s="150">
        <f t="shared" ref="Y245" si="728">O243+O244+O245</f>
        <v>0</v>
      </c>
      <c r="Z245" s="150">
        <f t="shared" ref="Z245" si="729">P243+P244+P245</f>
        <v>0</v>
      </c>
      <c r="AA245" s="150">
        <f t="shared" ref="AA245" si="730">Q243+Q244+Q245</f>
        <v>0</v>
      </c>
      <c r="AB245" s="150">
        <f t="shared" ref="AB245" si="731">R243+R244+R245</f>
        <v>0</v>
      </c>
      <c r="AC245" s="150">
        <f t="shared" ref="AC245" si="732">S243+S244+S245</f>
        <v>0</v>
      </c>
      <c r="AD245" s="150">
        <f t="shared" ref="AD245" si="733">T243+T244+T245</f>
        <v>4730</v>
      </c>
      <c r="AF245" s="158">
        <f t="shared" si="645"/>
        <v>23200</v>
      </c>
      <c r="AG245" s="149">
        <v>61.900300000000001</v>
      </c>
      <c r="AH245" s="149"/>
      <c r="AI245" s="149"/>
      <c r="AJ245" s="149"/>
      <c r="AK245" s="149"/>
      <c r="AL245" s="149"/>
      <c r="AM245" s="149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9">
        <v>3866.6210999999998</v>
      </c>
      <c r="AY245" s="149">
        <v>16.7608</v>
      </c>
      <c r="AZ245" s="149"/>
      <c r="BA245" s="149"/>
      <c r="BB245" s="149"/>
      <c r="BC245" s="149"/>
      <c r="BD245" s="149"/>
      <c r="BE245" s="149"/>
      <c r="BF245" s="149"/>
      <c r="BG245" s="149"/>
      <c r="BH245" s="149"/>
      <c r="BI245" s="149"/>
      <c r="BJ245" s="149"/>
      <c r="BK245" s="149"/>
      <c r="BL245" s="149"/>
      <c r="BM245" s="149"/>
      <c r="BN245" s="149"/>
      <c r="BO245" s="149"/>
      <c r="BP245" s="149"/>
      <c r="BQ245" s="149"/>
      <c r="BR245" s="149"/>
      <c r="BS245" s="149"/>
      <c r="BT245" s="149"/>
      <c r="BU245" s="149"/>
      <c r="BV245" s="149"/>
      <c r="BW245" s="149"/>
      <c r="BX245" s="149"/>
      <c r="BY245" s="149"/>
      <c r="BZ245" s="149"/>
      <c r="CA245" s="149"/>
      <c r="CB245" s="149">
        <v>221.84</v>
      </c>
      <c r="CC245" s="231">
        <f t="shared" si="699"/>
        <v>23200</v>
      </c>
    </row>
    <row r="246" spans="2:81" x14ac:dyDescent="0.25">
      <c r="B246" s="155">
        <v>23250</v>
      </c>
      <c r="C246" s="147">
        <f t="shared" si="628"/>
        <v>16.4877</v>
      </c>
      <c r="D246" s="147">
        <f t="shared" si="629"/>
        <v>2962.5128</v>
      </c>
      <c r="E246" s="147">
        <f t="shared" si="526"/>
        <v>0</v>
      </c>
      <c r="F246" s="147">
        <f t="shared" si="630"/>
        <v>0</v>
      </c>
      <c r="G246" s="147">
        <f t="shared" si="681"/>
        <v>0</v>
      </c>
      <c r="H246" s="147">
        <f t="shared" si="682"/>
        <v>0</v>
      </c>
      <c r="I246" s="147">
        <f t="shared" si="683"/>
        <v>0</v>
      </c>
      <c r="J246" s="156">
        <f t="shared" si="684"/>
        <v>0</v>
      </c>
      <c r="K246" s="157">
        <f t="shared" si="580"/>
        <v>172.3</v>
      </c>
      <c r="L246" s="151">
        <f t="shared" si="543"/>
        <v>73</v>
      </c>
      <c r="M246" s="147">
        <f t="shared" si="544"/>
        <v>6339</v>
      </c>
      <c r="N246" s="147"/>
      <c r="O246" s="147">
        <f t="shared" si="563"/>
        <v>0</v>
      </c>
      <c r="P246" s="147">
        <f t="shared" si="546"/>
        <v>0</v>
      </c>
      <c r="Q246" s="147">
        <f t="shared" si="547"/>
        <v>0</v>
      </c>
      <c r="R246" s="147">
        <f t="shared" si="548"/>
        <v>0</v>
      </c>
      <c r="S246" s="147">
        <f t="shared" si="549"/>
        <v>0</v>
      </c>
      <c r="T246" s="147">
        <f t="shared" si="564"/>
        <v>1095</v>
      </c>
      <c r="V246" s="146"/>
      <c r="W246" s="147"/>
      <c r="X246" s="147"/>
      <c r="Y246" s="147"/>
      <c r="Z246" s="147"/>
      <c r="AA246" s="147"/>
      <c r="AB246" s="147"/>
      <c r="AC246" s="147"/>
      <c r="AD246" s="148"/>
      <c r="AF246" s="155">
        <f t="shared" si="645"/>
        <v>23250</v>
      </c>
      <c r="AG246" s="78">
        <v>16.4877</v>
      </c>
      <c r="AH246" s="78"/>
      <c r="AI246" s="78"/>
      <c r="AJ246" s="78"/>
      <c r="AK246" s="78"/>
      <c r="AL246" s="78"/>
      <c r="AM246" s="78"/>
      <c r="AN246" s="78"/>
      <c r="AO246" s="78"/>
      <c r="AP246" s="78"/>
      <c r="AQ246" s="78"/>
      <c r="AR246" s="78"/>
      <c r="AS246" s="78"/>
      <c r="AT246" s="78"/>
      <c r="AU246" s="78"/>
      <c r="AV246" s="78"/>
      <c r="AW246" s="78"/>
      <c r="AX246" s="78">
        <v>2946.1952000000001</v>
      </c>
      <c r="AY246" s="78">
        <v>16.317599999999999</v>
      </c>
      <c r="AZ246" s="78"/>
      <c r="BA246" s="78"/>
      <c r="BB246" s="78"/>
      <c r="BC246" s="78"/>
      <c r="BD246" s="78"/>
      <c r="BE246" s="78"/>
      <c r="BF246" s="78"/>
      <c r="BG246" s="78"/>
      <c r="BH246" s="78"/>
      <c r="BI246" s="78"/>
      <c r="BJ246" s="78"/>
      <c r="BK246" s="78"/>
      <c r="BL246" s="78"/>
      <c r="BM246" s="78"/>
      <c r="BN246" s="78"/>
      <c r="BO246" s="78"/>
      <c r="BP246" s="78"/>
      <c r="BQ246" s="78"/>
      <c r="BR246" s="78"/>
      <c r="BS246" s="78"/>
      <c r="BT246" s="78"/>
      <c r="BU246" s="78"/>
      <c r="BV246" s="78"/>
      <c r="BW246" s="78"/>
      <c r="BX246" s="78"/>
      <c r="BY246" s="78"/>
      <c r="BZ246" s="78"/>
      <c r="CA246" s="78"/>
      <c r="CB246" s="78">
        <v>172.3</v>
      </c>
      <c r="CC246" s="231">
        <f t="shared" si="699"/>
        <v>23250</v>
      </c>
    </row>
    <row r="247" spans="2:81" x14ac:dyDescent="0.25">
      <c r="B247" s="57">
        <v>23300</v>
      </c>
      <c r="C247" s="58">
        <f t="shared" si="628"/>
        <v>49.993000000000002</v>
      </c>
      <c r="D247" s="58">
        <f t="shared" si="629"/>
        <v>1686.5458000000001</v>
      </c>
      <c r="E247" s="58">
        <f t="shared" si="526"/>
        <v>0</v>
      </c>
      <c r="F247" s="58">
        <f t="shared" si="630"/>
        <v>0</v>
      </c>
      <c r="G247" s="58">
        <f t="shared" si="681"/>
        <v>0</v>
      </c>
      <c r="H247" s="58">
        <f t="shared" si="682"/>
        <v>0</v>
      </c>
      <c r="I247" s="58">
        <f t="shared" si="683"/>
        <v>0</v>
      </c>
      <c r="J247" s="51">
        <f t="shared" si="684"/>
        <v>0</v>
      </c>
      <c r="K247" s="99">
        <f t="shared" si="580"/>
        <v>163.61000000000001</v>
      </c>
      <c r="L247" s="105">
        <f t="shared" si="543"/>
        <v>62</v>
      </c>
      <c r="M247" s="58">
        <f t="shared" si="544"/>
        <v>4305</v>
      </c>
      <c r="N247" s="58"/>
      <c r="O247" s="58">
        <f t="shared" si="563"/>
        <v>0</v>
      </c>
      <c r="P247" s="58">
        <f t="shared" si="546"/>
        <v>0</v>
      </c>
      <c r="Q247" s="58">
        <f t="shared" si="547"/>
        <v>0</v>
      </c>
      <c r="R247" s="58">
        <f t="shared" si="548"/>
        <v>0</v>
      </c>
      <c r="S247" s="58">
        <f t="shared" si="549"/>
        <v>0</v>
      </c>
      <c r="T247" s="58">
        <f>ROUNDUP(((K247+K246)*0.5)*(B247-B246)/9,0)</f>
        <v>934</v>
      </c>
      <c r="V247" s="137"/>
      <c r="W247" s="58"/>
      <c r="X247" s="58"/>
      <c r="Y247" s="58"/>
      <c r="Z247" s="58"/>
      <c r="AA247" s="58"/>
      <c r="AB247" s="58"/>
      <c r="AC247" s="58"/>
      <c r="AD247" s="138"/>
      <c r="AF247" s="57">
        <f t="shared" si="645"/>
        <v>23300</v>
      </c>
      <c r="AG247" s="49">
        <v>49.993000000000002</v>
      </c>
      <c r="AH247" s="49"/>
      <c r="AI247" s="49"/>
      <c r="AJ247" s="49"/>
      <c r="AK247" s="49"/>
      <c r="AL247" s="49"/>
      <c r="AM247" s="49"/>
      <c r="AN247" s="49"/>
      <c r="AO247" s="49"/>
      <c r="AP247" s="49"/>
      <c r="AQ247" s="49"/>
      <c r="AR247" s="49"/>
      <c r="AS247" s="49"/>
      <c r="AT247" s="49"/>
      <c r="AU247" s="49"/>
      <c r="AV247" s="49"/>
      <c r="AW247" s="49"/>
      <c r="AX247" s="49">
        <v>1670.7814000000001</v>
      </c>
      <c r="AY247" s="49">
        <v>15.7644</v>
      </c>
      <c r="AZ247" s="49"/>
      <c r="BA247" s="49"/>
      <c r="BB247" s="49"/>
      <c r="BC247" s="49"/>
      <c r="BD247" s="49"/>
      <c r="BE247" s="49"/>
      <c r="BF247" s="49"/>
      <c r="BG247" s="49"/>
      <c r="BH247" s="49"/>
      <c r="BI247" s="49"/>
      <c r="BJ247" s="49"/>
      <c r="BK247" s="49"/>
      <c r="BL247" s="49"/>
      <c r="BM247" s="49"/>
      <c r="BN247" s="49"/>
      <c r="BO247" s="49"/>
      <c r="BP247" s="49"/>
      <c r="BQ247" s="49"/>
      <c r="BR247" s="49"/>
      <c r="BS247" s="49"/>
      <c r="BT247" s="49"/>
      <c r="BU247" s="49"/>
      <c r="BV247" s="49"/>
      <c r="BW247" s="49"/>
      <c r="BX247" s="49"/>
      <c r="BY247" s="49"/>
      <c r="BZ247" s="49"/>
      <c r="CA247" s="49"/>
      <c r="CB247" s="49">
        <v>163.61000000000001</v>
      </c>
      <c r="CC247" s="231">
        <f t="shared" si="699"/>
        <v>23300</v>
      </c>
    </row>
    <row r="248" spans="2:81" s="3" customFormat="1" ht="15.75" thickBot="1" x14ac:dyDescent="0.3">
      <c r="B248" s="158">
        <v>23350</v>
      </c>
      <c r="C248" s="144">
        <f t="shared" si="628"/>
        <v>42.632100000000001</v>
      </c>
      <c r="D248" s="144">
        <f t="shared" si="629"/>
        <v>733.87030000000004</v>
      </c>
      <c r="E248" s="144">
        <f t="shared" ref="E248:E283" si="734">BH248+BJ248+BI248</f>
        <v>0</v>
      </c>
      <c r="F248" s="144">
        <f t="shared" si="630"/>
        <v>0</v>
      </c>
      <c r="G248" s="144">
        <f t="shared" si="681"/>
        <v>0</v>
      </c>
      <c r="H248" s="144">
        <f t="shared" si="682"/>
        <v>0</v>
      </c>
      <c r="I248" s="144">
        <f t="shared" si="683"/>
        <v>0</v>
      </c>
      <c r="J248" s="159">
        <f t="shared" si="684"/>
        <v>0</v>
      </c>
      <c r="K248" s="160">
        <f t="shared" si="580"/>
        <v>117.34</v>
      </c>
      <c r="L248" s="152">
        <f t="shared" si="543"/>
        <v>86</v>
      </c>
      <c r="M248" s="144">
        <f t="shared" si="544"/>
        <v>2242</v>
      </c>
      <c r="N248" s="144"/>
      <c r="O248" s="144">
        <f t="shared" si="563"/>
        <v>0</v>
      </c>
      <c r="P248" s="144">
        <f t="shared" si="546"/>
        <v>0</v>
      </c>
      <c r="Q248" s="144">
        <f t="shared" si="547"/>
        <v>0</v>
      </c>
      <c r="R248" s="144">
        <f t="shared" si="548"/>
        <v>0</v>
      </c>
      <c r="S248" s="144">
        <f t="shared" si="549"/>
        <v>0</v>
      </c>
      <c r="T248" s="144">
        <f>ROUNDUP(((K248+K247)*0.5)*(B248-B247)/9,0)</f>
        <v>781</v>
      </c>
      <c r="V248" s="150">
        <f>L246+L247+L248</f>
        <v>221</v>
      </c>
      <c r="W248" s="150">
        <f t="shared" ref="W248" si="735">M246+M247+M248</f>
        <v>12886</v>
      </c>
      <c r="X248" s="150"/>
      <c r="Y248" s="150">
        <f t="shared" ref="Y248" si="736">O246+O247+O248</f>
        <v>0</v>
      </c>
      <c r="Z248" s="150">
        <f t="shared" ref="Z248" si="737">P246+P247+P248</f>
        <v>0</v>
      </c>
      <c r="AA248" s="150">
        <f t="shared" ref="AA248" si="738">Q246+Q247+Q248</f>
        <v>0</v>
      </c>
      <c r="AB248" s="150">
        <f t="shared" ref="AB248" si="739">R246+R247+R248</f>
        <v>0</v>
      </c>
      <c r="AC248" s="150">
        <f t="shared" ref="AC248" si="740">S246+S247+S248</f>
        <v>0</v>
      </c>
      <c r="AD248" s="150">
        <f t="shared" ref="AD248" si="741">T246+T247+T248</f>
        <v>2810</v>
      </c>
      <c r="AF248" s="158">
        <f t="shared" si="645"/>
        <v>23350</v>
      </c>
      <c r="AG248" s="149">
        <v>14.438000000000001</v>
      </c>
      <c r="AH248" s="149">
        <v>28.194099999999999</v>
      </c>
      <c r="AI248" s="149"/>
      <c r="AJ248" s="149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>
        <v>719.00220000000002</v>
      </c>
      <c r="AY248" s="149">
        <v>14.8681</v>
      </c>
      <c r="AZ248" s="149"/>
      <c r="BA248" s="149"/>
      <c r="BB248" s="149"/>
      <c r="BC248" s="149"/>
      <c r="BD248" s="149"/>
      <c r="BE248" s="149"/>
      <c r="BF248" s="149"/>
      <c r="BG248" s="149"/>
      <c r="BH248" s="149"/>
      <c r="BI248" s="149"/>
      <c r="BJ248" s="149"/>
      <c r="BK248" s="149"/>
      <c r="BL248" s="149"/>
      <c r="BM248" s="149"/>
      <c r="BN248" s="149"/>
      <c r="BO248" s="149"/>
      <c r="BP248" s="149"/>
      <c r="BQ248" s="149"/>
      <c r="BR248" s="149"/>
      <c r="BS248" s="149"/>
      <c r="BT248" s="149"/>
      <c r="BU248" s="149"/>
      <c r="BV248" s="149"/>
      <c r="BW248" s="149"/>
      <c r="BX248" s="149"/>
      <c r="BY248" s="149"/>
      <c r="BZ248" s="149"/>
      <c r="CA248" s="149"/>
      <c r="CB248" s="149">
        <v>117.34</v>
      </c>
      <c r="CC248" s="231">
        <f t="shared" si="699"/>
        <v>23350</v>
      </c>
    </row>
    <row r="249" spans="2:81" x14ac:dyDescent="0.25">
      <c r="B249" s="155">
        <v>23400</v>
      </c>
      <c r="C249" s="147">
        <f t="shared" si="628"/>
        <v>76.919600000000003</v>
      </c>
      <c r="D249" s="147">
        <f t="shared" si="629"/>
        <v>93.1434</v>
      </c>
      <c r="E249" s="147">
        <f t="shared" si="734"/>
        <v>0</v>
      </c>
      <c r="F249" s="147">
        <f t="shared" si="630"/>
        <v>0</v>
      </c>
      <c r="G249" s="147">
        <f t="shared" si="681"/>
        <v>0</v>
      </c>
      <c r="H249" s="147">
        <f t="shared" si="682"/>
        <v>0</v>
      </c>
      <c r="I249" s="147">
        <f t="shared" si="683"/>
        <v>0</v>
      </c>
      <c r="J249" s="156">
        <f t="shared" si="684"/>
        <v>0</v>
      </c>
      <c r="K249" s="157">
        <f t="shared" si="580"/>
        <v>99.59</v>
      </c>
      <c r="L249" s="151">
        <f t="shared" si="543"/>
        <v>111</v>
      </c>
      <c r="M249" s="147">
        <f>ROUNDUP(((D248+D249)*0.5)*(B249-B248)/27,0)</f>
        <v>766</v>
      </c>
      <c r="N249" s="147"/>
      <c r="O249" s="147">
        <f t="shared" si="563"/>
        <v>0</v>
      </c>
      <c r="P249" s="147">
        <f t="shared" si="546"/>
        <v>0</v>
      </c>
      <c r="Q249" s="147">
        <f t="shared" si="547"/>
        <v>0</v>
      </c>
      <c r="R249" s="147">
        <f t="shared" si="548"/>
        <v>0</v>
      </c>
      <c r="S249" s="147">
        <f t="shared" si="549"/>
        <v>0</v>
      </c>
      <c r="T249" s="147">
        <f>ROUNDUP(((K249+K248)*0.5)*(B249-B248)/9,0)</f>
        <v>603</v>
      </c>
      <c r="V249" s="146"/>
      <c r="W249" s="147"/>
      <c r="X249" s="147"/>
      <c r="Y249" s="147"/>
      <c r="Z249" s="147"/>
      <c r="AA249" s="147"/>
      <c r="AB249" s="147"/>
      <c r="AC249" s="147"/>
      <c r="AD249" s="148"/>
      <c r="AF249" s="155">
        <f t="shared" si="645"/>
        <v>23400</v>
      </c>
      <c r="AG249" s="78">
        <v>11.0771</v>
      </c>
      <c r="AH249" s="78">
        <v>65.842500000000001</v>
      </c>
      <c r="AI249" s="78"/>
      <c r="AJ249" s="78"/>
      <c r="AK249" s="78"/>
      <c r="AL249" s="78"/>
      <c r="AM249" s="78"/>
      <c r="AN249" s="78"/>
      <c r="AO249" s="78"/>
      <c r="AP249" s="78"/>
      <c r="AQ249" s="78"/>
      <c r="AR249" s="78"/>
      <c r="AS249" s="78"/>
      <c r="AT249" s="78"/>
      <c r="AU249" s="78"/>
      <c r="AV249" s="78"/>
      <c r="AW249" s="78"/>
      <c r="AX249" s="78">
        <v>84.754000000000005</v>
      </c>
      <c r="AY249" s="78">
        <v>2.2648999999999999</v>
      </c>
      <c r="AZ249" s="78">
        <v>6.1245000000000003</v>
      </c>
      <c r="BA249" s="78"/>
      <c r="BB249" s="78"/>
      <c r="BC249" s="78"/>
      <c r="BD249" s="78"/>
      <c r="BE249" s="78"/>
      <c r="BF249" s="78"/>
      <c r="BG249" s="78"/>
      <c r="BH249" s="78"/>
      <c r="BI249" s="78"/>
      <c r="BJ249" s="78"/>
      <c r="BK249" s="78"/>
      <c r="BL249" s="78"/>
      <c r="BM249" s="78"/>
      <c r="BN249" s="78"/>
      <c r="BO249" s="78"/>
      <c r="BP249" s="78"/>
      <c r="BQ249" s="78"/>
      <c r="BR249" s="78"/>
      <c r="BS249" s="78"/>
      <c r="BT249" s="78"/>
      <c r="BU249" s="78"/>
      <c r="BV249" s="78"/>
      <c r="BW249" s="78"/>
      <c r="BX249" s="78"/>
      <c r="BY249" s="78"/>
      <c r="BZ249" s="78"/>
      <c r="CA249" s="78"/>
      <c r="CB249" s="78">
        <v>99.59</v>
      </c>
      <c r="CC249" s="231">
        <f t="shared" si="699"/>
        <v>23400</v>
      </c>
    </row>
    <row r="250" spans="2:81" x14ac:dyDescent="0.25">
      <c r="B250" s="57">
        <v>23450</v>
      </c>
      <c r="C250" s="58">
        <f t="shared" si="628"/>
        <v>879.26179999999999</v>
      </c>
      <c r="D250" s="58">
        <f t="shared" si="629"/>
        <v>0</v>
      </c>
      <c r="E250" s="58">
        <f t="shared" si="734"/>
        <v>0</v>
      </c>
      <c r="F250" s="58">
        <f t="shared" si="630"/>
        <v>0</v>
      </c>
      <c r="G250" s="58">
        <f t="shared" si="681"/>
        <v>0</v>
      </c>
      <c r="H250" s="58">
        <f t="shared" si="682"/>
        <v>0</v>
      </c>
      <c r="I250" s="58">
        <f t="shared" si="683"/>
        <v>0</v>
      </c>
      <c r="J250" s="51">
        <f t="shared" si="684"/>
        <v>0</v>
      </c>
      <c r="K250" s="99">
        <f t="shared" si="580"/>
        <v>131.13999999999999</v>
      </c>
      <c r="L250" s="105">
        <f t="shared" si="543"/>
        <v>886</v>
      </c>
      <c r="M250" s="58">
        <f>ROUNDUP(((D249+D250)*0.5)*(B250-B249)/27,0)</f>
        <v>87</v>
      </c>
      <c r="N250" s="58"/>
      <c r="O250" s="58">
        <f t="shared" si="563"/>
        <v>0</v>
      </c>
      <c r="P250" s="58">
        <f t="shared" si="546"/>
        <v>0</v>
      </c>
      <c r="Q250" s="58">
        <f t="shared" si="547"/>
        <v>0</v>
      </c>
      <c r="R250" s="58">
        <f t="shared" si="548"/>
        <v>0</v>
      </c>
      <c r="S250" s="58">
        <f t="shared" si="549"/>
        <v>0</v>
      </c>
      <c r="T250" s="58">
        <f>ROUNDUP(((K250+K249)*0.5)*(B250-B249)/9,0)</f>
        <v>641</v>
      </c>
      <c r="V250" s="137"/>
      <c r="W250" s="58"/>
      <c r="X250" s="58"/>
      <c r="Y250" s="58"/>
      <c r="Z250" s="58"/>
      <c r="AA250" s="58"/>
      <c r="AB250" s="58"/>
      <c r="AC250" s="58"/>
      <c r="AD250" s="138"/>
      <c r="AF250" s="57">
        <f t="shared" si="645"/>
        <v>23450</v>
      </c>
      <c r="AG250" s="49">
        <v>879.26179999999999</v>
      </c>
      <c r="AH250" s="49"/>
      <c r="AI250" s="49"/>
      <c r="AJ250" s="49"/>
      <c r="AK250" s="49"/>
      <c r="AL250" s="49"/>
      <c r="AM250" s="49"/>
      <c r="AN250" s="49"/>
      <c r="AO250" s="49"/>
      <c r="AP250" s="49"/>
      <c r="AQ250" s="49"/>
      <c r="AR250" s="49"/>
      <c r="AS250" s="49"/>
      <c r="AT250" s="49"/>
      <c r="AU250" s="49"/>
      <c r="AV250" s="49"/>
      <c r="AW250" s="49"/>
      <c r="AX250" s="49"/>
      <c r="AY250" s="49"/>
      <c r="AZ250" s="49"/>
      <c r="BA250" s="49"/>
      <c r="BB250" s="49"/>
      <c r="BC250" s="49"/>
      <c r="BD250" s="49"/>
      <c r="BE250" s="49"/>
      <c r="BF250" s="49"/>
      <c r="BG250" s="49"/>
      <c r="BH250" s="49"/>
      <c r="BI250" s="49"/>
      <c r="BJ250" s="49"/>
      <c r="BK250" s="49"/>
      <c r="BL250" s="49"/>
      <c r="BM250" s="49"/>
      <c r="BN250" s="49"/>
      <c r="BO250" s="49"/>
      <c r="BP250" s="49"/>
      <c r="BQ250" s="49"/>
      <c r="BR250" s="49"/>
      <c r="BS250" s="49"/>
      <c r="BT250" s="49"/>
      <c r="BU250" s="49"/>
      <c r="BV250" s="49"/>
      <c r="BW250" s="49"/>
      <c r="BX250" s="49"/>
      <c r="BY250" s="49"/>
      <c r="BZ250" s="49"/>
      <c r="CA250" s="49"/>
      <c r="CB250" s="49">
        <v>131.13999999999999</v>
      </c>
      <c r="CC250" s="231">
        <f t="shared" si="699"/>
        <v>23450</v>
      </c>
    </row>
    <row r="251" spans="2:81" s="3" customFormat="1" ht="15.75" thickBot="1" x14ac:dyDescent="0.3">
      <c r="B251" s="158">
        <v>23500</v>
      </c>
      <c r="C251" s="144">
        <f t="shared" si="628"/>
        <v>2497.5203999999999</v>
      </c>
      <c r="D251" s="144">
        <f t="shared" si="629"/>
        <v>0</v>
      </c>
      <c r="E251" s="144">
        <f t="shared" si="734"/>
        <v>0</v>
      </c>
      <c r="F251" s="144">
        <f t="shared" si="630"/>
        <v>0</v>
      </c>
      <c r="G251" s="144">
        <f t="shared" si="681"/>
        <v>0</v>
      </c>
      <c r="H251" s="144">
        <f t="shared" si="682"/>
        <v>0</v>
      </c>
      <c r="I251" s="144">
        <f t="shared" si="683"/>
        <v>0</v>
      </c>
      <c r="J251" s="159">
        <f t="shared" si="684"/>
        <v>0</v>
      </c>
      <c r="K251" s="160">
        <f t="shared" si="580"/>
        <v>341.94</v>
      </c>
      <c r="L251" s="152">
        <f t="shared" ref="L251:L313" si="742">ROUNDUP(((C250+C251)*0.5)*(B251-B250)/27,0)</f>
        <v>3127</v>
      </c>
      <c r="M251" s="144">
        <f t="shared" ref="M251:M313" si="743">ROUNDUP(((D250+D251)*0.5)*(B251-B250)/27,0)</f>
        <v>0</v>
      </c>
      <c r="N251" s="144"/>
      <c r="O251" s="144">
        <f t="shared" si="563"/>
        <v>0</v>
      </c>
      <c r="P251" s="144">
        <f t="shared" ref="P251:P313" si="744">ROUNDUP(((G251+G250)*0.5)*(B251-B250)/27,0)</f>
        <v>0</v>
      </c>
      <c r="Q251" s="144">
        <f t="shared" ref="Q251:Q313" si="745">ROUNDUP(((H251+H250)*0.5)*(B251-B250)/27,0)</f>
        <v>0</v>
      </c>
      <c r="R251" s="144">
        <f t="shared" ref="R251:R313" si="746">ROUNDUP(((I251+I250)*0.5)*(B251-B250)/9,0)</f>
        <v>0</v>
      </c>
      <c r="S251" s="144">
        <f t="shared" ref="S251:S313" si="747">ROUNDUP(((J251+J250)*0.5)*(B251-B250)/9,0)</f>
        <v>0</v>
      </c>
      <c r="T251" s="144">
        <f>ROUNDUP(((K251+K250)*0.5)*(B251-B250)/9,0)</f>
        <v>1315</v>
      </c>
      <c r="V251" s="150">
        <f>L249+L250+L251</f>
        <v>4124</v>
      </c>
      <c r="W251" s="150">
        <f t="shared" ref="W251" si="748">M249+M250+M251</f>
        <v>853</v>
      </c>
      <c r="X251" s="150"/>
      <c r="Y251" s="150">
        <f t="shared" ref="Y251" si="749">O249+O250+O251</f>
        <v>0</v>
      </c>
      <c r="Z251" s="150">
        <f t="shared" ref="Z251" si="750">P249+P250+P251</f>
        <v>0</v>
      </c>
      <c r="AA251" s="150">
        <f t="shared" ref="AA251" si="751">Q249+Q250+Q251</f>
        <v>0</v>
      </c>
      <c r="AB251" s="150">
        <f t="shared" ref="AB251" si="752">R249+R250+R251</f>
        <v>0</v>
      </c>
      <c r="AC251" s="150">
        <f t="shared" ref="AC251" si="753">S249+S250+S251</f>
        <v>0</v>
      </c>
      <c r="AD251" s="150">
        <f t="shared" ref="AD251" si="754">T249+T250+T251</f>
        <v>2559</v>
      </c>
      <c r="AF251" s="158">
        <f t="shared" si="645"/>
        <v>23500</v>
      </c>
      <c r="AG251" s="149">
        <v>2497.5203999999999</v>
      </c>
      <c r="AH251" s="149"/>
      <c r="AI251" s="149"/>
      <c r="AJ251" s="149"/>
      <c r="AK251" s="149"/>
      <c r="AL251" s="149"/>
      <c r="AM251" s="149"/>
      <c r="AN251" s="149"/>
      <c r="AO251" s="149"/>
      <c r="AP251" s="149"/>
      <c r="AQ251" s="149"/>
      <c r="AR251" s="149"/>
      <c r="AS251" s="149"/>
      <c r="AT251" s="149"/>
      <c r="AU251" s="149"/>
      <c r="AV251" s="149"/>
      <c r="AW251" s="149"/>
      <c r="AX251" s="149"/>
      <c r="AY251" s="149"/>
      <c r="AZ251" s="149"/>
      <c r="BA251" s="149"/>
      <c r="BB251" s="149"/>
      <c r="BC251" s="149"/>
      <c r="BD251" s="149"/>
      <c r="BE251" s="149"/>
      <c r="BF251" s="149"/>
      <c r="BG251" s="149"/>
      <c r="BH251" s="149"/>
      <c r="BI251" s="149"/>
      <c r="BJ251" s="149"/>
      <c r="BK251" s="149"/>
      <c r="BL251" s="149"/>
      <c r="BM251" s="149"/>
      <c r="BN251" s="149"/>
      <c r="BO251" s="149"/>
      <c r="BP251" s="149"/>
      <c r="BQ251" s="149"/>
      <c r="BR251" s="149"/>
      <c r="BS251" s="149"/>
      <c r="BT251" s="149"/>
      <c r="BU251" s="149"/>
      <c r="BV251" s="149"/>
      <c r="BW251" s="149"/>
      <c r="BX251" s="149"/>
      <c r="BY251" s="149"/>
      <c r="BZ251" s="149"/>
      <c r="CA251" s="149"/>
      <c r="CB251" s="149">
        <v>341.94</v>
      </c>
      <c r="CC251" s="231">
        <f t="shared" si="699"/>
        <v>23500</v>
      </c>
    </row>
    <row r="252" spans="2:81" x14ac:dyDescent="0.25">
      <c r="B252" s="155">
        <v>23550</v>
      </c>
      <c r="C252" s="147">
        <f t="shared" si="628"/>
        <v>3905.9612999999999</v>
      </c>
      <c r="D252" s="147">
        <f t="shared" si="629"/>
        <v>0</v>
      </c>
      <c r="E252" s="147">
        <f t="shared" si="734"/>
        <v>0</v>
      </c>
      <c r="F252" s="147">
        <f t="shared" si="630"/>
        <v>0</v>
      </c>
      <c r="G252" s="147">
        <f t="shared" si="681"/>
        <v>0</v>
      </c>
      <c r="H252" s="147">
        <f t="shared" si="682"/>
        <v>0</v>
      </c>
      <c r="I252" s="147">
        <f t="shared" si="683"/>
        <v>0</v>
      </c>
      <c r="J252" s="156">
        <f t="shared" si="684"/>
        <v>0</v>
      </c>
      <c r="K252" s="157">
        <f t="shared" si="580"/>
        <v>355.14</v>
      </c>
      <c r="L252" s="151">
        <f t="shared" si="742"/>
        <v>5930</v>
      </c>
      <c r="M252" s="147">
        <f t="shared" si="743"/>
        <v>0</v>
      </c>
      <c r="N252" s="147"/>
      <c r="O252" s="147">
        <f t="shared" si="563"/>
        <v>0</v>
      </c>
      <c r="P252" s="147">
        <f t="shared" si="744"/>
        <v>0</v>
      </c>
      <c r="Q252" s="147">
        <f t="shared" si="745"/>
        <v>0</v>
      </c>
      <c r="R252" s="147">
        <f t="shared" si="746"/>
        <v>0</v>
      </c>
      <c r="S252" s="147">
        <f t="shared" si="747"/>
        <v>0</v>
      </c>
      <c r="T252" s="147">
        <f t="shared" si="564"/>
        <v>1937</v>
      </c>
      <c r="V252" s="146"/>
      <c r="W252" s="147"/>
      <c r="X252" s="147"/>
      <c r="Y252" s="147"/>
      <c r="Z252" s="147"/>
      <c r="AA252" s="147"/>
      <c r="AB252" s="147"/>
      <c r="AC252" s="147"/>
      <c r="AD252" s="148"/>
      <c r="AF252" s="155">
        <f t="shared" si="645"/>
        <v>23550</v>
      </c>
      <c r="AG252" s="78">
        <v>3905.9612999999999</v>
      </c>
      <c r="AH252" s="78"/>
      <c r="AI252" s="78"/>
      <c r="AJ252" s="78"/>
      <c r="AK252" s="78"/>
      <c r="AL252" s="78"/>
      <c r="AM252" s="78"/>
      <c r="AN252" s="78"/>
      <c r="AO252" s="78"/>
      <c r="AP252" s="78"/>
      <c r="AQ252" s="78"/>
      <c r="AR252" s="78"/>
      <c r="AS252" s="78"/>
      <c r="AT252" s="78"/>
      <c r="AU252" s="78"/>
      <c r="AV252" s="78"/>
      <c r="AW252" s="78"/>
      <c r="AX252" s="78"/>
      <c r="AY252" s="78"/>
      <c r="AZ252" s="78"/>
      <c r="BA252" s="78"/>
      <c r="BB252" s="78"/>
      <c r="BC252" s="78"/>
      <c r="BD252" s="78"/>
      <c r="BE252" s="78"/>
      <c r="BF252" s="78"/>
      <c r="BG252" s="78"/>
      <c r="BH252" s="78"/>
      <c r="BI252" s="78"/>
      <c r="BJ252" s="78"/>
      <c r="BK252" s="78"/>
      <c r="BL252" s="78"/>
      <c r="BM252" s="78"/>
      <c r="BN252" s="78"/>
      <c r="BO252" s="78"/>
      <c r="BP252" s="78"/>
      <c r="BQ252" s="78"/>
      <c r="BR252" s="78"/>
      <c r="BS252" s="78"/>
      <c r="BT252" s="78"/>
      <c r="BU252" s="78"/>
      <c r="BV252" s="78"/>
      <c r="BW252" s="78"/>
      <c r="BX252" s="78"/>
      <c r="BY252" s="78"/>
      <c r="BZ252" s="78"/>
      <c r="CA252" s="78"/>
      <c r="CB252" s="78">
        <v>355.14</v>
      </c>
      <c r="CC252" s="231">
        <f t="shared" si="699"/>
        <v>23550</v>
      </c>
    </row>
    <row r="253" spans="2:81" s="3" customFormat="1" ht="15.75" thickBot="1" x14ac:dyDescent="0.3">
      <c r="B253" s="158">
        <v>23600</v>
      </c>
      <c r="C253" s="144">
        <f t="shared" si="628"/>
        <v>2776.8341</v>
      </c>
      <c r="D253" s="144">
        <f t="shared" si="629"/>
        <v>0</v>
      </c>
      <c r="E253" s="144">
        <f t="shared" si="734"/>
        <v>0</v>
      </c>
      <c r="F253" s="144">
        <f t="shared" si="630"/>
        <v>0</v>
      </c>
      <c r="G253" s="144">
        <f t="shared" si="681"/>
        <v>0</v>
      </c>
      <c r="H253" s="144">
        <f t="shared" si="682"/>
        <v>0</v>
      </c>
      <c r="I253" s="144">
        <f t="shared" si="683"/>
        <v>0</v>
      </c>
      <c r="J253" s="159">
        <f t="shared" si="684"/>
        <v>0</v>
      </c>
      <c r="K253" s="160">
        <f t="shared" si="580"/>
        <v>352.25</v>
      </c>
      <c r="L253" s="152">
        <f t="shared" si="742"/>
        <v>6188</v>
      </c>
      <c r="M253" s="144">
        <f t="shared" si="743"/>
        <v>0</v>
      </c>
      <c r="N253" s="144"/>
      <c r="O253" s="144">
        <f t="shared" si="563"/>
        <v>0</v>
      </c>
      <c r="P253" s="144">
        <f t="shared" si="744"/>
        <v>0</v>
      </c>
      <c r="Q253" s="144">
        <f t="shared" si="745"/>
        <v>0</v>
      </c>
      <c r="R253" s="144">
        <f t="shared" si="746"/>
        <v>0</v>
      </c>
      <c r="S253" s="144">
        <f t="shared" si="747"/>
        <v>0</v>
      </c>
      <c r="T253" s="144">
        <f t="shared" si="564"/>
        <v>1965</v>
      </c>
      <c r="V253" s="150">
        <f>L252+L253</f>
        <v>12118</v>
      </c>
      <c r="W253" s="150">
        <f t="shared" ref="W253" si="755">M252+M253</f>
        <v>0</v>
      </c>
      <c r="X253" s="150"/>
      <c r="Y253" s="150">
        <f t="shared" ref="Y253" si="756">O252+O253</f>
        <v>0</v>
      </c>
      <c r="Z253" s="150">
        <f t="shared" ref="Z253" si="757">P252+P253</f>
        <v>0</v>
      </c>
      <c r="AA253" s="150">
        <f t="shared" ref="AA253" si="758">Q252+Q253</f>
        <v>0</v>
      </c>
      <c r="AB253" s="150">
        <f t="shared" ref="AB253" si="759">R252+R253</f>
        <v>0</v>
      </c>
      <c r="AC253" s="150">
        <f t="shared" ref="AC253" si="760">S252+S253</f>
        <v>0</v>
      </c>
      <c r="AD253" s="150">
        <f t="shared" ref="AD253" si="761">T252+T253</f>
        <v>3902</v>
      </c>
      <c r="AF253" s="158">
        <f t="shared" si="645"/>
        <v>23600</v>
      </c>
      <c r="AG253" s="149">
        <v>2776.8341</v>
      </c>
      <c r="AH253" s="149"/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  <c r="BA253" s="149"/>
      <c r="BB253" s="149"/>
      <c r="BC253" s="149"/>
      <c r="BD253" s="149"/>
      <c r="BE253" s="149"/>
      <c r="BF253" s="149"/>
      <c r="BG253" s="149"/>
      <c r="BH253" s="149"/>
      <c r="BI253" s="149"/>
      <c r="BJ253" s="149"/>
      <c r="BK253" s="149"/>
      <c r="BL253" s="149"/>
      <c r="BM253" s="149"/>
      <c r="BN253" s="149"/>
      <c r="BO253" s="149"/>
      <c r="BP253" s="149"/>
      <c r="BQ253" s="149"/>
      <c r="BR253" s="149"/>
      <c r="BS253" s="149"/>
      <c r="BT253" s="149"/>
      <c r="BU253" s="149"/>
      <c r="BV253" s="149"/>
      <c r="BW253" s="149"/>
      <c r="BX253" s="149"/>
      <c r="BY253" s="149"/>
      <c r="BZ253" s="149"/>
      <c r="CA253" s="149"/>
      <c r="CB253" s="149">
        <v>352.25</v>
      </c>
      <c r="CC253" s="231">
        <f t="shared" si="699"/>
        <v>23600</v>
      </c>
    </row>
    <row r="254" spans="2:81" x14ac:dyDescent="0.25">
      <c r="B254" s="155">
        <v>23650</v>
      </c>
      <c r="C254" s="147">
        <f t="shared" si="628"/>
        <v>956.15260000000001</v>
      </c>
      <c r="D254" s="147">
        <f t="shared" si="629"/>
        <v>4.5126999999999997</v>
      </c>
      <c r="E254" s="147">
        <f t="shared" si="734"/>
        <v>0</v>
      </c>
      <c r="F254" s="147">
        <f t="shared" si="630"/>
        <v>0</v>
      </c>
      <c r="G254" s="147">
        <f t="shared" si="681"/>
        <v>0</v>
      </c>
      <c r="H254" s="147">
        <f t="shared" si="682"/>
        <v>0</v>
      </c>
      <c r="I254" s="147">
        <f t="shared" si="683"/>
        <v>0</v>
      </c>
      <c r="J254" s="156">
        <f t="shared" si="684"/>
        <v>0</v>
      </c>
      <c r="K254" s="157">
        <f t="shared" si="580"/>
        <v>122.81</v>
      </c>
      <c r="L254" s="151">
        <f t="shared" si="742"/>
        <v>3457</v>
      </c>
      <c r="M254" s="147">
        <f t="shared" si="743"/>
        <v>5</v>
      </c>
      <c r="N254" s="147"/>
      <c r="O254" s="147">
        <f t="shared" si="563"/>
        <v>0</v>
      </c>
      <c r="P254" s="147">
        <f t="shared" si="744"/>
        <v>0</v>
      </c>
      <c r="Q254" s="147">
        <f t="shared" si="745"/>
        <v>0</v>
      </c>
      <c r="R254" s="147">
        <f t="shared" si="746"/>
        <v>0</v>
      </c>
      <c r="S254" s="147">
        <f t="shared" si="747"/>
        <v>0</v>
      </c>
      <c r="T254" s="147">
        <f t="shared" si="564"/>
        <v>1320</v>
      </c>
      <c r="V254" s="146"/>
      <c r="W254" s="147"/>
      <c r="X254" s="147"/>
      <c r="Y254" s="147"/>
      <c r="Z254" s="147"/>
      <c r="AA254" s="147"/>
      <c r="AB254" s="147"/>
      <c r="AC254" s="147"/>
      <c r="AD254" s="148"/>
      <c r="AF254" s="155">
        <f t="shared" si="645"/>
        <v>23650</v>
      </c>
      <c r="AG254" s="78">
        <v>870.74720000000002</v>
      </c>
      <c r="AH254" s="78">
        <v>85.4054</v>
      </c>
      <c r="AI254" s="78"/>
      <c r="AJ254" s="78"/>
      <c r="AK254" s="78"/>
      <c r="AL254" s="78"/>
      <c r="AM254" s="78"/>
      <c r="AN254" s="78"/>
      <c r="AO254" s="78"/>
      <c r="AP254" s="78"/>
      <c r="AQ254" s="78"/>
      <c r="AR254" s="78"/>
      <c r="AS254" s="78"/>
      <c r="AT254" s="78"/>
      <c r="AU254" s="78"/>
      <c r="AV254" s="78"/>
      <c r="AW254" s="78"/>
      <c r="AX254" s="78">
        <v>4.5126999999999997</v>
      </c>
      <c r="AY254" s="78"/>
      <c r="AZ254" s="78"/>
      <c r="BA254" s="78"/>
      <c r="BB254" s="78"/>
      <c r="BC254" s="78"/>
      <c r="BD254" s="78"/>
      <c r="BE254" s="78"/>
      <c r="BF254" s="78"/>
      <c r="BG254" s="78"/>
      <c r="BH254" s="78"/>
      <c r="BI254" s="78"/>
      <c r="BJ254" s="78"/>
      <c r="BK254" s="78"/>
      <c r="BL254" s="78"/>
      <c r="BM254" s="78"/>
      <c r="BN254" s="78"/>
      <c r="BO254" s="78"/>
      <c r="BP254" s="78"/>
      <c r="BQ254" s="78"/>
      <c r="BR254" s="78"/>
      <c r="BS254" s="78"/>
      <c r="BT254" s="78"/>
      <c r="BU254" s="78"/>
      <c r="BV254" s="78"/>
      <c r="BW254" s="78"/>
      <c r="BX254" s="78"/>
      <c r="BY254" s="78"/>
      <c r="BZ254" s="78"/>
      <c r="CA254" s="78"/>
      <c r="CB254" s="78">
        <v>122.81</v>
      </c>
      <c r="CC254" s="231">
        <f t="shared" si="699"/>
        <v>23650</v>
      </c>
    </row>
    <row r="255" spans="2:81" x14ac:dyDescent="0.25">
      <c r="B255" s="57">
        <v>23700</v>
      </c>
      <c r="C255" s="58">
        <f t="shared" si="628"/>
        <v>395.7063</v>
      </c>
      <c r="D255" s="58">
        <f t="shared" si="629"/>
        <v>61.0777</v>
      </c>
      <c r="E255" s="58">
        <f t="shared" si="734"/>
        <v>0</v>
      </c>
      <c r="F255" s="58">
        <f t="shared" si="630"/>
        <v>0</v>
      </c>
      <c r="G255" s="58">
        <f t="shared" si="681"/>
        <v>0</v>
      </c>
      <c r="H255" s="58">
        <f t="shared" si="682"/>
        <v>0</v>
      </c>
      <c r="I255" s="58">
        <f t="shared" si="683"/>
        <v>0</v>
      </c>
      <c r="J255" s="51">
        <f t="shared" si="684"/>
        <v>0</v>
      </c>
      <c r="K255" s="99">
        <f t="shared" si="580"/>
        <v>91.06</v>
      </c>
      <c r="L255" s="105">
        <f t="shared" si="742"/>
        <v>1252</v>
      </c>
      <c r="M255" s="58">
        <f t="shared" si="743"/>
        <v>61</v>
      </c>
      <c r="N255" s="58"/>
      <c r="O255" s="58">
        <f t="shared" si="563"/>
        <v>0</v>
      </c>
      <c r="P255" s="58">
        <f t="shared" si="744"/>
        <v>0</v>
      </c>
      <c r="Q255" s="58">
        <f t="shared" si="745"/>
        <v>0</v>
      </c>
      <c r="R255" s="58">
        <f t="shared" si="746"/>
        <v>0</v>
      </c>
      <c r="S255" s="58">
        <f t="shared" si="747"/>
        <v>0</v>
      </c>
      <c r="T255" s="58">
        <f t="shared" si="564"/>
        <v>595</v>
      </c>
      <c r="V255" s="137"/>
      <c r="W255" s="58"/>
      <c r="X255" s="58"/>
      <c r="Y255" s="58"/>
      <c r="Z255" s="58"/>
      <c r="AA255" s="58"/>
      <c r="AB255" s="58"/>
      <c r="AC255" s="58"/>
      <c r="AD255" s="138"/>
      <c r="AF255" s="57">
        <f t="shared" si="645"/>
        <v>23700</v>
      </c>
      <c r="AG255" s="49">
        <v>371.262</v>
      </c>
      <c r="AH255" s="49">
        <v>24.444299999999998</v>
      </c>
      <c r="AI255" s="49"/>
      <c r="AJ255" s="49"/>
      <c r="AK255" s="49"/>
      <c r="AL255" s="49"/>
      <c r="AM255" s="49"/>
      <c r="AN255" s="49"/>
      <c r="AO255" s="49"/>
      <c r="AP255" s="49"/>
      <c r="AQ255" s="49"/>
      <c r="AR255" s="49"/>
      <c r="AS255" s="49"/>
      <c r="AT255" s="49"/>
      <c r="AU255" s="49"/>
      <c r="AV255" s="49"/>
      <c r="AW255" s="49"/>
      <c r="AX255" s="49">
        <v>61.0777</v>
      </c>
      <c r="AY255" s="49"/>
      <c r="AZ255" s="49"/>
      <c r="BA255" s="49"/>
      <c r="BB255" s="49"/>
      <c r="BC255" s="49"/>
      <c r="BD255" s="49"/>
      <c r="BE255" s="49"/>
      <c r="BF255" s="49"/>
      <c r="BG255" s="49"/>
      <c r="BH255" s="49"/>
      <c r="BI255" s="49"/>
      <c r="BJ255" s="49"/>
      <c r="BK255" s="49"/>
      <c r="BL255" s="49"/>
      <c r="BM255" s="49"/>
      <c r="BN255" s="49"/>
      <c r="BO255" s="49"/>
      <c r="BP255" s="49"/>
      <c r="BQ255" s="49"/>
      <c r="BR255" s="49"/>
      <c r="BS255" s="49"/>
      <c r="BT255" s="49"/>
      <c r="BU255" s="49"/>
      <c r="BV255" s="49"/>
      <c r="BW255" s="49"/>
      <c r="BX255" s="49"/>
      <c r="BY255" s="49"/>
      <c r="BZ255" s="49"/>
      <c r="CA255" s="49"/>
      <c r="CB255" s="49">
        <v>91.06</v>
      </c>
      <c r="CC255" s="231">
        <f t="shared" si="699"/>
        <v>23700</v>
      </c>
    </row>
    <row r="256" spans="2:81" s="3" customFormat="1" ht="15.75" thickBot="1" x14ac:dyDescent="0.3">
      <c r="B256" s="158">
        <v>23750</v>
      </c>
      <c r="C256" s="144">
        <f t="shared" si="628"/>
        <v>92.128599999999992</v>
      </c>
      <c r="D256" s="144">
        <f t="shared" si="629"/>
        <v>222.34679999999997</v>
      </c>
      <c r="E256" s="144">
        <f t="shared" si="734"/>
        <v>0</v>
      </c>
      <c r="F256" s="144">
        <f t="shared" si="630"/>
        <v>0</v>
      </c>
      <c r="G256" s="144">
        <f t="shared" si="681"/>
        <v>0</v>
      </c>
      <c r="H256" s="144">
        <f t="shared" si="682"/>
        <v>0</v>
      </c>
      <c r="I256" s="144">
        <f t="shared" si="683"/>
        <v>0</v>
      </c>
      <c r="J256" s="159">
        <f t="shared" si="684"/>
        <v>0</v>
      </c>
      <c r="K256" s="160">
        <f t="shared" si="580"/>
        <v>83.18</v>
      </c>
      <c r="L256" s="152">
        <f t="shared" si="742"/>
        <v>452</v>
      </c>
      <c r="M256" s="144">
        <f t="shared" si="743"/>
        <v>263</v>
      </c>
      <c r="N256" s="144"/>
      <c r="O256" s="144">
        <f t="shared" si="563"/>
        <v>0</v>
      </c>
      <c r="P256" s="144">
        <f t="shared" si="744"/>
        <v>0</v>
      </c>
      <c r="Q256" s="144">
        <f t="shared" si="745"/>
        <v>0</v>
      </c>
      <c r="R256" s="144">
        <f t="shared" si="746"/>
        <v>0</v>
      </c>
      <c r="S256" s="144">
        <f t="shared" si="747"/>
        <v>0</v>
      </c>
      <c r="T256" s="144">
        <f t="shared" si="564"/>
        <v>484</v>
      </c>
      <c r="V256" s="150">
        <f>L254+L255+L256</f>
        <v>5161</v>
      </c>
      <c r="W256" s="150">
        <f t="shared" ref="W256" si="762">M254+M255+M256</f>
        <v>329</v>
      </c>
      <c r="X256" s="150"/>
      <c r="Y256" s="150">
        <f t="shared" ref="Y256" si="763">O254+O255+O256</f>
        <v>0</v>
      </c>
      <c r="Z256" s="150">
        <f t="shared" ref="Z256" si="764">P254+P255+P256</f>
        <v>0</v>
      </c>
      <c r="AA256" s="150">
        <f t="shared" ref="AA256" si="765">Q254+Q255+Q256</f>
        <v>0</v>
      </c>
      <c r="AB256" s="150">
        <f t="shared" ref="AB256" si="766">R254+R255+R256</f>
        <v>0</v>
      </c>
      <c r="AC256" s="150">
        <f t="shared" ref="AC256" si="767">S254+S255+S256</f>
        <v>0</v>
      </c>
      <c r="AD256" s="150">
        <f t="shared" ref="AD256" si="768">T254+T255+T256</f>
        <v>2399</v>
      </c>
      <c r="AF256" s="158">
        <f t="shared" si="645"/>
        <v>23750</v>
      </c>
      <c r="AG256" s="149">
        <v>90.643799999999999</v>
      </c>
      <c r="AH256" s="149">
        <v>9.0999999999999998E-2</v>
      </c>
      <c r="AI256" s="149">
        <v>1.3937999999999999</v>
      </c>
      <c r="AJ256" s="149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49"/>
      <c r="AX256" s="149">
        <v>1.2902</v>
      </c>
      <c r="AY256" s="149">
        <v>1.4476</v>
      </c>
      <c r="AZ256" s="149">
        <v>214.36199999999999</v>
      </c>
      <c r="BA256" s="149">
        <v>5.2469999999999999</v>
      </c>
      <c r="BB256" s="149"/>
      <c r="BC256" s="149"/>
      <c r="BD256" s="149"/>
      <c r="BE256" s="149"/>
      <c r="BF256" s="149"/>
      <c r="BG256" s="149"/>
      <c r="BH256" s="149"/>
      <c r="BI256" s="149"/>
      <c r="BJ256" s="149"/>
      <c r="BK256" s="149"/>
      <c r="BL256" s="149"/>
      <c r="BM256" s="149"/>
      <c r="BN256" s="149"/>
      <c r="BO256" s="149"/>
      <c r="BP256" s="149"/>
      <c r="BQ256" s="149"/>
      <c r="BR256" s="149"/>
      <c r="BS256" s="149"/>
      <c r="BT256" s="149"/>
      <c r="BU256" s="149"/>
      <c r="BV256" s="149"/>
      <c r="BW256" s="149"/>
      <c r="BX256" s="149"/>
      <c r="BY256" s="149"/>
      <c r="BZ256" s="149"/>
      <c r="CA256" s="149"/>
      <c r="CB256" s="149">
        <v>83.18</v>
      </c>
      <c r="CC256" s="231">
        <f t="shared" si="699"/>
        <v>23750</v>
      </c>
    </row>
    <row r="257" spans="2:81" x14ac:dyDescent="0.25">
      <c r="B257" s="155">
        <v>23800</v>
      </c>
      <c r="C257" s="147">
        <f t="shared" si="628"/>
        <v>22.8432</v>
      </c>
      <c r="D257" s="147">
        <f t="shared" si="629"/>
        <v>460.11809999999997</v>
      </c>
      <c r="E257" s="147">
        <f t="shared" si="734"/>
        <v>0</v>
      </c>
      <c r="F257" s="147">
        <f t="shared" si="630"/>
        <v>0</v>
      </c>
      <c r="G257" s="147">
        <f t="shared" si="681"/>
        <v>0</v>
      </c>
      <c r="H257" s="147">
        <f t="shared" si="682"/>
        <v>0</v>
      </c>
      <c r="I257" s="147">
        <f t="shared" si="683"/>
        <v>0</v>
      </c>
      <c r="J257" s="156">
        <f t="shared" si="684"/>
        <v>0</v>
      </c>
      <c r="K257" s="157">
        <f t="shared" si="580"/>
        <v>78.510000000000005</v>
      </c>
      <c r="L257" s="151">
        <f t="shared" si="742"/>
        <v>107</v>
      </c>
      <c r="M257" s="147">
        <f t="shared" si="743"/>
        <v>632</v>
      </c>
      <c r="N257" s="147"/>
      <c r="O257" s="147">
        <f t="shared" ref="O257:O319" si="769">ROUNDUP(((F256+F257)*0.5)*(B257-B256)/27,0)</f>
        <v>0</v>
      </c>
      <c r="P257" s="147">
        <f t="shared" si="744"/>
        <v>0</v>
      </c>
      <c r="Q257" s="147">
        <f t="shared" si="745"/>
        <v>0</v>
      </c>
      <c r="R257" s="147">
        <f t="shared" si="746"/>
        <v>0</v>
      </c>
      <c r="S257" s="147">
        <f t="shared" si="747"/>
        <v>0</v>
      </c>
      <c r="T257" s="147">
        <f t="shared" ref="T257:T283" si="770">ROUNDUP(((K257+K256)*0.5)*(B257-B256)/9,0)</f>
        <v>450</v>
      </c>
      <c r="V257" s="146"/>
      <c r="W257" s="147"/>
      <c r="X257" s="147"/>
      <c r="Y257" s="147"/>
      <c r="Z257" s="147"/>
      <c r="AA257" s="147"/>
      <c r="AB257" s="147"/>
      <c r="AC257" s="147"/>
      <c r="AD257" s="148"/>
      <c r="AF257" s="155">
        <f t="shared" si="645"/>
        <v>23800</v>
      </c>
      <c r="AG257" s="78">
        <v>0.99870000000000003</v>
      </c>
      <c r="AH257" s="78">
        <v>21.8445</v>
      </c>
      <c r="AI257" s="78"/>
      <c r="AJ257" s="78"/>
      <c r="AK257" s="78"/>
      <c r="AL257" s="78"/>
      <c r="AM257" s="78"/>
      <c r="AN257" s="78"/>
      <c r="AO257" s="78"/>
      <c r="AP257" s="78"/>
      <c r="AQ257" s="78"/>
      <c r="AR257" s="78"/>
      <c r="AS257" s="78"/>
      <c r="AT257" s="78"/>
      <c r="AU257" s="78"/>
      <c r="AV257" s="78"/>
      <c r="AW257" s="78"/>
      <c r="AX257" s="78">
        <v>446.22179999999997</v>
      </c>
      <c r="AY257" s="275">
        <v>13.8963</v>
      </c>
      <c r="AZ257" s="78"/>
      <c r="BA257" s="78"/>
      <c r="BB257" s="78"/>
      <c r="BC257" s="78"/>
      <c r="BD257" s="78"/>
      <c r="BE257" s="78"/>
      <c r="BF257" s="78"/>
      <c r="BG257" s="78"/>
      <c r="BH257" s="78"/>
      <c r="BI257" s="78"/>
      <c r="BJ257" s="78"/>
      <c r="BK257" s="78"/>
      <c r="BL257" s="78"/>
      <c r="BM257" s="78"/>
      <c r="BN257" s="78"/>
      <c r="BO257" s="78"/>
      <c r="BP257" s="78"/>
      <c r="BQ257" s="78"/>
      <c r="BR257" s="78"/>
      <c r="BS257" s="78"/>
      <c r="BT257" s="78"/>
      <c r="BU257" s="78"/>
      <c r="BV257" s="78"/>
      <c r="BW257" s="78"/>
      <c r="BX257" s="78"/>
      <c r="BY257" s="78"/>
      <c r="BZ257" s="78"/>
      <c r="CA257" s="78"/>
      <c r="CB257" s="78">
        <v>78.510000000000005</v>
      </c>
      <c r="CC257" s="231">
        <f t="shared" si="699"/>
        <v>23800</v>
      </c>
    </row>
    <row r="258" spans="2:81" x14ac:dyDescent="0.25">
      <c r="B258" s="57">
        <v>23850</v>
      </c>
      <c r="C258" s="58">
        <f t="shared" si="628"/>
        <v>67.06989999999999</v>
      </c>
      <c r="D258" s="58">
        <f t="shared" si="629"/>
        <v>786.3451</v>
      </c>
      <c r="E258" s="58">
        <f t="shared" si="734"/>
        <v>0</v>
      </c>
      <c r="F258" s="58">
        <f t="shared" si="630"/>
        <v>0</v>
      </c>
      <c r="G258" s="58">
        <f t="shared" si="681"/>
        <v>0</v>
      </c>
      <c r="H258" s="58">
        <f t="shared" si="682"/>
        <v>0</v>
      </c>
      <c r="I258" s="58">
        <f t="shared" si="683"/>
        <v>0</v>
      </c>
      <c r="J258" s="51">
        <f t="shared" si="684"/>
        <v>0</v>
      </c>
      <c r="K258" s="99">
        <f t="shared" si="580"/>
        <v>117.71</v>
      </c>
      <c r="L258" s="105">
        <f t="shared" si="742"/>
        <v>84</v>
      </c>
      <c r="M258" s="58">
        <f t="shared" si="743"/>
        <v>1155</v>
      </c>
      <c r="N258" s="58"/>
      <c r="O258" s="58">
        <f t="shared" si="769"/>
        <v>0</v>
      </c>
      <c r="P258" s="58">
        <f t="shared" si="744"/>
        <v>0</v>
      </c>
      <c r="Q258" s="58">
        <f t="shared" si="745"/>
        <v>0</v>
      </c>
      <c r="R258" s="58">
        <f t="shared" si="746"/>
        <v>0</v>
      </c>
      <c r="S258" s="58">
        <f t="shared" si="747"/>
        <v>0</v>
      </c>
      <c r="T258" s="58">
        <f t="shared" si="770"/>
        <v>546</v>
      </c>
      <c r="V258" s="137"/>
      <c r="W258" s="58"/>
      <c r="X258" s="58"/>
      <c r="Y258" s="58"/>
      <c r="Z258" s="58"/>
      <c r="AA258" s="58"/>
      <c r="AB258" s="58"/>
      <c r="AC258" s="58"/>
      <c r="AD258" s="138"/>
      <c r="AF258" s="57">
        <f t="shared" si="645"/>
        <v>23850</v>
      </c>
      <c r="AG258" s="49">
        <v>39.253799999999998</v>
      </c>
      <c r="AH258" s="49">
        <v>27.816099999999999</v>
      </c>
      <c r="AI258" s="49"/>
      <c r="AJ258" s="49"/>
      <c r="AK258" s="49"/>
      <c r="AL258" s="49"/>
      <c r="AM258" s="49"/>
      <c r="AN258" s="49"/>
      <c r="AO258" s="49"/>
      <c r="AP258" s="49"/>
      <c r="AQ258" s="49"/>
      <c r="AR258" s="49"/>
      <c r="AS258" s="49"/>
      <c r="AT258" s="49"/>
      <c r="AU258" s="49"/>
      <c r="AV258" s="49"/>
      <c r="AW258" s="49"/>
      <c r="AX258" s="49">
        <v>772.44880000000001</v>
      </c>
      <c r="AY258" s="49">
        <v>13.8963</v>
      </c>
      <c r="AZ258" s="49"/>
      <c r="BA258" s="49"/>
      <c r="BB258" s="49"/>
      <c r="BC258" s="49"/>
      <c r="BD258" s="49"/>
      <c r="BE258" s="49"/>
      <c r="BF258" s="49"/>
      <c r="BG258" s="49"/>
      <c r="BH258" s="49"/>
      <c r="BI258" s="49"/>
      <c r="BJ258" s="49"/>
      <c r="BK258" s="49"/>
      <c r="BL258" s="49"/>
      <c r="BM258" s="49"/>
      <c r="BN258" s="49"/>
      <c r="BO258" s="49"/>
      <c r="BP258" s="49"/>
      <c r="BQ258" s="49"/>
      <c r="BR258" s="49"/>
      <c r="BS258" s="49"/>
      <c r="BT258" s="49"/>
      <c r="BU258" s="49"/>
      <c r="BV258" s="49"/>
      <c r="BW258" s="49"/>
      <c r="BX258" s="49"/>
      <c r="BY258" s="49"/>
      <c r="BZ258" s="49"/>
      <c r="CA258" s="49"/>
      <c r="CB258" s="49">
        <v>117.71</v>
      </c>
      <c r="CC258" s="231">
        <f t="shared" si="699"/>
        <v>23850</v>
      </c>
    </row>
    <row r="259" spans="2:81" s="3" customFormat="1" ht="15.75" thickBot="1" x14ac:dyDescent="0.3">
      <c r="B259" s="158">
        <v>23900</v>
      </c>
      <c r="C259" s="144">
        <f t="shared" si="628"/>
        <v>163.11859999999999</v>
      </c>
      <c r="D259" s="144">
        <f t="shared" si="629"/>
        <v>2483.9528</v>
      </c>
      <c r="E259" s="144">
        <f t="shared" si="734"/>
        <v>0</v>
      </c>
      <c r="F259" s="144">
        <f t="shared" si="630"/>
        <v>0</v>
      </c>
      <c r="G259" s="144">
        <f t="shared" si="681"/>
        <v>0</v>
      </c>
      <c r="H259" s="144">
        <f t="shared" si="682"/>
        <v>0</v>
      </c>
      <c r="I259" s="144">
        <f t="shared" si="683"/>
        <v>0</v>
      </c>
      <c r="J259" s="159">
        <f t="shared" si="684"/>
        <v>0</v>
      </c>
      <c r="K259" s="160">
        <f t="shared" si="580"/>
        <v>317.41000000000003</v>
      </c>
      <c r="L259" s="152">
        <f t="shared" si="742"/>
        <v>214</v>
      </c>
      <c r="M259" s="144">
        <f t="shared" si="743"/>
        <v>3029</v>
      </c>
      <c r="N259" s="144"/>
      <c r="O259" s="144">
        <f t="shared" si="769"/>
        <v>0</v>
      </c>
      <c r="P259" s="144">
        <f t="shared" si="744"/>
        <v>0</v>
      </c>
      <c r="Q259" s="144">
        <f t="shared" si="745"/>
        <v>0</v>
      </c>
      <c r="R259" s="144">
        <f t="shared" si="746"/>
        <v>0</v>
      </c>
      <c r="S259" s="144">
        <f t="shared" si="747"/>
        <v>0</v>
      </c>
      <c r="T259" s="144">
        <f t="shared" si="770"/>
        <v>1209</v>
      </c>
      <c r="V259" s="150">
        <f>L257+L258+L259</f>
        <v>405</v>
      </c>
      <c r="W259" s="150">
        <f t="shared" ref="W259" si="771">M257+M258+M259</f>
        <v>4816</v>
      </c>
      <c r="X259" s="150"/>
      <c r="Y259" s="150">
        <f t="shared" ref="Y259" si="772">O257+O258+O259</f>
        <v>0</v>
      </c>
      <c r="Z259" s="150">
        <f t="shared" ref="Z259" si="773">P257+P258+P259</f>
        <v>0</v>
      </c>
      <c r="AA259" s="150">
        <f t="shared" ref="AA259" si="774">Q257+Q258+Q259</f>
        <v>0</v>
      </c>
      <c r="AB259" s="150">
        <f t="shared" ref="AB259" si="775">R257+R258+R259</f>
        <v>0</v>
      </c>
      <c r="AC259" s="150">
        <f t="shared" ref="AC259" si="776">S257+S258+S259</f>
        <v>0</v>
      </c>
      <c r="AD259" s="150">
        <f t="shared" ref="AD259" si="777">T257+T258+T259</f>
        <v>2205</v>
      </c>
      <c r="AF259" s="158">
        <f t="shared" si="645"/>
        <v>23900</v>
      </c>
      <c r="AG259" s="149">
        <v>163.11859999999999</v>
      </c>
      <c r="AH259" s="149"/>
      <c r="AI259" s="149"/>
      <c r="AJ259" s="149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>
        <v>2469.2226000000001</v>
      </c>
      <c r="AY259" s="277">
        <v>14.7302</v>
      </c>
      <c r="AZ259" s="149"/>
      <c r="BA259" s="149"/>
      <c r="BB259" s="149"/>
      <c r="BC259" s="149"/>
      <c r="BD259" s="149"/>
      <c r="BE259" s="149"/>
      <c r="BF259" s="149"/>
      <c r="BG259" s="149"/>
      <c r="BH259" s="149"/>
      <c r="BI259" s="149"/>
      <c r="BJ259" s="149"/>
      <c r="BK259" s="149"/>
      <c r="BL259" s="149"/>
      <c r="BM259" s="149"/>
      <c r="BN259" s="149"/>
      <c r="BO259" s="149"/>
      <c r="BP259" s="149"/>
      <c r="BQ259" s="149"/>
      <c r="BR259" s="149"/>
      <c r="BS259" s="149"/>
      <c r="BT259" s="149"/>
      <c r="BU259" s="149"/>
      <c r="BV259" s="149"/>
      <c r="BW259" s="149"/>
      <c r="BX259" s="149"/>
      <c r="BY259" s="149"/>
      <c r="BZ259" s="149"/>
      <c r="CA259" s="149"/>
      <c r="CB259" s="149">
        <v>317.41000000000003</v>
      </c>
      <c r="CC259" s="231">
        <f t="shared" si="699"/>
        <v>23900</v>
      </c>
    </row>
    <row r="260" spans="2:81" x14ac:dyDescent="0.25">
      <c r="B260" s="155">
        <v>23950</v>
      </c>
      <c r="C260" s="147">
        <f t="shared" si="628"/>
        <v>0</v>
      </c>
      <c r="D260" s="147">
        <f t="shared" si="629"/>
        <v>2011.4211</v>
      </c>
      <c r="E260" s="147">
        <f t="shared" si="734"/>
        <v>0</v>
      </c>
      <c r="F260" s="147">
        <f t="shared" si="630"/>
        <v>0</v>
      </c>
      <c r="G260" s="147">
        <f t="shared" si="681"/>
        <v>0</v>
      </c>
      <c r="H260" s="147">
        <f t="shared" si="682"/>
        <v>0</v>
      </c>
      <c r="I260" s="147">
        <f t="shared" si="683"/>
        <v>0</v>
      </c>
      <c r="J260" s="156">
        <f t="shared" si="684"/>
        <v>0</v>
      </c>
      <c r="K260" s="157">
        <f t="shared" si="580"/>
        <v>183.8</v>
      </c>
      <c r="L260" s="151">
        <f t="shared" si="742"/>
        <v>152</v>
      </c>
      <c r="M260" s="147">
        <f t="shared" si="743"/>
        <v>4163</v>
      </c>
      <c r="N260" s="147"/>
      <c r="O260" s="147">
        <f t="shared" si="769"/>
        <v>0</v>
      </c>
      <c r="P260" s="147">
        <f t="shared" si="744"/>
        <v>0</v>
      </c>
      <c r="Q260" s="147">
        <f t="shared" si="745"/>
        <v>0</v>
      </c>
      <c r="R260" s="147">
        <f t="shared" si="746"/>
        <v>0</v>
      </c>
      <c r="S260" s="147">
        <f t="shared" si="747"/>
        <v>0</v>
      </c>
      <c r="T260" s="147">
        <f t="shared" si="770"/>
        <v>1393</v>
      </c>
      <c r="V260" s="146"/>
      <c r="W260" s="147"/>
      <c r="X260" s="147"/>
      <c r="Y260" s="147"/>
      <c r="Z260" s="147"/>
      <c r="AA260" s="147"/>
      <c r="AB260" s="147"/>
      <c r="AC260" s="147"/>
      <c r="AD260" s="148"/>
      <c r="AF260" s="155">
        <f t="shared" si="645"/>
        <v>23950</v>
      </c>
      <c r="AG260" s="78"/>
      <c r="AH260" s="78"/>
      <c r="AI260" s="78"/>
      <c r="AJ260" s="78"/>
      <c r="AK260" s="78"/>
      <c r="AL260" s="78"/>
      <c r="AM260" s="78"/>
      <c r="AN260" s="78"/>
      <c r="AO260" s="78"/>
      <c r="AP260" s="78"/>
      <c r="AQ260" s="78"/>
      <c r="AR260" s="78"/>
      <c r="AS260" s="78"/>
      <c r="AT260" s="78"/>
      <c r="AU260" s="78"/>
      <c r="AV260" s="78"/>
      <c r="AW260" s="78"/>
      <c r="AX260" s="78">
        <v>1996.6909000000001</v>
      </c>
      <c r="AY260" s="78">
        <v>14.7302</v>
      </c>
      <c r="AZ260" s="78"/>
      <c r="BA260" s="78"/>
      <c r="BB260" s="78"/>
      <c r="BC260" s="78"/>
      <c r="BD260" s="78"/>
      <c r="BE260" s="78"/>
      <c r="BF260" s="78"/>
      <c r="BG260" s="78"/>
      <c r="BH260" s="78"/>
      <c r="BI260" s="78"/>
      <c r="BJ260" s="78"/>
      <c r="BK260" s="78"/>
      <c r="BL260" s="78"/>
      <c r="BM260" s="78"/>
      <c r="BN260" s="78"/>
      <c r="BO260" s="78"/>
      <c r="BP260" s="78"/>
      <c r="BQ260" s="78"/>
      <c r="BR260" s="78"/>
      <c r="BS260" s="78"/>
      <c r="BT260" s="78"/>
      <c r="BU260" s="78"/>
      <c r="BV260" s="78"/>
      <c r="BW260" s="78"/>
      <c r="BX260" s="78"/>
      <c r="BY260" s="78"/>
      <c r="BZ260" s="78"/>
      <c r="CA260" s="78"/>
      <c r="CB260" s="78">
        <v>183.8</v>
      </c>
      <c r="CC260" s="231">
        <f t="shared" si="699"/>
        <v>23950</v>
      </c>
    </row>
    <row r="261" spans="2:81" x14ac:dyDescent="0.25">
      <c r="B261" s="57">
        <v>24000</v>
      </c>
      <c r="C261" s="58">
        <f t="shared" si="628"/>
        <v>0</v>
      </c>
      <c r="D261" s="58">
        <f t="shared" si="629"/>
        <v>2243.3357999999998</v>
      </c>
      <c r="E261" s="58">
        <f t="shared" si="734"/>
        <v>0</v>
      </c>
      <c r="F261" s="58">
        <f t="shared" si="630"/>
        <v>0</v>
      </c>
      <c r="G261" s="58">
        <f t="shared" si="681"/>
        <v>0</v>
      </c>
      <c r="H261" s="58">
        <f t="shared" si="682"/>
        <v>0</v>
      </c>
      <c r="I261" s="58">
        <f t="shared" si="683"/>
        <v>0</v>
      </c>
      <c r="J261" s="51">
        <f t="shared" si="684"/>
        <v>0</v>
      </c>
      <c r="K261" s="99">
        <f t="shared" si="580"/>
        <v>164.86</v>
      </c>
      <c r="L261" s="105">
        <f t="shared" si="742"/>
        <v>0</v>
      </c>
      <c r="M261" s="58">
        <f t="shared" si="743"/>
        <v>3940</v>
      </c>
      <c r="N261" s="58"/>
      <c r="O261" s="58">
        <f t="shared" si="769"/>
        <v>0</v>
      </c>
      <c r="P261" s="58">
        <f t="shared" si="744"/>
        <v>0</v>
      </c>
      <c r="Q261" s="58">
        <f t="shared" si="745"/>
        <v>0</v>
      </c>
      <c r="R261" s="58">
        <f t="shared" si="746"/>
        <v>0</v>
      </c>
      <c r="S261" s="58">
        <f t="shared" si="747"/>
        <v>0</v>
      </c>
      <c r="T261" s="58">
        <f t="shared" si="770"/>
        <v>969</v>
      </c>
      <c r="V261" s="137"/>
      <c r="W261" s="58"/>
      <c r="X261" s="58"/>
      <c r="Y261" s="58"/>
      <c r="Z261" s="58"/>
      <c r="AA261" s="58"/>
      <c r="AB261" s="58"/>
      <c r="AC261" s="58"/>
      <c r="AD261" s="138"/>
      <c r="AF261" s="57">
        <f t="shared" si="645"/>
        <v>24000</v>
      </c>
      <c r="AG261" s="49"/>
      <c r="AH261" s="49"/>
      <c r="AI261" s="49"/>
      <c r="AJ261" s="49"/>
      <c r="AK261" s="49"/>
      <c r="AL261" s="49"/>
      <c r="AM261" s="49"/>
      <c r="AN261" s="49"/>
      <c r="AO261" s="49"/>
      <c r="AP261" s="49"/>
      <c r="AQ261" s="49"/>
      <c r="AR261" s="49"/>
      <c r="AS261" s="49"/>
      <c r="AT261" s="49"/>
      <c r="AU261" s="49"/>
      <c r="AV261" s="49"/>
      <c r="AW261" s="49"/>
      <c r="AX261" s="49">
        <v>2228.1475999999998</v>
      </c>
      <c r="AY261" s="49">
        <v>15.1882</v>
      </c>
      <c r="AZ261" s="49"/>
      <c r="BA261" s="49"/>
      <c r="BB261" s="49"/>
      <c r="BC261" s="49"/>
      <c r="BD261" s="49"/>
      <c r="BE261" s="49"/>
      <c r="BF261" s="49"/>
      <c r="BG261" s="49"/>
      <c r="BH261" s="49"/>
      <c r="BI261" s="49"/>
      <c r="BJ261" s="49"/>
      <c r="BK261" s="49"/>
      <c r="BL261" s="49"/>
      <c r="BM261" s="49"/>
      <c r="BN261" s="49"/>
      <c r="BO261" s="49"/>
      <c r="BP261" s="49"/>
      <c r="BQ261" s="49"/>
      <c r="BR261" s="49"/>
      <c r="BS261" s="49"/>
      <c r="BT261" s="49"/>
      <c r="BU261" s="49"/>
      <c r="BV261" s="49"/>
      <c r="BW261" s="49"/>
      <c r="BX261" s="49"/>
      <c r="BY261" s="49"/>
      <c r="BZ261" s="49"/>
      <c r="CA261" s="49"/>
      <c r="CB261" s="49">
        <v>164.86</v>
      </c>
      <c r="CC261" s="231">
        <f t="shared" si="699"/>
        <v>24000</v>
      </c>
    </row>
    <row r="262" spans="2:81" s="3" customFormat="1" ht="15.75" thickBot="1" x14ac:dyDescent="0.3">
      <c r="B262" s="158">
        <v>24050</v>
      </c>
      <c r="C262" s="144">
        <f t="shared" si="628"/>
        <v>0</v>
      </c>
      <c r="D262" s="144">
        <f t="shared" si="629"/>
        <v>2462.3224</v>
      </c>
      <c r="E262" s="144">
        <f t="shared" si="734"/>
        <v>0</v>
      </c>
      <c r="F262" s="144">
        <f t="shared" si="630"/>
        <v>0</v>
      </c>
      <c r="G262" s="144">
        <f t="shared" si="681"/>
        <v>0</v>
      </c>
      <c r="H262" s="144">
        <f t="shared" si="682"/>
        <v>0</v>
      </c>
      <c r="I262" s="144">
        <f t="shared" si="683"/>
        <v>0</v>
      </c>
      <c r="J262" s="159">
        <f t="shared" si="684"/>
        <v>0</v>
      </c>
      <c r="K262" s="160">
        <f t="shared" si="580"/>
        <v>153.80000000000001</v>
      </c>
      <c r="L262" s="152">
        <f t="shared" si="742"/>
        <v>0</v>
      </c>
      <c r="M262" s="144">
        <f t="shared" si="743"/>
        <v>4358</v>
      </c>
      <c r="N262" s="144"/>
      <c r="O262" s="144">
        <f t="shared" si="769"/>
        <v>0</v>
      </c>
      <c r="P262" s="144">
        <f t="shared" si="744"/>
        <v>0</v>
      </c>
      <c r="Q262" s="144">
        <f t="shared" si="745"/>
        <v>0</v>
      </c>
      <c r="R262" s="144">
        <f t="shared" si="746"/>
        <v>0</v>
      </c>
      <c r="S262" s="144">
        <f t="shared" si="747"/>
        <v>0</v>
      </c>
      <c r="T262" s="144">
        <f t="shared" si="770"/>
        <v>886</v>
      </c>
      <c r="V262" s="150">
        <f>L260+L261+L262</f>
        <v>152</v>
      </c>
      <c r="W262" s="150">
        <f t="shared" ref="W262" si="778">M260+M261+M262</f>
        <v>12461</v>
      </c>
      <c r="X262" s="150"/>
      <c r="Y262" s="150">
        <f t="shared" ref="Y262" si="779">O260+O261+O262</f>
        <v>0</v>
      </c>
      <c r="Z262" s="150">
        <f t="shared" ref="Z262" si="780">P260+P261+P262</f>
        <v>0</v>
      </c>
      <c r="AA262" s="150">
        <f t="shared" ref="AA262" si="781">Q260+Q261+Q262</f>
        <v>0</v>
      </c>
      <c r="AB262" s="150">
        <f t="shared" ref="AB262" si="782">R260+R261+R262</f>
        <v>0</v>
      </c>
      <c r="AC262" s="150">
        <f t="shared" ref="AC262" si="783">S260+S261+S262</f>
        <v>0</v>
      </c>
      <c r="AD262" s="150">
        <f t="shared" ref="AD262" si="784">T260+T261+T262</f>
        <v>3248</v>
      </c>
      <c r="AF262" s="158">
        <f t="shared" si="645"/>
        <v>24050</v>
      </c>
      <c r="AG262" s="149"/>
      <c r="AH262" s="149"/>
      <c r="AI262" s="149"/>
      <c r="AJ262" s="149"/>
      <c r="AK262" s="149"/>
      <c r="AL262" s="149"/>
      <c r="AM262" s="149"/>
      <c r="AN262" s="149"/>
      <c r="AO262" s="149"/>
      <c r="AP262" s="149"/>
      <c r="AQ262" s="149"/>
      <c r="AR262" s="149"/>
      <c r="AS262" s="149"/>
      <c r="AT262" s="149"/>
      <c r="AU262" s="149"/>
      <c r="AV262" s="149"/>
      <c r="AW262" s="149"/>
      <c r="AX262" s="149">
        <v>2447.3388</v>
      </c>
      <c r="AY262" s="149">
        <v>14.983599999999999</v>
      </c>
      <c r="AZ262" s="149"/>
      <c r="BA262" s="149"/>
      <c r="BB262" s="149"/>
      <c r="BC262" s="149"/>
      <c r="BD262" s="149"/>
      <c r="BE262" s="149"/>
      <c r="BF262" s="149"/>
      <c r="BG262" s="149"/>
      <c r="BH262" s="149"/>
      <c r="BI262" s="149"/>
      <c r="BJ262" s="149"/>
      <c r="BK262" s="149"/>
      <c r="BL262" s="149"/>
      <c r="BM262" s="149"/>
      <c r="BN262" s="149"/>
      <c r="BO262" s="149"/>
      <c r="BP262" s="149"/>
      <c r="BQ262" s="149"/>
      <c r="BR262" s="149"/>
      <c r="BS262" s="149"/>
      <c r="BT262" s="149"/>
      <c r="BU262" s="149"/>
      <c r="BV262" s="149"/>
      <c r="BW262" s="149"/>
      <c r="BX262" s="149"/>
      <c r="BY262" s="149"/>
      <c r="BZ262" s="149"/>
      <c r="CA262" s="149"/>
      <c r="CB262" s="149">
        <v>153.80000000000001</v>
      </c>
      <c r="CC262" s="231">
        <f t="shared" si="699"/>
        <v>24050</v>
      </c>
    </row>
    <row r="263" spans="2:81" x14ac:dyDescent="0.25">
      <c r="B263" s="155">
        <v>24100</v>
      </c>
      <c r="C263" s="147">
        <f t="shared" si="628"/>
        <v>0</v>
      </c>
      <c r="D263" s="147">
        <f t="shared" si="629"/>
        <v>2303.6332000000002</v>
      </c>
      <c r="E263" s="147">
        <f t="shared" si="734"/>
        <v>0</v>
      </c>
      <c r="F263" s="147">
        <f t="shared" si="630"/>
        <v>0</v>
      </c>
      <c r="G263" s="147">
        <f t="shared" si="681"/>
        <v>0</v>
      </c>
      <c r="H263" s="147">
        <f t="shared" si="682"/>
        <v>0</v>
      </c>
      <c r="I263" s="147">
        <f t="shared" si="683"/>
        <v>0</v>
      </c>
      <c r="J263" s="156">
        <f t="shared" si="684"/>
        <v>0</v>
      </c>
      <c r="K263" s="157">
        <f t="shared" si="580"/>
        <v>1230.8599999999999</v>
      </c>
      <c r="L263" s="151">
        <f t="shared" si="742"/>
        <v>0</v>
      </c>
      <c r="M263" s="147">
        <f t="shared" si="743"/>
        <v>4413</v>
      </c>
      <c r="N263" s="147"/>
      <c r="O263" s="147">
        <f t="shared" si="769"/>
        <v>0</v>
      </c>
      <c r="P263" s="147">
        <f t="shared" si="744"/>
        <v>0</v>
      </c>
      <c r="Q263" s="147">
        <f t="shared" si="745"/>
        <v>0</v>
      </c>
      <c r="R263" s="147">
        <f t="shared" si="746"/>
        <v>0</v>
      </c>
      <c r="S263" s="147">
        <f t="shared" si="747"/>
        <v>0</v>
      </c>
      <c r="T263" s="147">
        <f t="shared" si="770"/>
        <v>3847</v>
      </c>
      <c r="V263" s="146"/>
      <c r="W263" s="147"/>
      <c r="X263" s="147"/>
      <c r="Y263" s="147"/>
      <c r="Z263" s="147"/>
      <c r="AA263" s="147"/>
      <c r="AB263" s="147"/>
      <c r="AC263" s="147"/>
      <c r="AD263" s="148"/>
      <c r="AF263" s="155">
        <f t="shared" si="645"/>
        <v>24100</v>
      </c>
      <c r="AG263" s="78"/>
      <c r="AH263" s="78"/>
      <c r="AI263" s="78"/>
      <c r="AJ263" s="78"/>
      <c r="AK263" s="78"/>
      <c r="AL263" s="78"/>
      <c r="AM263" s="78"/>
      <c r="AN263" s="78"/>
      <c r="AO263" s="78"/>
      <c r="AP263" s="78"/>
      <c r="AQ263" s="78"/>
      <c r="AR263" s="78"/>
      <c r="AS263" s="78"/>
      <c r="AT263" s="78"/>
      <c r="AU263" s="78"/>
      <c r="AV263" s="78"/>
      <c r="AW263" s="78"/>
      <c r="AX263" s="78">
        <v>2286.7730000000001</v>
      </c>
      <c r="AY263" s="275">
        <v>16.860199999999999</v>
      </c>
      <c r="AZ263" s="78"/>
      <c r="BA263" s="78"/>
      <c r="BB263" s="78"/>
      <c r="BC263" s="78"/>
      <c r="BD263" s="78"/>
      <c r="BE263" s="78"/>
      <c r="BF263" s="78"/>
      <c r="BG263" s="78"/>
      <c r="BH263" s="78"/>
      <c r="BI263" s="78"/>
      <c r="BJ263" s="78"/>
      <c r="BK263" s="78"/>
      <c r="BL263" s="78"/>
      <c r="BM263" s="78"/>
      <c r="BN263" s="78"/>
      <c r="BO263" s="78"/>
      <c r="BP263" s="78"/>
      <c r="BQ263" s="78"/>
      <c r="BR263" s="78"/>
      <c r="BS263" s="78"/>
      <c r="BT263" s="78"/>
      <c r="BU263" s="78"/>
      <c r="BV263" s="78"/>
      <c r="BW263" s="78"/>
      <c r="BX263" s="78"/>
      <c r="BY263" s="78"/>
      <c r="BZ263" s="78"/>
      <c r="CA263" s="78"/>
      <c r="CB263" s="78">
        <v>1230.8599999999999</v>
      </c>
      <c r="CC263" s="231">
        <f t="shared" si="699"/>
        <v>24100</v>
      </c>
    </row>
    <row r="264" spans="2:81" x14ac:dyDescent="0.25">
      <c r="B264" s="57">
        <v>24150</v>
      </c>
      <c r="C264" s="58">
        <f t="shared" si="628"/>
        <v>1438.4641000000001</v>
      </c>
      <c r="D264" s="58">
        <f>AX264+AY264+AZ264+BA264+BB264+BC264+BD264+BE264+BF264+BG264</f>
        <v>1915.5508</v>
      </c>
      <c r="E264" s="58">
        <f t="shared" si="734"/>
        <v>0</v>
      </c>
      <c r="F264" s="58">
        <f t="shared" si="630"/>
        <v>0</v>
      </c>
      <c r="G264" s="58">
        <f t="shared" si="681"/>
        <v>0</v>
      </c>
      <c r="H264" s="58">
        <f t="shared" si="682"/>
        <v>0</v>
      </c>
      <c r="I264" s="58">
        <f t="shared" si="683"/>
        <v>0</v>
      </c>
      <c r="J264" s="51">
        <f t="shared" si="684"/>
        <v>0</v>
      </c>
      <c r="K264" s="99">
        <f t="shared" si="580"/>
        <v>235.39</v>
      </c>
      <c r="L264" s="105">
        <f t="shared" si="742"/>
        <v>1332</v>
      </c>
      <c r="M264" s="58">
        <f t="shared" si="743"/>
        <v>3907</v>
      </c>
      <c r="N264" s="58"/>
      <c r="O264" s="58">
        <f t="shared" si="769"/>
        <v>0</v>
      </c>
      <c r="P264" s="58">
        <f t="shared" si="744"/>
        <v>0</v>
      </c>
      <c r="Q264" s="58">
        <f t="shared" si="745"/>
        <v>0</v>
      </c>
      <c r="R264" s="58">
        <f t="shared" si="746"/>
        <v>0</v>
      </c>
      <c r="S264" s="58">
        <f t="shared" si="747"/>
        <v>0</v>
      </c>
      <c r="T264" s="58">
        <f t="shared" si="770"/>
        <v>4073</v>
      </c>
      <c r="V264" s="137"/>
      <c r="W264" s="58"/>
      <c r="X264" s="58"/>
      <c r="Y264" s="58"/>
      <c r="Z264" s="58"/>
      <c r="AA264" s="58"/>
      <c r="AB264" s="58"/>
      <c r="AC264" s="58"/>
      <c r="AD264" s="138"/>
      <c r="AF264" s="57">
        <f t="shared" si="645"/>
        <v>24150</v>
      </c>
      <c r="AG264" s="115">
        <v>103.4091</v>
      </c>
      <c r="AH264" s="115">
        <v>72.980900000000005</v>
      </c>
      <c r="AI264" s="49">
        <v>1262.0741</v>
      </c>
      <c r="AJ264" s="49"/>
      <c r="AK264" s="49"/>
      <c r="AL264" s="49"/>
      <c r="AM264" s="49"/>
      <c r="AN264" s="49"/>
      <c r="AO264" s="49"/>
      <c r="AP264" s="49"/>
      <c r="AQ264" s="49"/>
      <c r="AR264" s="49"/>
      <c r="AS264" s="49"/>
      <c r="AT264" s="49"/>
      <c r="AU264" s="49"/>
      <c r="AV264" s="49"/>
      <c r="AW264" s="49"/>
      <c r="AX264" s="115">
        <v>103.4091</v>
      </c>
      <c r="AY264" s="115">
        <v>72.980900000000005</v>
      </c>
      <c r="AZ264" s="49">
        <v>1722.3006</v>
      </c>
      <c r="BA264" s="49">
        <v>16.860199999999999</v>
      </c>
      <c r="BB264" s="49"/>
      <c r="BC264" s="49"/>
      <c r="BD264" s="49"/>
      <c r="BE264" s="49"/>
      <c r="BF264" s="49"/>
      <c r="BG264" s="49"/>
      <c r="BH264" s="49"/>
      <c r="BI264" s="49"/>
      <c r="BJ264" s="49"/>
      <c r="BK264" s="49"/>
      <c r="BL264" s="49"/>
      <c r="BM264" s="49"/>
      <c r="BN264" s="49"/>
      <c r="BO264" s="49"/>
      <c r="BP264" s="49"/>
      <c r="BQ264" s="49"/>
      <c r="BR264" s="49"/>
      <c r="BS264" s="49"/>
      <c r="BT264" s="49"/>
      <c r="BU264" s="49"/>
      <c r="BV264" s="49"/>
      <c r="BW264" s="49"/>
      <c r="BX264" s="49"/>
      <c r="BY264" s="49"/>
      <c r="BZ264" s="49"/>
      <c r="CA264" s="49"/>
      <c r="CB264" s="49">
        <v>235.39</v>
      </c>
      <c r="CC264" s="231">
        <f t="shared" si="699"/>
        <v>24150</v>
      </c>
    </row>
    <row r="265" spans="2:81" s="3" customFormat="1" ht="15.75" thickBot="1" x14ac:dyDescent="0.3">
      <c r="B265" s="158">
        <v>24200</v>
      </c>
      <c r="C265" s="144">
        <f t="shared" si="628"/>
        <v>2118.4998999999998</v>
      </c>
      <c r="D265" s="144">
        <f t="shared" si="629"/>
        <v>1487.9809</v>
      </c>
      <c r="E265" s="144">
        <f t="shared" si="734"/>
        <v>0</v>
      </c>
      <c r="F265" s="144">
        <f t="shared" si="630"/>
        <v>0</v>
      </c>
      <c r="G265" s="144">
        <f t="shared" si="681"/>
        <v>0</v>
      </c>
      <c r="H265" s="144">
        <f t="shared" si="682"/>
        <v>0</v>
      </c>
      <c r="I265" s="144">
        <f t="shared" si="683"/>
        <v>0</v>
      </c>
      <c r="J265" s="159">
        <f t="shared" si="684"/>
        <v>0</v>
      </c>
      <c r="K265" s="160">
        <f t="shared" si="580"/>
        <v>262.38</v>
      </c>
      <c r="L265" s="152">
        <f t="shared" si="742"/>
        <v>3294</v>
      </c>
      <c r="M265" s="144">
        <f t="shared" si="743"/>
        <v>3152</v>
      </c>
      <c r="N265" s="144"/>
      <c r="O265" s="144">
        <f t="shared" si="769"/>
        <v>0</v>
      </c>
      <c r="P265" s="144">
        <f t="shared" si="744"/>
        <v>0</v>
      </c>
      <c r="Q265" s="144">
        <f t="shared" si="745"/>
        <v>0</v>
      </c>
      <c r="R265" s="144">
        <f t="shared" si="746"/>
        <v>0</v>
      </c>
      <c r="S265" s="144">
        <f t="shared" si="747"/>
        <v>0</v>
      </c>
      <c r="T265" s="144">
        <f t="shared" si="770"/>
        <v>1383</v>
      </c>
      <c r="V265" s="150">
        <f>L263+L264+L265</f>
        <v>4626</v>
      </c>
      <c r="W265" s="150">
        <f t="shared" ref="W265" si="785">M263+M264+M265</f>
        <v>11472</v>
      </c>
      <c r="X265" s="150"/>
      <c r="Y265" s="150">
        <f t="shared" ref="Y265" si="786">O263+O264+O265</f>
        <v>0</v>
      </c>
      <c r="Z265" s="150">
        <f t="shared" ref="Z265" si="787">P263+P264+P265</f>
        <v>0</v>
      </c>
      <c r="AA265" s="150">
        <f t="shared" ref="AA265" si="788">Q263+Q264+Q265</f>
        <v>0</v>
      </c>
      <c r="AB265" s="150">
        <f t="shared" ref="AB265" si="789">R263+R264+R265</f>
        <v>0</v>
      </c>
      <c r="AC265" s="150">
        <f t="shared" ref="AC265" si="790">S263+S264+S265</f>
        <v>0</v>
      </c>
      <c r="AD265" s="150">
        <f t="shared" ref="AD265" si="791">T263+T264+T265</f>
        <v>9303</v>
      </c>
      <c r="AF265" s="158">
        <f t="shared" si="645"/>
        <v>24200</v>
      </c>
      <c r="AG265" s="186">
        <v>120.70569999999999</v>
      </c>
      <c r="AH265" s="186">
        <v>93.936999999999998</v>
      </c>
      <c r="AI265" s="149">
        <v>1903.8571999999999</v>
      </c>
      <c r="AJ265" s="149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49"/>
      <c r="AV265" s="149"/>
      <c r="AW265" s="149"/>
      <c r="AX265" s="186">
        <v>120.70569999999999</v>
      </c>
      <c r="AY265" s="186">
        <v>93.936999999999998</v>
      </c>
      <c r="AZ265" s="149">
        <v>1258.5482</v>
      </c>
      <c r="BA265" s="149">
        <v>14.79</v>
      </c>
      <c r="BB265" s="149"/>
      <c r="BC265" s="149"/>
      <c r="BD265" s="149"/>
      <c r="BE265" s="149"/>
      <c r="BF265" s="149"/>
      <c r="BG265" s="149"/>
      <c r="BH265" s="149"/>
      <c r="BI265" s="149"/>
      <c r="BJ265" s="149"/>
      <c r="BK265" s="149"/>
      <c r="BL265" s="149"/>
      <c r="BM265" s="149"/>
      <c r="BN265" s="149"/>
      <c r="BO265" s="149"/>
      <c r="BP265" s="149"/>
      <c r="BQ265" s="149"/>
      <c r="BR265" s="149"/>
      <c r="BS265" s="149"/>
      <c r="BT265" s="149"/>
      <c r="BU265" s="149"/>
      <c r="BV265" s="149"/>
      <c r="BW265" s="149"/>
      <c r="BX265" s="149"/>
      <c r="BY265" s="149"/>
      <c r="BZ265" s="149"/>
      <c r="CA265" s="149"/>
      <c r="CB265" s="149">
        <v>262.38</v>
      </c>
      <c r="CC265" s="231">
        <f t="shared" si="699"/>
        <v>24200</v>
      </c>
    </row>
    <row r="266" spans="2:81" x14ac:dyDescent="0.25">
      <c r="B266" s="155">
        <v>24250</v>
      </c>
      <c r="C266" s="147">
        <f t="shared" si="628"/>
        <v>2316.6403</v>
      </c>
      <c r="D266" s="147">
        <f t="shared" si="629"/>
        <v>1244.4831999999999</v>
      </c>
      <c r="E266" s="147">
        <f t="shared" si="734"/>
        <v>0</v>
      </c>
      <c r="F266" s="147">
        <f t="shared" si="630"/>
        <v>0</v>
      </c>
      <c r="G266" s="147">
        <f t="shared" si="681"/>
        <v>0</v>
      </c>
      <c r="H266" s="147">
        <f t="shared" si="682"/>
        <v>0</v>
      </c>
      <c r="I266" s="147">
        <f t="shared" si="683"/>
        <v>0</v>
      </c>
      <c r="J266" s="156">
        <f t="shared" si="684"/>
        <v>0</v>
      </c>
      <c r="K266" s="157">
        <f t="shared" ref="K266:K283" si="792">BZ266+CA266+CB266</f>
        <v>275.06</v>
      </c>
      <c r="L266" s="151">
        <f t="shared" si="742"/>
        <v>4107</v>
      </c>
      <c r="M266" s="147">
        <f t="shared" si="743"/>
        <v>2531</v>
      </c>
      <c r="N266" s="147"/>
      <c r="O266" s="147">
        <f t="shared" si="769"/>
        <v>0</v>
      </c>
      <c r="P266" s="147">
        <f t="shared" si="744"/>
        <v>0</v>
      </c>
      <c r="Q266" s="147">
        <f t="shared" si="745"/>
        <v>0</v>
      </c>
      <c r="R266" s="147">
        <f t="shared" si="746"/>
        <v>0</v>
      </c>
      <c r="S266" s="147">
        <f t="shared" si="747"/>
        <v>0</v>
      </c>
      <c r="T266" s="147">
        <f t="shared" si="770"/>
        <v>1493</v>
      </c>
      <c r="V266" s="146"/>
      <c r="W266" s="147"/>
      <c r="X266" s="147"/>
      <c r="Y266" s="147"/>
      <c r="Z266" s="147"/>
      <c r="AA266" s="147"/>
      <c r="AB266" s="147"/>
      <c r="AC266" s="147"/>
      <c r="AD266" s="148"/>
      <c r="AF266" s="155">
        <f t="shared" si="645"/>
        <v>24250</v>
      </c>
      <c r="AG266" s="78">
        <v>4.8581000000000003</v>
      </c>
      <c r="AH266" s="185">
        <v>91.955799999999996</v>
      </c>
      <c r="AI266" s="185">
        <v>52.9908</v>
      </c>
      <c r="AJ266" s="78">
        <v>2166.8355999999999</v>
      </c>
      <c r="AK266" s="78"/>
      <c r="AL266" s="78"/>
      <c r="AM266" s="78"/>
      <c r="AN266" s="78"/>
      <c r="AO266" s="78"/>
      <c r="AP266" s="78"/>
      <c r="AQ266" s="78"/>
      <c r="AR266" s="78"/>
      <c r="AS266" s="78"/>
      <c r="AT266" s="78"/>
      <c r="AU266" s="78"/>
      <c r="AV266" s="78"/>
      <c r="AW266" s="78"/>
      <c r="AX266" s="185">
        <v>91.955799999999996</v>
      </c>
      <c r="AY266" s="185">
        <v>52.9908</v>
      </c>
      <c r="AZ266" s="78">
        <v>1085.1715999999999</v>
      </c>
      <c r="BA266" s="78">
        <v>14.365</v>
      </c>
      <c r="BB266" s="78"/>
      <c r="BC266" s="78"/>
      <c r="BD266" s="78"/>
      <c r="BE266" s="78"/>
      <c r="BF266" s="78"/>
      <c r="BG266" s="78"/>
      <c r="BH266" s="78"/>
      <c r="BI266" s="78"/>
      <c r="BJ266" s="78"/>
      <c r="BK266" s="78"/>
      <c r="BL266" s="78"/>
      <c r="BM266" s="78"/>
      <c r="BN266" s="78"/>
      <c r="BO266" s="78"/>
      <c r="BP266" s="78"/>
      <c r="BQ266" s="78"/>
      <c r="BR266" s="78"/>
      <c r="BS266" s="78"/>
      <c r="BT266" s="78"/>
      <c r="BU266" s="78"/>
      <c r="BV266" s="78"/>
      <c r="BW266" s="78"/>
      <c r="BX266" s="78"/>
      <c r="BY266" s="78"/>
      <c r="BZ266" s="78"/>
      <c r="CA266" s="78"/>
      <c r="CB266" s="78">
        <v>275.06</v>
      </c>
      <c r="CC266" s="231">
        <f t="shared" si="699"/>
        <v>24250</v>
      </c>
    </row>
    <row r="267" spans="2:81" x14ac:dyDescent="0.25">
      <c r="B267" s="57">
        <v>24300</v>
      </c>
      <c r="C267" s="58">
        <f t="shared" si="628"/>
        <v>1976.357</v>
      </c>
      <c r="D267" s="58">
        <f t="shared" si="629"/>
        <v>1279.8616999999999</v>
      </c>
      <c r="E267" s="58">
        <f t="shared" si="734"/>
        <v>0</v>
      </c>
      <c r="F267" s="58">
        <f t="shared" si="630"/>
        <v>0</v>
      </c>
      <c r="G267" s="58">
        <f t="shared" si="681"/>
        <v>0</v>
      </c>
      <c r="H267" s="58">
        <f t="shared" si="682"/>
        <v>0</v>
      </c>
      <c r="I267" s="58">
        <f t="shared" si="683"/>
        <v>0</v>
      </c>
      <c r="J267" s="51">
        <f t="shared" si="684"/>
        <v>0</v>
      </c>
      <c r="K267" s="99">
        <f t="shared" si="792"/>
        <v>250.51</v>
      </c>
      <c r="L267" s="105">
        <f t="shared" si="742"/>
        <v>3975</v>
      </c>
      <c r="M267" s="58">
        <f t="shared" si="743"/>
        <v>2338</v>
      </c>
      <c r="N267" s="58"/>
      <c r="O267" s="58">
        <f t="shared" si="769"/>
        <v>0</v>
      </c>
      <c r="P267" s="58">
        <f t="shared" si="744"/>
        <v>0</v>
      </c>
      <c r="Q267" s="58">
        <f t="shared" si="745"/>
        <v>0</v>
      </c>
      <c r="R267" s="58">
        <f t="shared" si="746"/>
        <v>0</v>
      </c>
      <c r="S267" s="58">
        <f t="shared" si="747"/>
        <v>0</v>
      </c>
      <c r="T267" s="58">
        <f t="shared" si="770"/>
        <v>1460</v>
      </c>
      <c r="V267" s="137"/>
      <c r="W267" s="58"/>
      <c r="X267" s="58"/>
      <c r="Y267" s="58"/>
      <c r="Z267" s="58"/>
      <c r="AA267" s="58"/>
      <c r="AB267" s="58"/>
      <c r="AC267" s="58"/>
      <c r="AD267" s="138"/>
      <c r="AF267" s="57">
        <f t="shared" si="645"/>
        <v>24300</v>
      </c>
      <c r="AG267" s="49">
        <v>9.4992000000000001</v>
      </c>
      <c r="AH267" s="115">
        <v>138.25280000000001</v>
      </c>
      <c r="AI267" s="115">
        <v>57.165900000000001</v>
      </c>
      <c r="AJ267" s="49">
        <v>1771.4391000000001</v>
      </c>
      <c r="AK267" s="49"/>
      <c r="AL267" s="49"/>
      <c r="AM267" s="49"/>
      <c r="AN267" s="49"/>
      <c r="AO267" s="49"/>
      <c r="AP267" s="49"/>
      <c r="AQ267" s="49"/>
      <c r="AR267" s="49"/>
      <c r="AS267" s="49"/>
      <c r="AT267" s="49"/>
      <c r="AU267" s="49"/>
      <c r="AV267" s="49"/>
      <c r="AW267" s="49"/>
      <c r="AX267" s="115">
        <v>138.25280000000001</v>
      </c>
      <c r="AY267" s="115">
        <v>57.165900000000001</v>
      </c>
      <c r="AZ267" s="49">
        <v>1068.6068</v>
      </c>
      <c r="BA267" s="49">
        <v>15.8362</v>
      </c>
      <c r="BB267" s="49"/>
      <c r="BC267" s="49"/>
      <c r="BD267" s="49"/>
      <c r="BE267" s="49"/>
      <c r="BF267" s="49"/>
      <c r="BG267" s="49"/>
      <c r="BH267" s="49"/>
      <c r="BI267" s="49"/>
      <c r="BJ267" s="49"/>
      <c r="BK267" s="49"/>
      <c r="BL267" s="49"/>
      <c r="BM267" s="49"/>
      <c r="BN267" s="49"/>
      <c r="BO267" s="49"/>
      <c r="BP267" s="49"/>
      <c r="BQ267" s="49"/>
      <c r="BR267" s="49"/>
      <c r="BS267" s="49"/>
      <c r="BT267" s="49"/>
      <c r="BU267" s="49"/>
      <c r="BV267" s="49"/>
      <c r="BW267" s="49"/>
      <c r="BX267" s="49"/>
      <c r="BY267" s="49"/>
      <c r="BZ267" s="49"/>
      <c r="CA267" s="49"/>
      <c r="CB267" s="49">
        <v>250.51</v>
      </c>
      <c r="CC267" s="231">
        <f t="shared" ref="CC267:CC284" si="793">B267</f>
        <v>24300</v>
      </c>
    </row>
    <row r="268" spans="2:81" s="3" customFormat="1" ht="15.75" thickBot="1" x14ac:dyDescent="0.3">
      <c r="B268" s="158">
        <v>24350</v>
      </c>
      <c r="C268" s="144">
        <f t="shared" si="628"/>
        <v>1471.0430999999999</v>
      </c>
      <c r="D268" s="144">
        <f t="shared" si="629"/>
        <v>1339.0852</v>
      </c>
      <c r="E268" s="144">
        <f t="shared" si="734"/>
        <v>0</v>
      </c>
      <c r="F268" s="144">
        <f t="shared" si="630"/>
        <v>0</v>
      </c>
      <c r="G268" s="144">
        <f t="shared" si="681"/>
        <v>0</v>
      </c>
      <c r="H268" s="144">
        <f t="shared" si="682"/>
        <v>0</v>
      </c>
      <c r="I268" s="144">
        <f t="shared" si="683"/>
        <v>0</v>
      </c>
      <c r="J268" s="159">
        <f t="shared" si="684"/>
        <v>0</v>
      </c>
      <c r="K268" s="160">
        <f t="shared" si="792"/>
        <v>263.45999999999998</v>
      </c>
      <c r="L268" s="152">
        <f t="shared" si="742"/>
        <v>3193</v>
      </c>
      <c r="M268" s="144">
        <f t="shared" si="743"/>
        <v>2425</v>
      </c>
      <c r="N268" s="144"/>
      <c r="O268" s="144">
        <f t="shared" si="769"/>
        <v>0</v>
      </c>
      <c r="P268" s="144">
        <f t="shared" si="744"/>
        <v>0</v>
      </c>
      <c r="Q268" s="144">
        <f t="shared" si="745"/>
        <v>0</v>
      </c>
      <c r="R268" s="144">
        <f t="shared" si="746"/>
        <v>0</v>
      </c>
      <c r="S268" s="144">
        <f t="shared" si="747"/>
        <v>0</v>
      </c>
      <c r="T268" s="144">
        <f t="shared" si="770"/>
        <v>1428</v>
      </c>
      <c r="V268" s="150">
        <f>L266+L267+L268</f>
        <v>11275</v>
      </c>
      <c r="W268" s="150">
        <f t="shared" ref="W268" si="794">M266+M267+M268</f>
        <v>7294</v>
      </c>
      <c r="X268" s="150"/>
      <c r="Y268" s="150">
        <f t="shared" ref="Y268" si="795">O266+O267+O268</f>
        <v>0</v>
      </c>
      <c r="Z268" s="150">
        <f t="shared" ref="Z268" si="796">P266+P267+P268</f>
        <v>0</v>
      </c>
      <c r="AA268" s="150">
        <f t="shared" ref="AA268" si="797">Q266+Q267+Q268</f>
        <v>0</v>
      </c>
      <c r="AB268" s="150">
        <f t="shared" ref="AB268" si="798">R266+R267+R268</f>
        <v>0</v>
      </c>
      <c r="AC268" s="150">
        <f t="shared" ref="AC268" si="799">S266+S267+S268</f>
        <v>0</v>
      </c>
      <c r="AD268" s="150">
        <f t="shared" ref="AD268" si="800">T266+T267+T268</f>
        <v>4381</v>
      </c>
      <c r="AF268" s="158">
        <f t="shared" si="645"/>
        <v>24350</v>
      </c>
      <c r="AG268" s="149">
        <v>19.373899999999999</v>
      </c>
      <c r="AH268" s="186">
        <v>157.1728</v>
      </c>
      <c r="AI268" s="186">
        <v>22.300699999999999</v>
      </c>
      <c r="AJ268" s="149">
        <v>1272.1957</v>
      </c>
      <c r="AK268" s="149"/>
      <c r="AL268" s="149"/>
      <c r="AM268" s="149"/>
      <c r="AN268" s="149"/>
      <c r="AO268" s="149"/>
      <c r="AP268" s="149"/>
      <c r="AQ268" s="149"/>
      <c r="AR268" s="149"/>
      <c r="AS268" s="149"/>
      <c r="AT268" s="149"/>
      <c r="AU268" s="149"/>
      <c r="AV268" s="149"/>
      <c r="AW268" s="149"/>
      <c r="AX268" s="186">
        <v>157.1728</v>
      </c>
      <c r="AY268" s="186">
        <v>22.300699999999999</v>
      </c>
      <c r="AZ268" s="149">
        <v>1142.1805999999999</v>
      </c>
      <c r="BA268" s="149">
        <v>17.431100000000001</v>
      </c>
      <c r="BB268" s="149"/>
      <c r="BC268" s="149"/>
      <c r="BD268" s="149"/>
      <c r="BE268" s="149"/>
      <c r="BF268" s="149"/>
      <c r="BG268" s="149"/>
      <c r="BH268" s="149"/>
      <c r="BI268" s="149"/>
      <c r="BJ268" s="149"/>
      <c r="BK268" s="149"/>
      <c r="BL268" s="149"/>
      <c r="BM268" s="149"/>
      <c r="BN268" s="149"/>
      <c r="BO268" s="149"/>
      <c r="BP268" s="149"/>
      <c r="BQ268" s="149"/>
      <c r="BR268" s="149"/>
      <c r="BS268" s="149"/>
      <c r="BT268" s="149"/>
      <c r="BU268" s="149"/>
      <c r="BV268" s="149"/>
      <c r="BW268" s="149"/>
      <c r="BX268" s="149"/>
      <c r="BY268" s="149"/>
      <c r="BZ268" s="149"/>
      <c r="CA268" s="149"/>
      <c r="CB268" s="149">
        <v>263.45999999999998</v>
      </c>
      <c r="CC268" s="231">
        <f t="shared" si="793"/>
        <v>24350</v>
      </c>
    </row>
    <row r="269" spans="2:81" x14ac:dyDescent="0.25">
      <c r="B269" s="155">
        <v>24400</v>
      </c>
      <c r="C269" s="147">
        <f t="shared" si="628"/>
        <v>882.38419999999996</v>
      </c>
      <c r="D269" s="147">
        <f t="shared" si="629"/>
        <v>1264.6241</v>
      </c>
      <c r="E269" s="147">
        <f t="shared" si="734"/>
        <v>0</v>
      </c>
      <c r="F269" s="147">
        <f t="shared" si="630"/>
        <v>0</v>
      </c>
      <c r="G269" s="147">
        <f t="shared" si="681"/>
        <v>0</v>
      </c>
      <c r="H269" s="147">
        <f t="shared" si="682"/>
        <v>0</v>
      </c>
      <c r="I269" s="147">
        <f t="shared" si="683"/>
        <v>0</v>
      </c>
      <c r="J269" s="156">
        <f t="shared" si="684"/>
        <v>0</v>
      </c>
      <c r="K269" s="157">
        <f t="shared" si="792"/>
        <v>267.75</v>
      </c>
      <c r="L269" s="151">
        <f t="shared" si="742"/>
        <v>2180</v>
      </c>
      <c r="M269" s="147">
        <f t="shared" si="743"/>
        <v>2411</v>
      </c>
      <c r="N269" s="147"/>
      <c r="O269" s="147">
        <f t="shared" si="769"/>
        <v>0</v>
      </c>
      <c r="P269" s="147">
        <f t="shared" si="744"/>
        <v>0</v>
      </c>
      <c r="Q269" s="147">
        <f t="shared" si="745"/>
        <v>0</v>
      </c>
      <c r="R269" s="147">
        <f t="shared" si="746"/>
        <v>0</v>
      </c>
      <c r="S269" s="147">
        <f t="shared" si="747"/>
        <v>0</v>
      </c>
      <c r="T269" s="147">
        <f t="shared" si="770"/>
        <v>1476</v>
      </c>
      <c r="V269" s="146"/>
      <c r="W269" s="147"/>
      <c r="X269" s="147"/>
      <c r="Y269" s="147"/>
      <c r="Z269" s="147"/>
      <c r="AA269" s="147"/>
      <c r="AB269" s="147"/>
      <c r="AC269" s="147"/>
      <c r="AD269" s="148"/>
      <c r="AF269" s="155">
        <f t="shared" si="645"/>
        <v>24400</v>
      </c>
      <c r="AG269" s="78">
        <v>18.783300000000001</v>
      </c>
      <c r="AH269" s="185">
        <v>89.179599999999994</v>
      </c>
      <c r="AI269" s="185">
        <v>22.928899999999999</v>
      </c>
      <c r="AJ269" s="78">
        <v>751.49239999999998</v>
      </c>
      <c r="AK269" s="78"/>
      <c r="AL269" s="78"/>
      <c r="AM269" s="78"/>
      <c r="AN269" s="78"/>
      <c r="AO269" s="78"/>
      <c r="AP269" s="78"/>
      <c r="AQ269" s="78"/>
      <c r="AR269" s="78"/>
      <c r="AS269" s="78"/>
      <c r="AT269" s="78"/>
      <c r="AU269" s="78"/>
      <c r="AV269" s="78"/>
      <c r="AW269" s="78"/>
      <c r="AX269" s="185">
        <v>89.179599999999994</v>
      </c>
      <c r="AY269" s="185">
        <v>22.928899999999999</v>
      </c>
      <c r="AZ269" s="78">
        <v>1136.7249999999999</v>
      </c>
      <c r="BA269" s="78">
        <v>15.7906</v>
      </c>
      <c r="BB269" s="78"/>
      <c r="BC269" s="78"/>
      <c r="BD269" s="78"/>
      <c r="BE269" s="78"/>
      <c r="BF269" s="78"/>
      <c r="BG269" s="78"/>
      <c r="BH269" s="78"/>
      <c r="BI269" s="78"/>
      <c r="BJ269" s="78"/>
      <c r="BK269" s="78"/>
      <c r="BL269" s="78"/>
      <c r="BM269" s="78"/>
      <c r="BN269" s="78"/>
      <c r="BO269" s="78"/>
      <c r="BP269" s="78"/>
      <c r="BQ269" s="78"/>
      <c r="BR269" s="78"/>
      <c r="BS269" s="78"/>
      <c r="BT269" s="78"/>
      <c r="BU269" s="78"/>
      <c r="BV269" s="78"/>
      <c r="BW269" s="78"/>
      <c r="BX269" s="78"/>
      <c r="BY269" s="78"/>
      <c r="BZ269" s="78"/>
      <c r="CA269" s="78"/>
      <c r="CB269" s="78">
        <v>267.75</v>
      </c>
      <c r="CC269" s="231">
        <f t="shared" si="793"/>
        <v>24400</v>
      </c>
    </row>
    <row r="270" spans="2:81" x14ac:dyDescent="0.25">
      <c r="B270" s="57">
        <v>24450</v>
      </c>
      <c r="C270" s="58">
        <f t="shared" si="628"/>
        <v>288.97820000000002</v>
      </c>
      <c r="D270" s="58">
        <f t="shared" si="629"/>
        <v>1376.4548</v>
      </c>
      <c r="E270" s="58">
        <f t="shared" si="734"/>
        <v>0</v>
      </c>
      <c r="F270" s="58">
        <f t="shared" si="630"/>
        <v>0</v>
      </c>
      <c r="G270" s="58">
        <f t="shared" si="681"/>
        <v>0</v>
      </c>
      <c r="H270" s="58">
        <f t="shared" si="682"/>
        <v>0</v>
      </c>
      <c r="I270" s="58">
        <f t="shared" si="683"/>
        <v>0</v>
      </c>
      <c r="J270" s="51">
        <f t="shared" si="684"/>
        <v>0</v>
      </c>
      <c r="K270" s="99">
        <f t="shared" si="792"/>
        <v>184.5</v>
      </c>
      <c r="L270" s="105">
        <f t="shared" si="742"/>
        <v>1085</v>
      </c>
      <c r="M270" s="58">
        <f t="shared" si="743"/>
        <v>2446</v>
      </c>
      <c r="N270" s="58"/>
      <c r="O270" s="58">
        <f t="shared" si="769"/>
        <v>0</v>
      </c>
      <c r="P270" s="58">
        <f t="shared" si="744"/>
        <v>0</v>
      </c>
      <c r="Q270" s="58">
        <f t="shared" si="745"/>
        <v>0</v>
      </c>
      <c r="R270" s="58">
        <f t="shared" si="746"/>
        <v>0</v>
      </c>
      <c r="S270" s="58">
        <f t="shared" si="747"/>
        <v>0</v>
      </c>
      <c r="T270" s="58">
        <f t="shared" si="770"/>
        <v>1257</v>
      </c>
      <c r="V270" s="137"/>
      <c r="W270" s="58"/>
      <c r="X270" s="58"/>
      <c r="Y270" s="58"/>
      <c r="Z270" s="58"/>
      <c r="AA270" s="58"/>
      <c r="AB270" s="58"/>
      <c r="AC270" s="58"/>
      <c r="AD270" s="138"/>
      <c r="AF270" s="57">
        <f t="shared" si="645"/>
        <v>24450</v>
      </c>
      <c r="AG270" s="49">
        <v>17.879200000000001</v>
      </c>
      <c r="AH270" s="115">
        <v>114.2617</v>
      </c>
      <c r="AI270" s="49">
        <v>156.8373</v>
      </c>
      <c r="AJ270" s="49"/>
      <c r="AK270" s="49"/>
      <c r="AL270" s="49"/>
      <c r="AM270" s="49"/>
      <c r="AN270" s="49"/>
      <c r="AO270" s="49"/>
      <c r="AP270" s="49"/>
      <c r="AQ270" s="49"/>
      <c r="AR270" s="49"/>
      <c r="AS270" s="49"/>
      <c r="AT270" s="49"/>
      <c r="AU270" s="49"/>
      <c r="AV270" s="49"/>
      <c r="AW270" s="49"/>
      <c r="AX270" s="115">
        <v>114.2617</v>
      </c>
      <c r="AY270" s="49">
        <v>1246.9147</v>
      </c>
      <c r="AZ270" s="49">
        <v>15.2784</v>
      </c>
      <c r="BA270" s="49"/>
      <c r="BB270" s="49"/>
      <c r="BC270" s="49"/>
      <c r="BD270" s="49"/>
      <c r="BE270" s="49"/>
      <c r="BF270" s="49"/>
      <c r="BG270" s="49"/>
      <c r="BH270" s="49"/>
      <c r="BI270" s="49"/>
      <c r="BJ270" s="49"/>
      <c r="BK270" s="49"/>
      <c r="BL270" s="49"/>
      <c r="BM270" s="49"/>
      <c r="BN270" s="49"/>
      <c r="BO270" s="49"/>
      <c r="BP270" s="49"/>
      <c r="BQ270" s="49"/>
      <c r="BR270" s="49"/>
      <c r="BS270" s="49"/>
      <c r="BT270" s="49"/>
      <c r="BU270" s="49"/>
      <c r="BV270" s="49"/>
      <c r="BW270" s="49"/>
      <c r="BX270" s="49"/>
      <c r="BY270" s="49"/>
      <c r="BZ270" s="49"/>
      <c r="CA270" s="49"/>
      <c r="CB270" s="49">
        <v>184.5</v>
      </c>
      <c r="CC270" s="231">
        <f t="shared" si="793"/>
        <v>24450</v>
      </c>
    </row>
    <row r="271" spans="2:81" s="3" customFormat="1" ht="15.75" thickBot="1" x14ac:dyDescent="0.3">
      <c r="B271" s="158">
        <v>24500</v>
      </c>
      <c r="C271" s="144">
        <f t="shared" si="628"/>
        <v>39.057000000000002</v>
      </c>
      <c r="D271" s="144">
        <f t="shared" si="629"/>
        <v>1438.4247</v>
      </c>
      <c r="E271" s="144">
        <f t="shared" si="734"/>
        <v>0</v>
      </c>
      <c r="F271" s="144">
        <f t="shared" si="630"/>
        <v>0</v>
      </c>
      <c r="G271" s="144">
        <f t="shared" si="681"/>
        <v>0</v>
      </c>
      <c r="H271" s="144">
        <f t="shared" si="682"/>
        <v>0</v>
      </c>
      <c r="I271" s="144">
        <f t="shared" si="683"/>
        <v>0</v>
      </c>
      <c r="J271" s="159">
        <f t="shared" si="684"/>
        <v>0</v>
      </c>
      <c r="K271" s="160">
        <f t="shared" si="792"/>
        <v>136.15</v>
      </c>
      <c r="L271" s="152">
        <f t="shared" si="742"/>
        <v>304</v>
      </c>
      <c r="M271" s="144">
        <f t="shared" si="743"/>
        <v>2607</v>
      </c>
      <c r="N271" s="144"/>
      <c r="O271" s="144">
        <f t="shared" si="769"/>
        <v>0</v>
      </c>
      <c r="P271" s="144">
        <f t="shared" si="744"/>
        <v>0</v>
      </c>
      <c r="Q271" s="144">
        <f t="shared" si="745"/>
        <v>0</v>
      </c>
      <c r="R271" s="144">
        <f t="shared" si="746"/>
        <v>0</v>
      </c>
      <c r="S271" s="144">
        <f t="shared" si="747"/>
        <v>0</v>
      </c>
      <c r="T271" s="144">
        <f t="shared" si="770"/>
        <v>891</v>
      </c>
      <c r="V271" s="150">
        <f>L269+L270+L271</f>
        <v>3569</v>
      </c>
      <c r="W271" s="150">
        <f t="shared" ref="W271" si="801">M269+M270+M271</f>
        <v>7464</v>
      </c>
      <c r="X271" s="150"/>
      <c r="Y271" s="150">
        <f t="shared" ref="Y271" si="802">O269+O270+O271</f>
        <v>0</v>
      </c>
      <c r="Z271" s="150">
        <f t="shared" ref="Z271" si="803">P269+P270+P271</f>
        <v>0</v>
      </c>
      <c r="AA271" s="150">
        <f t="shared" ref="AA271" si="804">Q269+Q270+Q271</f>
        <v>0</v>
      </c>
      <c r="AB271" s="150">
        <f t="shared" ref="AB271" si="805">R269+R270+R271</f>
        <v>0</v>
      </c>
      <c r="AC271" s="150">
        <f t="shared" ref="AC271" si="806">S269+S270+S271</f>
        <v>0</v>
      </c>
      <c r="AD271" s="150">
        <f t="shared" ref="AD271" si="807">T269+T270+T271</f>
        <v>3624</v>
      </c>
      <c r="AF271" s="158">
        <f t="shared" si="645"/>
        <v>24500</v>
      </c>
      <c r="AG271" s="149">
        <v>11.8245</v>
      </c>
      <c r="AH271" s="149">
        <v>27.232500000000002</v>
      </c>
      <c r="AI271" s="149"/>
      <c r="AJ271" s="149"/>
      <c r="AK271" s="149"/>
      <c r="AL271" s="149"/>
      <c r="AM271" s="149"/>
      <c r="AN271" s="149"/>
      <c r="AO271" s="149"/>
      <c r="AP271" s="149"/>
      <c r="AQ271" s="149"/>
      <c r="AR271" s="149"/>
      <c r="AS271" s="149"/>
      <c r="AT271" s="149"/>
      <c r="AU271" s="149"/>
      <c r="AV271" s="149"/>
      <c r="AW271" s="149"/>
      <c r="AX271" s="149">
        <v>1422.6999000000001</v>
      </c>
      <c r="AY271" s="149">
        <v>15.7248</v>
      </c>
      <c r="AZ271" s="149"/>
      <c r="BA271" s="149"/>
      <c r="BB271" s="149"/>
      <c r="BC271" s="149"/>
      <c r="BD271" s="149"/>
      <c r="BE271" s="149"/>
      <c r="BF271" s="149"/>
      <c r="BG271" s="149"/>
      <c r="BH271" s="149"/>
      <c r="BI271" s="149"/>
      <c r="BJ271" s="149"/>
      <c r="BK271" s="149"/>
      <c r="BL271" s="149"/>
      <c r="BM271" s="149"/>
      <c r="BN271" s="149"/>
      <c r="BO271" s="149"/>
      <c r="BP271" s="149"/>
      <c r="BQ271" s="149"/>
      <c r="BR271" s="149"/>
      <c r="BS271" s="149"/>
      <c r="BT271" s="149"/>
      <c r="BU271" s="149"/>
      <c r="BV271" s="149"/>
      <c r="BW271" s="149"/>
      <c r="BX271" s="149"/>
      <c r="BY271" s="149"/>
      <c r="BZ271" s="149"/>
      <c r="CA271" s="149"/>
      <c r="CB271" s="149">
        <v>136.15</v>
      </c>
      <c r="CC271" s="231">
        <f t="shared" si="793"/>
        <v>24500</v>
      </c>
    </row>
    <row r="272" spans="2:81" x14ac:dyDescent="0.25">
      <c r="B272" s="155">
        <v>24550</v>
      </c>
      <c r="C272" s="147">
        <f t="shared" si="628"/>
        <v>48.459800000000001</v>
      </c>
      <c r="D272" s="147">
        <f t="shared" si="629"/>
        <v>1640.5581999999999</v>
      </c>
      <c r="E272" s="147">
        <f t="shared" si="734"/>
        <v>0</v>
      </c>
      <c r="F272" s="147">
        <f t="shared" si="630"/>
        <v>0</v>
      </c>
      <c r="G272" s="147">
        <f t="shared" si="681"/>
        <v>0</v>
      </c>
      <c r="H272" s="147">
        <f t="shared" si="682"/>
        <v>0</v>
      </c>
      <c r="I272" s="147">
        <f t="shared" si="683"/>
        <v>0</v>
      </c>
      <c r="J272" s="156">
        <f t="shared" si="684"/>
        <v>0</v>
      </c>
      <c r="K272" s="157">
        <f t="shared" si="792"/>
        <v>162.34</v>
      </c>
      <c r="L272" s="151">
        <f t="shared" si="742"/>
        <v>82</v>
      </c>
      <c r="M272" s="147">
        <f t="shared" si="743"/>
        <v>2851</v>
      </c>
      <c r="N272" s="147"/>
      <c r="O272" s="147">
        <f t="shared" si="769"/>
        <v>0</v>
      </c>
      <c r="P272" s="147">
        <f t="shared" si="744"/>
        <v>0</v>
      </c>
      <c r="Q272" s="147">
        <f t="shared" si="745"/>
        <v>0</v>
      </c>
      <c r="R272" s="147">
        <f t="shared" si="746"/>
        <v>0</v>
      </c>
      <c r="S272" s="147">
        <f t="shared" si="747"/>
        <v>0</v>
      </c>
      <c r="T272" s="147">
        <f t="shared" si="770"/>
        <v>830</v>
      </c>
      <c r="V272" s="146"/>
      <c r="W272" s="147"/>
      <c r="X272" s="147"/>
      <c r="Y272" s="147"/>
      <c r="Z272" s="147"/>
      <c r="AA272" s="147"/>
      <c r="AB272" s="147"/>
      <c r="AC272" s="147"/>
      <c r="AD272" s="148"/>
      <c r="AF272" s="155">
        <f t="shared" si="645"/>
        <v>24550</v>
      </c>
      <c r="AG272" s="78">
        <v>11.3468</v>
      </c>
      <c r="AH272" s="78">
        <v>37.113</v>
      </c>
      <c r="AI272" s="78"/>
      <c r="AJ272" s="78"/>
      <c r="AK272" s="78"/>
      <c r="AL272" s="78"/>
      <c r="AM272" s="78"/>
      <c r="AN272" s="78"/>
      <c r="AO272" s="78"/>
      <c r="AP272" s="78"/>
      <c r="AQ272" s="78"/>
      <c r="AR272" s="78"/>
      <c r="AS272" s="78"/>
      <c r="AT272" s="78"/>
      <c r="AU272" s="78"/>
      <c r="AV272" s="78"/>
      <c r="AW272" s="78"/>
      <c r="AX272" s="78">
        <v>1624.1995999999999</v>
      </c>
      <c r="AY272" s="78">
        <v>16.358599999999999</v>
      </c>
      <c r="AZ272" s="78"/>
      <c r="BA272" s="78"/>
      <c r="BB272" s="78"/>
      <c r="BC272" s="78"/>
      <c r="BD272" s="78"/>
      <c r="BE272" s="78"/>
      <c r="BF272" s="78"/>
      <c r="BG272" s="78"/>
      <c r="BH272" s="78"/>
      <c r="BI272" s="78"/>
      <c r="BJ272" s="78"/>
      <c r="BK272" s="78"/>
      <c r="BL272" s="78"/>
      <c r="BM272" s="78"/>
      <c r="BN272" s="78"/>
      <c r="BO272" s="78"/>
      <c r="BP272" s="78"/>
      <c r="BQ272" s="78"/>
      <c r="BR272" s="78"/>
      <c r="BS272" s="78"/>
      <c r="BT272" s="78"/>
      <c r="BU272" s="78"/>
      <c r="BV272" s="78"/>
      <c r="BW272" s="78"/>
      <c r="BX272" s="78"/>
      <c r="BY272" s="78"/>
      <c r="BZ272" s="78"/>
      <c r="CA272" s="78"/>
      <c r="CB272" s="78">
        <v>162.34</v>
      </c>
      <c r="CC272" s="231">
        <f t="shared" si="793"/>
        <v>24550</v>
      </c>
    </row>
    <row r="273" spans="2:81" x14ac:dyDescent="0.25">
      <c r="B273" s="57">
        <v>24600</v>
      </c>
      <c r="C273" s="58">
        <f t="shared" si="628"/>
        <v>78.240700000000004</v>
      </c>
      <c r="D273" s="58">
        <f t="shared" si="629"/>
        <v>1926.1319000000001</v>
      </c>
      <c r="E273" s="58">
        <f t="shared" si="734"/>
        <v>0</v>
      </c>
      <c r="F273" s="58">
        <f t="shared" si="630"/>
        <v>0</v>
      </c>
      <c r="G273" s="58">
        <f t="shared" si="681"/>
        <v>0</v>
      </c>
      <c r="H273" s="58">
        <f t="shared" si="682"/>
        <v>0</v>
      </c>
      <c r="I273" s="58">
        <f t="shared" si="683"/>
        <v>0</v>
      </c>
      <c r="J273" s="51">
        <f t="shared" si="684"/>
        <v>0</v>
      </c>
      <c r="K273" s="99">
        <f t="shared" si="792"/>
        <v>172.19</v>
      </c>
      <c r="L273" s="105">
        <f t="shared" si="742"/>
        <v>118</v>
      </c>
      <c r="M273" s="58">
        <f t="shared" si="743"/>
        <v>3303</v>
      </c>
      <c r="N273" s="58"/>
      <c r="O273" s="58">
        <f t="shared" si="769"/>
        <v>0</v>
      </c>
      <c r="P273" s="58">
        <f t="shared" si="744"/>
        <v>0</v>
      </c>
      <c r="Q273" s="58">
        <f t="shared" si="745"/>
        <v>0</v>
      </c>
      <c r="R273" s="58">
        <f t="shared" si="746"/>
        <v>0</v>
      </c>
      <c r="S273" s="58">
        <f t="shared" si="747"/>
        <v>0</v>
      </c>
      <c r="T273" s="58">
        <f t="shared" si="770"/>
        <v>930</v>
      </c>
      <c r="V273" s="137"/>
      <c r="W273" s="58"/>
      <c r="X273" s="58"/>
      <c r="Y273" s="58"/>
      <c r="Z273" s="58"/>
      <c r="AA273" s="58"/>
      <c r="AB273" s="58"/>
      <c r="AC273" s="58"/>
      <c r="AD273" s="138"/>
      <c r="AF273" s="57">
        <f t="shared" si="645"/>
        <v>24600</v>
      </c>
      <c r="AG273" s="49">
        <v>9.6560000000000006</v>
      </c>
      <c r="AH273" s="49">
        <v>68.584699999999998</v>
      </c>
      <c r="AI273" s="49"/>
      <c r="AJ273" s="49"/>
      <c r="AK273" s="49"/>
      <c r="AL273" s="49"/>
      <c r="AM273" s="49"/>
      <c r="AN273" s="49"/>
      <c r="AO273" s="49"/>
      <c r="AP273" s="49"/>
      <c r="AQ273" s="49"/>
      <c r="AR273" s="49"/>
      <c r="AS273" s="49"/>
      <c r="AT273" s="49"/>
      <c r="AU273" s="49"/>
      <c r="AV273" s="49"/>
      <c r="AW273" s="49"/>
      <c r="AX273" s="49">
        <v>1910.9909</v>
      </c>
      <c r="AY273" s="49">
        <v>15.141</v>
      </c>
      <c r="AZ273" s="49"/>
      <c r="BA273" s="49"/>
      <c r="BB273" s="49"/>
      <c r="BC273" s="49"/>
      <c r="BD273" s="49"/>
      <c r="BE273" s="49"/>
      <c r="BF273" s="49"/>
      <c r="BG273" s="49"/>
      <c r="BH273" s="49"/>
      <c r="BI273" s="49"/>
      <c r="BJ273" s="49"/>
      <c r="BK273" s="49"/>
      <c r="BL273" s="49"/>
      <c r="BM273" s="49"/>
      <c r="BN273" s="49"/>
      <c r="BO273" s="49"/>
      <c r="BP273" s="49"/>
      <c r="BQ273" s="49"/>
      <c r="BR273" s="49"/>
      <c r="BS273" s="49"/>
      <c r="BT273" s="49"/>
      <c r="BU273" s="49"/>
      <c r="BV273" s="49"/>
      <c r="BW273" s="49"/>
      <c r="BX273" s="49"/>
      <c r="BY273" s="49"/>
      <c r="BZ273" s="49"/>
      <c r="CA273" s="49"/>
      <c r="CB273" s="49">
        <v>172.19</v>
      </c>
      <c r="CC273" s="231">
        <f t="shared" si="793"/>
        <v>24600</v>
      </c>
    </row>
    <row r="274" spans="2:81" s="3" customFormat="1" ht="15.75" thickBot="1" x14ac:dyDescent="0.3">
      <c r="B274" s="158">
        <v>24650</v>
      </c>
      <c r="C274" s="144">
        <f t="shared" si="628"/>
        <v>13.7674</v>
      </c>
      <c r="D274" s="144">
        <f t="shared" si="629"/>
        <v>1832.5881000000002</v>
      </c>
      <c r="E274" s="144">
        <f t="shared" si="734"/>
        <v>0</v>
      </c>
      <c r="F274" s="144">
        <f t="shared" si="630"/>
        <v>0</v>
      </c>
      <c r="G274" s="144">
        <f t="shared" si="681"/>
        <v>0</v>
      </c>
      <c r="H274" s="144">
        <f t="shared" si="682"/>
        <v>0</v>
      </c>
      <c r="I274" s="144">
        <f t="shared" si="683"/>
        <v>0</v>
      </c>
      <c r="J274" s="159">
        <f t="shared" si="684"/>
        <v>0</v>
      </c>
      <c r="K274" s="160">
        <f t="shared" si="792"/>
        <v>149.16999999999999</v>
      </c>
      <c r="L274" s="152">
        <f t="shared" si="742"/>
        <v>86</v>
      </c>
      <c r="M274" s="144">
        <f t="shared" si="743"/>
        <v>3481</v>
      </c>
      <c r="N274" s="144"/>
      <c r="O274" s="144">
        <f t="shared" si="769"/>
        <v>0</v>
      </c>
      <c r="P274" s="144">
        <f t="shared" si="744"/>
        <v>0</v>
      </c>
      <c r="Q274" s="144">
        <f t="shared" si="745"/>
        <v>0</v>
      </c>
      <c r="R274" s="144">
        <f t="shared" si="746"/>
        <v>0</v>
      </c>
      <c r="S274" s="144">
        <f t="shared" si="747"/>
        <v>0</v>
      </c>
      <c r="T274" s="144">
        <f t="shared" si="770"/>
        <v>893</v>
      </c>
      <c r="V274" s="150">
        <f>L272+L273+L274</f>
        <v>286</v>
      </c>
      <c r="W274" s="150">
        <f t="shared" ref="W274" si="808">M272+M273+M274</f>
        <v>9635</v>
      </c>
      <c r="X274" s="150"/>
      <c r="Y274" s="150">
        <f t="shared" ref="Y274" si="809">O272+O273+O274</f>
        <v>0</v>
      </c>
      <c r="Z274" s="150">
        <f t="shared" ref="Z274" si="810">P272+P273+P274</f>
        <v>0</v>
      </c>
      <c r="AA274" s="150">
        <f t="shared" ref="AA274" si="811">Q272+Q273+Q274</f>
        <v>0</v>
      </c>
      <c r="AB274" s="150">
        <f t="shared" ref="AB274" si="812">R272+R273+R274</f>
        <v>0</v>
      </c>
      <c r="AC274" s="150">
        <f t="shared" ref="AC274" si="813">S272+S273+S274</f>
        <v>0</v>
      </c>
      <c r="AD274" s="150">
        <f t="shared" ref="AD274" si="814">T272+T273+T274</f>
        <v>2653</v>
      </c>
      <c r="AF274" s="158">
        <f t="shared" si="645"/>
        <v>24650</v>
      </c>
      <c r="AG274" s="149">
        <v>13.7674</v>
      </c>
      <c r="AH274" s="149"/>
      <c r="AI274" s="149"/>
      <c r="AJ274" s="149"/>
      <c r="AK274" s="149"/>
      <c r="AL274" s="149"/>
      <c r="AM274" s="149"/>
      <c r="AN274" s="149"/>
      <c r="AO274" s="149"/>
      <c r="AP274" s="149"/>
      <c r="AQ274" s="149"/>
      <c r="AR274" s="149"/>
      <c r="AS274" s="149"/>
      <c r="AT274" s="149"/>
      <c r="AU274" s="149"/>
      <c r="AV274" s="149"/>
      <c r="AW274" s="149"/>
      <c r="AX274" s="149">
        <v>1817.5485000000001</v>
      </c>
      <c r="AY274" s="149">
        <v>15.0396</v>
      </c>
      <c r="AZ274" s="149"/>
      <c r="BA274" s="149"/>
      <c r="BB274" s="149"/>
      <c r="BC274" s="149"/>
      <c r="BD274" s="149"/>
      <c r="BE274" s="149"/>
      <c r="BF274" s="149"/>
      <c r="BG274" s="149"/>
      <c r="BH274" s="149"/>
      <c r="BI274" s="149"/>
      <c r="BJ274" s="149"/>
      <c r="BK274" s="149"/>
      <c r="BL274" s="149"/>
      <c r="BM274" s="149"/>
      <c r="BN274" s="149"/>
      <c r="BO274" s="149"/>
      <c r="BP274" s="149"/>
      <c r="BQ274" s="149"/>
      <c r="BR274" s="149"/>
      <c r="BS274" s="149"/>
      <c r="BT274" s="149"/>
      <c r="BU274" s="149"/>
      <c r="BV274" s="149"/>
      <c r="BW274" s="149"/>
      <c r="BX274" s="149"/>
      <c r="BY274" s="149"/>
      <c r="BZ274" s="149"/>
      <c r="CA274" s="149"/>
      <c r="CB274" s="149">
        <v>149.16999999999999</v>
      </c>
      <c r="CC274" s="231">
        <f t="shared" si="793"/>
        <v>24650</v>
      </c>
    </row>
    <row r="275" spans="2:81" x14ac:dyDescent="0.25">
      <c r="B275" s="155">
        <v>24700</v>
      </c>
      <c r="C275" s="147">
        <f t="shared" si="628"/>
        <v>237.58670000000001</v>
      </c>
      <c r="D275" s="147">
        <f t="shared" si="629"/>
        <v>1861.9067</v>
      </c>
      <c r="E275" s="147">
        <f t="shared" si="734"/>
        <v>0</v>
      </c>
      <c r="F275" s="147">
        <f t="shared" si="630"/>
        <v>0</v>
      </c>
      <c r="G275" s="147">
        <f t="shared" si="681"/>
        <v>0</v>
      </c>
      <c r="H275" s="147">
        <f t="shared" si="682"/>
        <v>0</v>
      </c>
      <c r="I275" s="147">
        <f t="shared" si="683"/>
        <v>0</v>
      </c>
      <c r="J275" s="156">
        <f t="shared" si="684"/>
        <v>0</v>
      </c>
      <c r="K275" s="157">
        <f t="shared" si="792"/>
        <v>197.92</v>
      </c>
      <c r="L275" s="151">
        <f t="shared" si="742"/>
        <v>233</v>
      </c>
      <c r="M275" s="147">
        <f t="shared" si="743"/>
        <v>3421</v>
      </c>
      <c r="N275" s="147"/>
      <c r="O275" s="147">
        <f t="shared" si="769"/>
        <v>0</v>
      </c>
      <c r="P275" s="147">
        <f t="shared" si="744"/>
        <v>0</v>
      </c>
      <c r="Q275" s="147">
        <f t="shared" si="745"/>
        <v>0</v>
      </c>
      <c r="R275" s="147">
        <f t="shared" si="746"/>
        <v>0</v>
      </c>
      <c r="S275" s="147">
        <f t="shared" si="747"/>
        <v>0</v>
      </c>
      <c r="T275" s="147">
        <f t="shared" si="770"/>
        <v>965</v>
      </c>
      <c r="V275" s="146"/>
      <c r="W275" s="147"/>
      <c r="X275" s="147"/>
      <c r="Y275" s="147"/>
      <c r="Z275" s="147"/>
      <c r="AA275" s="147"/>
      <c r="AB275" s="147"/>
      <c r="AC275" s="147"/>
      <c r="AD275" s="148"/>
      <c r="AF275" s="155">
        <f t="shared" si="645"/>
        <v>24700</v>
      </c>
      <c r="AG275" s="78">
        <v>237.58670000000001</v>
      </c>
      <c r="AH275" s="78"/>
      <c r="AI275" s="78"/>
      <c r="AJ275" s="78"/>
      <c r="AK275" s="78"/>
      <c r="AL275" s="78"/>
      <c r="AM275" s="78"/>
      <c r="AN275" s="78"/>
      <c r="AO275" s="78"/>
      <c r="AP275" s="78"/>
      <c r="AQ275" s="78"/>
      <c r="AR275" s="78"/>
      <c r="AS275" s="78"/>
      <c r="AT275" s="78"/>
      <c r="AU275" s="78"/>
      <c r="AV275" s="78"/>
      <c r="AW275" s="78"/>
      <c r="AX275" s="78">
        <v>1846.3137999999999</v>
      </c>
      <c r="AY275" s="78"/>
      <c r="AZ275" s="276">
        <v>15.5929</v>
      </c>
      <c r="BA275" s="78"/>
      <c r="BB275" s="78"/>
      <c r="BC275" s="78"/>
      <c r="BD275" s="78"/>
      <c r="BE275" s="78"/>
      <c r="BF275" s="78"/>
      <c r="BG275" s="78"/>
      <c r="BH275" s="78"/>
      <c r="BI275" s="78"/>
      <c r="BJ275" s="78"/>
      <c r="BK275" s="78"/>
      <c r="BL275" s="78"/>
      <c r="BM275" s="78"/>
      <c r="BN275" s="78"/>
      <c r="BO275" s="78"/>
      <c r="BP275" s="78"/>
      <c r="BQ275" s="78"/>
      <c r="BR275" s="78"/>
      <c r="BS275" s="78"/>
      <c r="BT275" s="78"/>
      <c r="BU275" s="78"/>
      <c r="BV275" s="78"/>
      <c r="BW275" s="78"/>
      <c r="BX275" s="78"/>
      <c r="BY275" s="78"/>
      <c r="BZ275" s="78"/>
      <c r="CA275" s="78"/>
      <c r="CB275" s="78">
        <v>197.92</v>
      </c>
      <c r="CC275" s="231">
        <f t="shared" si="793"/>
        <v>24700</v>
      </c>
    </row>
    <row r="276" spans="2:81" x14ac:dyDescent="0.25">
      <c r="B276" s="57">
        <v>24750</v>
      </c>
      <c r="C276" s="58">
        <f t="shared" si="628"/>
        <v>661.56669999999997</v>
      </c>
      <c r="D276" s="58">
        <f t="shared" si="629"/>
        <v>1931.3599000000002</v>
      </c>
      <c r="E276" s="58">
        <f t="shared" si="734"/>
        <v>0</v>
      </c>
      <c r="F276" s="58">
        <f t="shared" si="630"/>
        <v>0</v>
      </c>
      <c r="G276" s="58">
        <f t="shared" si="681"/>
        <v>0</v>
      </c>
      <c r="H276" s="58">
        <f t="shared" si="682"/>
        <v>0</v>
      </c>
      <c r="I276" s="58">
        <f t="shared" si="683"/>
        <v>0</v>
      </c>
      <c r="J276" s="51">
        <f t="shared" si="684"/>
        <v>0</v>
      </c>
      <c r="K276" s="99">
        <f t="shared" si="792"/>
        <v>192.59</v>
      </c>
      <c r="L276" s="105">
        <f t="shared" si="742"/>
        <v>833</v>
      </c>
      <c r="M276" s="58">
        <f t="shared" si="743"/>
        <v>3513</v>
      </c>
      <c r="N276" s="58"/>
      <c r="O276" s="58">
        <f t="shared" si="769"/>
        <v>0</v>
      </c>
      <c r="P276" s="58">
        <f t="shared" si="744"/>
        <v>0</v>
      </c>
      <c r="Q276" s="58">
        <f t="shared" si="745"/>
        <v>0</v>
      </c>
      <c r="R276" s="58">
        <f t="shared" si="746"/>
        <v>0</v>
      </c>
      <c r="S276" s="58">
        <f t="shared" si="747"/>
        <v>0</v>
      </c>
      <c r="T276" s="58">
        <f t="shared" si="770"/>
        <v>1085</v>
      </c>
      <c r="V276" s="137"/>
      <c r="W276" s="58"/>
      <c r="X276" s="58"/>
      <c r="Y276" s="58"/>
      <c r="Z276" s="58"/>
      <c r="AA276" s="58"/>
      <c r="AB276" s="58"/>
      <c r="AC276" s="58"/>
      <c r="AD276" s="138"/>
      <c r="AF276" s="57">
        <f t="shared" si="645"/>
        <v>24750</v>
      </c>
      <c r="AG276" s="49">
        <v>661.56669999999997</v>
      </c>
      <c r="AH276" s="49"/>
      <c r="AI276" s="49"/>
      <c r="AJ276" s="49"/>
      <c r="AK276" s="49"/>
      <c r="AL276" s="49"/>
      <c r="AM276" s="49"/>
      <c r="AN276" s="49"/>
      <c r="AO276" s="49"/>
      <c r="AP276" s="49"/>
      <c r="AQ276" s="49"/>
      <c r="AR276" s="49"/>
      <c r="AS276" s="49"/>
      <c r="AT276" s="49"/>
      <c r="AU276" s="49"/>
      <c r="AV276" s="49"/>
      <c r="AW276" s="49"/>
      <c r="AX276" s="49">
        <v>1915.7670000000001</v>
      </c>
      <c r="AY276" s="49"/>
      <c r="AZ276" s="275">
        <v>15.5929</v>
      </c>
      <c r="BA276" s="49"/>
      <c r="BB276" s="49"/>
      <c r="BC276" s="49"/>
      <c r="BD276" s="49"/>
      <c r="BE276" s="49"/>
      <c r="BF276" s="49"/>
      <c r="BG276" s="49"/>
      <c r="BH276" s="49"/>
      <c r="BI276" s="49"/>
      <c r="BJ276" s="49"/>
      <c r="BK276" s="49"/>
      <c r="BL276" s="49"/>
      <c r="BM276" s="49"/>
      <c r="BN276" s="49"/>
      <c r="BO276" s="49"/>
      <c r="BP276" s="49"/>
      <c r="BQ276" s="49"/>
      <c r="BR276" s="49"/>
      <c r="BS276" s="49"/>
      <c r="BT276" s="49"/>
      <c r="BU276" s="49"/>
      <c r="BV276" s="49"/>
      <c r="BW276" s="49"/>
      <c r="BX276" s="49"/>
      <c r="BY276" s="49"/>
      <c r="BZ276" s="49"/>
      <c r="CA276" s="49"/>
      <c r="CB276" s="49">
        <v>192.59</v>
      </c>
      <c r="CC276" s="231">
        <f t="shared" si="793"/>
        <v>24750</v>
      </c>
    </row>
    <row r="277" spans="2:81" s="3" customFormat="1" ht="15.75" thickBot="1" x14ac:dyDescent="0.3">
      <c r="B277" s="158">
        <v>24800</v>
      </c>
      <c r="C277" s="144">
        <f t="shared" si="628"/>
        <v>7.6260999999999992</v>
      </c>
      <c r="D277" s="144">
        <f t="shared" si="629"/>
        <v>2087.6347000000001</v>
      </c>
      <c r="E277" s="144">
        <f t="shared" si="734"/>
        <v>0</v>
      </c>
      <c r="F277" s="144">
        <f t="shared" si="630"/>
        <v>0</v>
      </c>
      <c r="G277" s="144">
        <f t="shared" si="681"/>
        <v>0</v>
      </c>
      <c r="H277" s="144">
        <f t="shared" si="682"/>
        <v>0</v>
      </c>
      <c r="I277" s="144">
        <f t="shared" si="683"/>
        <v>0</v>
      </c>
      <c r="J277" s="159">
        <f t="shared" si="684"/>
        <v>0</v>
      </c>
      <c r="K277" s="160">
        <f t="shared" si="792"/>
        <v>230.7</v>
      </c>
      <c r="L277" s="152">
        <f t="shared" si="742"/>
        <v>620</v>
      </c>
      <c r="M277" s="144">
        <f t="shared" si="743"/>
        <v>3722</v>
      </c>
      <c r="N277" s="144"/>
      <c r="O277" s="144">
        <f t="shared" si="769"/>
        <v>0</v>
      </c>
      <c r="P277" s="144">
        <f t="shared" si="744"/>
        <v>0</v>
      </c>
      <c r="Q277" s="144">
        <f t="shared" si="745"/>
        <v>0</v>
      </c>
      <c r="R277" s="144">
        <f t="shared" si="746"/>
        <v>0</v>
      </c>
      <c r="S277" s="144">
        <f t="shared" si="747"/>
        <v>0</v>
      </c>
      <c r="T277" s="144">
        <f t="shared" si="770"/>
        <v>1176</v>
      </c>
      <c r="V277" s="150">
        <f>L275+L276+L277</f>
        <v>1686</v>
      </c>
      <c r="W277" s="150">
        <f t="shared" ref="W277" si="815">M275+M276+M277</f>
        <v>10656</v>
      </c>
      <c r="X277" s="150"/>
      <c r="Y277" s="150">
        <f t="shared" ref="Y277" si="816">O275+O276+O277</f>
        <v>0</v>
      </c>
      <c r="Z277" s="150">
        <f t="shared" ref="Z277" si="817">P275+P276+P277</f>
        <v>0</v>
      </c>
      <c r="AA277" s="150">
        <f t="shared" ref="AA277" si="818">Q275+Q276+Q277</f>
        <v>0</v>
      </c>
      <c r="AB277" s="150">
        <f t="shared" ref="AB277" si="819">R275+R276+R277</f>
        <v>0</v>
      </c>
      <c r="AC277" s="150">
        <f t="shared" ref="AC277" si="820">S275+S276+S277</f>
        <v>0</v>
      </c>
      <c r="AD277" s="150">
        <f t="shared" ref="AD277" si="821">T275+T276+T277</f>
        <v>3226</v>
      </c>
      <c r="AF277" s="158">
        <f t="shared" si="645"/>
        <v>24800</v>
      </c>
      <c r="AG277" s="149">
        <v>2.9026000000000001</v>
      </c>
      <c r="AH277" s="149">
        <v>4.7234999999999996</v>
      </c>
      <c r="AI277" s="149"/>
      <c r="AJ277" s="149"/>
      <c r="AK277" s="149"/>
      <c r="AL277" s="149"/>
      <c r="AM277" s="149"/>
      <c r="AN277" s="149"/>
      <c r="AO277" s="149"/>
      <c r="AP277" s="149"/>
      <c r="AQ277" s="149"/>
      <c r="AR277" s="149"/>
      <c r="AS277" s="149"/>
      <c r="AT277" s="149"/>
      <c r="AU277" s="149"/>
      <c r="AV277" s="149"/>
      <c r="AW277" s="149"/>
      <c r="AX277" s="149">
        <v>1996.1947</v>
      </c>
      <c r="AY277" s="149">
        <v>75.847099999999998</v>
      </c>
      <c r="AZ277" s="277">
        <v>15.5929</v>
      </c>
      <c r="BA277" s="149"/>
      <c r="BB277" s="149"/>
      <c r="BC277" s="149"/>
      <c r="BD277" s="149"/>
      <c r="BE277" s="149"/>
      <c r="BF277" s="149"/>
      <c r="BG277" s="149"/>
      <c r="BH277" s="149"/>
      <c r="BI277" s="149"/>
      <c r="BJ277" s="149"/>
      <c r="BK277" s="149"/>
      <c r="BL277" s="149"/>
      <c r="BM277" s="149"/>
      <c r="BN277" s="149"/>
      <c r="BO277" s="149"/>
      <c r="BP277" s="149"/>
      <c r="BQ277" s="149"/>
      <c r="BR277" s="149"/>
      <c r="BS277" s="149"/>
      <c r="BT277" s="149"/>
      <c r="BU277" s="149"/>
      <c r="BV277" s="149"/>
      <c r="BW277" s="149"/>
      <c r="BX277" s="149"/>
      <c r="BY277" s="149"/>
      <c r="BZ277" s="149"/>
      <c r="CA277" s="149"/>
      <c r="CB277" s="149">
        <v>230.7</v>
      </c>
      <c r="CC277" s="231">
        <f t="shared" si="793"/>
        <v>24800</v>
      </c>
    </row>
    <row r="278" spans="2:81" x14ac:dyDescent="0.25">
      <c r="B278" s="155">
        <v>24850</v>
      </c>
      <c r="C278" s="147">
        <f t="shared" si="628"/>
        <v>73.489599999999996</v>
      </c>
      <c r="D278" s="147">
        <f t="shared" si="629"/>
        <v>2484.7003</v>
      </c>
      <c r="E278" s="147">
        <f t="shared" si="734"/>
        <v>0</v>
      </c>
      <c r="F278" s="147">
        <f t="shared" si="630"/>
        <v>0</v>
      </c>
      <c r="G278" s="147">
        <f t="shared" si="681"/>
        <v>0</v>
      </c>
      <c r="H278" s="147">
        <f t="shared" si="682"/>
        <v>0</v>
      </c>
      <c r="I278" s="147">
        <f t="shared" si="683"/>
        <v>0</v>
      </c>
      <c r="J278" s="156">
        <f t="shared" si="684"/>
        <v>0</v>
      </c>
      <c r="K278" s="157">
        <f t="shared" si="792"/>
        <v>190.89</v>
      </c>
      <c r="L278" s="151">
        <f t="shared" si="742"/>
        <v>76</v>
      </c>
      <c r="M278" s="147">
        <f t="shared" si="743"/>
        <v>4234</v>
      </c>
      <c r="N278" s="147"/>
      <c r="O278" s="147">
        <f t="shared" si="769"/>
        <v>0</v>
      </c>
      <c r="P278" s="147">
        <f t="shared" si="744"/>
        <v>0</v>
      </c>
      <c r="Q278" s="147">
        <f t="shared" si="745"/>
        <v>0</v>
      </c>
      <c r="R278" s="147">
        <f t="shared" si="746"/>
        <v>0</v>
      </c>
      <c r="S278" s="147">
        <f t="shared" si="747"/>
        <v>0</v>
      </c>
      <c r="T278" s="147">
        <f t="shared" si="770"/>
        <v>1172</v>
      </c>
      <c r="V278" s="146"/>
      <c r="W278" s="147"/>
      <c r="X278" s="147"/>
      <c r="Y278" s="147"/>
      <c r="Z278" s="147"/>
      <c r="AA278" s="147"/>
      <c r="AB278" s="147"/>
      <c r="AC278" s="147"/>
      <c r="AD278" s="148"/>
      <c r="AF278" s="155">
        <f t="shared" si="645"/>
        <v>24850</v>
      </c>
      <c r="AG278" s="78">
        <v>73.489599999999996</v>
      </c>
      <c r="AH278" s="78"/>
      <c r="AI278" s="78"/>
      <c r="AJ278" s="78"/>
      <c r="AK278" s="78"/>
      <c r="AL278" s="78"/>
      <c r="AM278" s="78"/>
      <c r="AN278" s="78"/>
      <c r="AO278" s="78"/>
      <c r="AP278" s="78"/>
      <c r="AQ278" s="78"/>
      <c r="AR278" s="78"/>
      <c r="AS278" s="78"/>
      <c r="AT278" s="78"/>
      <c r="AU278" s="78"/>
      <c r="AV278" s="78"/>
      <c r="AW278" s="78"/>
      <c r="AX278" s="78">
        <v>2469.1073999999999</v>
      </c>
      <c r="AY278" s="78">
        <v>15.5929</v>
      </c>
      <c r="AZ278" s="78"/>
      <c r="BA278" s="78"/>
      <c r="BB278" s="78"/>
      <c r="BC278" s="78"/>
      <c r="BD278" s="78"/>
      <c r="BE278" s="78"/>
      <c r="BF278" s="78"/>
      <c r="BG278" s="78"/>
      <c r="BH278" s="78"/>
      <c r="BI278" s="78"/>
      <c r="BJ278" s="78"/>
      <c r="BK278" s="78"/>
      <c r="BL278" s="78"/>
      <c r="BM278" s="78"/>
      <c r="BN278" s="78"/>
      <c r="BO278" s="78"/>
      <c r="BP278" s="78"/>
      <c r="BQ278" s="78"/>
      <c r="BR278" s="78"/>
      <c r="BS278" s="78"/>
      <c r="BT278" s="78"/>
      <c r="BU278" s="78"/>
      <c r="BV278" s="78"/>
      <c r="BW278" s="78"/>
      <c r="BX278" s="78"/>
      <c r="BY278" s="78"/>
      <c r="BZ278" s="78"/>
      <c r="CA278" s="78"/>
      <c r="CB278" s="78">
        <v>190.89</v>
      </c>
      <c r="CC278" s="231">
        <f t="shared" si="793"/>
        <v>24850</v>
      </c>
    </row>
    <row r="279" spans="2:81" x14ac:dyDescent="0.25">
      <c r="B279" s="57">
        <v>24900</v>
      </c>
      <c r="C279" s="58">
        <f t="shared" si="628"/>
        <v>39.333399999999997</v>
      </c>
      <c r="D279" s="58">
        <f t="shared" si="629"/>
        <v>2465.2234000000003</v>
      </c>
      <c r="E279" s="58">
        <f t="shared" si="734"/>
        <v>0</v>
      </c>
      <c r="F279" s="58">
        <f t="shared" si="630"/>
        <v>0</v>
      </c>
      <c r="G279" s="58">
        <f t="shared" si="681"/>
        <v>0</v>
      </c>
      <c r="H279" s="58">
        <f t="shared" si="682"/>
        <v>0</v>
      </c>
      <c r="I279" s="58">
        <f t="shared" si="683"/>
        <v>0</v>
      </c>
      <c r="J279" s="51">
        <f t="shared" si="684"/>
        <v>0</v>
      </c>
      <c r="K279" s="99">
        <f t="shared" si="792"/>
        <v>176.3</v>
      </c>
      <c r="L279" s="105">
        <f t="shared" si="742"/>
        <v>105</v>
      </c>
      <c r="M279" s="58">
        <f t="shared" si="743"/>
        <v>4584</v>
      </c>
      <c r="N279" s="58"/>
      <c r="O279" s="58">
        <f t="shared" si="769"/>
        <v>0</v>
      </c>
      <c r="P279" s="58">
        <f t="shared" si="744"/>
        <v>0</v>
      </c>
      <c r="Q279" s="58">
        <f t="shared" si="745"/>
        <v>0</v>
      </c>
      <c r="R279" s="58">
        <f t="shared" si="746"/>
        <v>0</v>
      </c>
      <c r="S279" s="58">
        <f t="shared" si="747"/>
        <v>0</v>
      </c>
      <c r="T279" s="58">
        <f t="shared" si="770"/>
        <v>1020</v>
      </c>
      <c r="V279" s="137"/>
      <c r="W279" s="58"/>
      <c r="X279" s="58"/>
      <c r="Y279" s="58"/>
      <c r="Z279" s="58"/>
      <c r="AA279" s="58"/>
      <c r="AB279" s="58"/>
      <c r="AC279" s="58"/>
      <c r="AD279" s="138"/>
      <c r="AF279" s="57">
        <f t="shared" si="645"/>
        <v>24900</v>
      </c>
      <c r="AG279" s="49">
        <v>39.333399999999997</v>
      </c>
      <c r="AH279" s="49"/>
      <c r="AI279" s="49"/>
      <c r="AJ279" s="49"/>
      <c r="AK279" s="49"/>
      <c r="AL279" s="49"/>
      <c r="AM279" s="49"/>
      <c r="AN279" s="49"/>
      <c r="AO279" s="49"/>
      <c r="AP279" s="49"/>
      <c r="AQ279" s="49"/>
      <c r="AR279" s="49"/>
      <c r="AS279" s="49"/>
      <c r="AT279" s="49"/>
      <c r="AU279" s="49"/>
      <c r="AV279" s="49"/>
      <c r="AW279" s="49"/>
      <c r="AX279" s="49">
        <v>2449.6305000000002</v>
      </c>
      <c r="AY279" s="49"/>
      <c r="AZ279" s="275">
        <v>15.5929</v>
      </c>
      <c r="BA279" s="49"/>
      <c r="BB279" s="49"/>
      <c r="BC279" s="49"/>
      <c r="BD279" s="49"/>
      <c r="BE279" s="49"/>
      <c r="BF279" s="49"/>
      <c r="BG279" s="49"/>
      <c r="BH279" s="49"/>
      <c r="BI279" s="49"/>
      <c r="BJ279" s="49"/>
      <c r="BK279" s="49"/>
      <c r="BL279" s="49"/>
      <c r="BM279" s="49"/>
      <c r="BN279" s="49"/>
      <c r="BO279" s="49"/>
      <c r="BP279" s="49"/>
      <c r="BQ279" s="49"/>
      <c r="BR279" s="49"/>
      <c r="BS279" s="49"/>
      <c r="BT279" s="49"/>
      <c r="BU279" s="49"/>
      <c r="BV279" s="49"/>
      <c r="BW279" s="49"/>
      <c r="BX279" s="49"/>
      <c r="BY279" s="49"/>
      <c r="BZ279" s="49"/>
      <c r="CA279" s="49"/>
      <c r="CB279" s="49">
        <v>176.3</v>
      </c>
      <c r="CC279" s="231">
        <f t="shared" si="793"/>
        <v>24900</v>
      </c>
    </row>
    <row r="280" spans="2:81" s="3" customFormat="1" ht="15.75" thickBot="1" x14ac:dyDescent="0.3">
      <c r="B280" s="158">
        <v>24950</v>
      </c>
      <c r="C280" s="144">
        <f t="shared" si="628"/>
        <v>66.797700000000006</v>
      </c>
      <c r="D280" s="144">
        <f t="shared" si="629"/>
        <v>2896.3762000000002</v>
      </c>
      <c r="E280" s="144">
        <f t="shared" si="734"/>
        <v>0</v>
      </c>
      <c r="F280" s="144">
        <f t="shared" si="630"/>
        <v>0</v>
      </c>
      <c r="G280" s="144">
        <f t="shared" si="681"/>
        <v>0</v>
      </c>
      <c r="H280" s="144">
        <f t="shared" si="682"/>
        <v>0</v>
      </c>
      <c r="I280" s="144">
        <f t="shared" si="683"/>
        <v>0</v>
      </c>
      <c r="J280" s="159">
        <f t="shared" si="684"/>
        <v>0</v>
      </c>
      <c r="K280" s="160">
        <f t="shared" si="792"/>
        <v>209.81</v>
      </c>
      <c r="L280" s="152">
        <f t="shared" si="742"/>
        <v>99</v>
      </c>
      <c r="M280" s="144">
        <f t="shared" si="743"/>
        <v>4965</v>
      </c>
      <c r="N280" s="144"/>
      <c r="O280" s="144">
        <f t="shared" si="769"/>
        <v>0</v>
      </c>
      <c r="P280" s="144">
        <f t="shared" si="744"/>
        <v>0</v>
      </c>
      <c r="Q280" s="144">
        <f t="shared" si="745"/>
        <v>0</v>
      </c>
      <c r="R280" s="144">
        <f t="shared" si="746"/>
        <v>0</v>
      </c>
      <c r="S280" s="144">
        <f t="shared" si="747"/>
        <v>0</v>
      </c>
      <c r="T280" s="144">
        <f t="shared" si="770"/>
        <v>1073</v>
      </c>
      <c r="V280" s="150">
        <f>L278+L279+L280</f>
        <v>280</v>
      </c>
      <c r="W280" s="150">
        <f t="shared" ref="W280" si="822">M278+M279+M280</f>
        <v>13783</v>
      </c>
      <c r="X280" s="150"/>
      <c r="Y280" s="150">
        <f t="shared" ref="Y280" si="823">O278+O279+O280</f>
        <v>0</v>
      </c>
      <c r="Z280" s="150">
        <f t="shared" ref="Z280" si="824">P278+P279+P280</f>
        <v>0</v>
      </c>
      <c r="AA280" s="150">
        <f t="shared" ref="AA280" si="825">Q278+Q279+Q280</f>
        <v>0</v>
      </c>
      <c r="AB280" s="150">
        <f t="shared" ref="AB280" si="826">R278+R279+R280</f>
        <v>0</v>
      </c>
      <c r="AC280" s="150">
        <f t="shared" ref="AC280" si="827">S278+S279+S280</f>
        <v>0</v>
      </c>
      <c r="AD280" s="150">
        <f t="shared" ref="AD280" si="828">T278+T279+T280</f>
        <v>3265</v>
      </c>
      <c r="AF280" s="158">
        <f t="shared" si="645"/>
        <v>24950</v>
      </c>
      <c r="AG280" s="149">
        <v>66.797700000000006</v>
      </c>
      <c r="AH280" s="149"/>
      <c r="AI280" s="149"/>
      <c r="AJ280" s="149"/>
      <c r="AK280" s="149"/>
      <c r="AL280" s="149"/>
      <c r="AM280" s="149"/>
      <c r="AN280" s="149"/>
      <c r="AO280" s="149"/>
      <c r="AP280" s="149"/>
      <c r="AQ280" s="149"/>
      <c r="AR280" s="149"/>
      <c r="AS280" s="149"/>
      <c r="AT280" s="149"/>
      <c r="AU280" s="149"/>
      <c r="AV280" s="149"/>
      <c r="AW280" s="149"/>
      <c r="AX280" s="149">
        <v>2880.7833000000001</v>
      </c>
      <c r="AY280" s="149"/>
      <c r="AZ280" s="277">
        <v>15.5929</v>
      </c>
      <c r="BA280" s="149"/>
      <c r="BB280" s="149"/>
      <c r="BC280" s="149"/>
      <c r="BD280" s="149"/>
      <c r="BE280" s="149"/>
      <c r="BF280" s="149"/>
      <c r="BG280" s="149"/>
      <c r="BH280" s="149"/>
      <c r="BI280" s="149"/>
      <c r="BJ280" s="149"/>
      <c r="BK280" s="149"/>
      <c r="BL280" s="149"/>
      <c r="BM280" s="149"/>
      <c r="BN280" s="149"/>
      <c r="BO280" s="149"/>
      <c r="BP280" s="149"/>
      <c r="BQ280" s="149"/>
      <c r="BR280" s="149"/>
      <c r="BS280" s="149"/>
      <c r="BT280" s="149"/>
      <c r="BU280" s="149"/>
      <c r="BV280" s="149"/>
      <c r="BW280" s="149"/>
      <c r="BX280" s="149"/>
      <c r="BY280" s="149"/>
      <c r="BZ280" s="149"/>
      <c r="CA280" s="149"/>
      <c r="CB280" s="149">
        <v>209.81</v>
      </c>
      <c r="CC280" s="231">
        <f t="shared" si="793"/>
        <v>24950</v>
      </c>
    </row>
    <row r="281" spans="2:81" x14ac:dyDescent="0.25">
      <c r="B281" s="155">
        <v>25000</v>
      </c>
      <c r="C281" s="147">
        <f t="shared" ref="C281:C343" si="829">AG281+AH281+AI281+AJ281+AK281+AL281+AM281+AN281+AO281+AP281</f>
        <v>77.638499999999993</v>
      </c>
      <c r="D281" s="147">
        <f t="shared" ref="D281:D343" si="830">AX281+AY281+AZ281+BA281+BB281+BC281+BD281+BE281+BF281+BG281</f>
        <v>2964.3741</v>
      </c>
      <c r="E281" s="147">
        <f t="shared" si="734"/>
        <v>0</v>
      </c>
      <c r="F281" s="147">
        <f t="shared" si="630"/>
        <v>0</v>
      </c>
      <c r="G281" s="147">
        <f t="shared" si="681"/>
        <v>0</v>
      </c>
      <c r="H281" s="147">
        <f t="shared" si="682"/>
        <v>0</v>
      </c>
      <c r="I281" s="147">
        <f t="shared" si="683"/>
        <v>0</v>
      </c>
      <c r="J281" s="156">
        <f t="shared" si="684"/>
        <v>0</v>
      </c>
      <c r="K281" s="157">
        <f t="shared" si="792"/>
        <v>215.61</v>
      </c>
      <c r="L281" s="151">
        <f t="shared" si="742"/>
        <v>134</v>
      </c>
      <c r="M281" s="147">
        <f t="shared" si="743"/>
        <v>5427</v>
      </c>
      <c r="N281" s="147"/>
      <c r="O281" s="147">
        <f t="shared" si="769"/>
        <v>0</v>
      </c>
      <c r="P281" s="147">
        <f t="shared" si="744"/>
        <v>0</v>
      </c>
      <c r="Q281" s="147">
        <f t="shared" si="745"/>
        <v>0</v>
      </c>
      <c r="R281" s="147">
        <f t="shared" si="746"/>
        <v>0</v>
      </c>
      <c r="S281" s="147">
        <f t="shared" si="747"/>
        <v>0</v>
      </c>
      <c r="T281" s="147">
        <f t="shared" si="770"/>
        <v>1182</v>
      </c>
      <c r="V281" s="146"/>
      <c r="W281" s="147"/>
      <c r="X281" s="147"/>
      <c r="Y281" s="147"/>
      <c r="Z281" s="147"/>
      <c r="AA281" s="147"/>
      <c r="AB281" s="147"/>
      <c r="AC281" s="147"/>
      <c r="AD281" s="148"/>
      <c r="AF281" s="155">
        <f t="shared" si="645"/>
        <v>25000</v>
      </c>
      <c r="AG281" s="78">
        <v>77.638499999999993</v>
      </c>
      <c r="AH281" s="78"/>
      <c r="AI281" s="78"/>
      <c r="AJ281" s="78"/>
      <c r="AK281" s="78"/>
      <c r="AL281" s="78"/>
      <c r="AM281" s="78"/>
      <c r="AN281" s="78"/>
      <c r="AO281" s="78"/>
      <c r="AP281" s="78"/>
      <c r="AQ281" s="78"/>
      <c r="AR281" s="78"/>
      <c r="AS281" s="78"/>
      <c r="AT281" s="78"/>
      <c r="AU281" s="78"/>
      <c r="AV281" s="78"/>
      <c r="AW281" s="78"/>
      <c r="AX281" s="78">
        <v>2949.4708999999998</v>
      </c>
      <c r="AY281" s="78">
        <v>14.9032</v>
      </c>
      <c r="AZ281" s="78"/>
      <c r="BA281" s="78"/>
      <c r="BB281" s="78"/>
      <c r="BC281" s="78"/>
      <c r="BD281" s="78"/>
      <c r="BE281" s="78"/>
      <c r="BF281" s="78"/>
      <c r="BG281" s="78"/>
      <c r="BH281" s="78"/>
      <c r="BI281" s="78"/>
      <c r="BJ281" s="78"/>
      <c r="BK281" s="78"/>
      <c r="BL281" s="78"/>
      <c r="BM281" s="78"/>
      <c r="BN281" s="78"/>
      <c r="BO281" s="78"/>
      <c r="BP281" s="78"/>
      <c r="BQ281" s="78"/>
      <c r="BR281" s="78"/>
      <c r="BS281" s="78"/>
      <c r="BT281" s="78"/>
      <c r="BU281" s="78"/>
      <c r="BV281" s="78"/>
      <c r="BW281" s="78"/>
      <c r="BX281" s="78"/>
      <c r="BY281" s="78"/>
      <c r="BZ281" s="78"/>
      <c r="CA281" s="78"/>
      <c r="CB281" s="78">
        <v>215.61</v>
      </c>
      <c r="CC281" s="231">
        <f t="shared" si="793"/>
        <v>25000</v>
      </c>
    </row>
    <row r="282" spans="2:81" s="3" customFormat="1" ht="15.75" thickBot="1" x14ac:dyDescent="0.3">
      <c r="B282" s="158">
        <v>25050</v>
      </c>
      <c r="C282" s="144">
        <f t="shared" si="829"/>
        <v>104.42789999999999</v>
      </c>
      <c r="D282" s="144">
        <f t="shared" si="830"/>
        <v>2853.9201000000003</v>
      </c>
      <c r="E282" s="144">
        <f t="shared" si="734"/>
        <v>0</v>
      </c>
      <c r="F282" s="144">
        <f t="shared" ref="F282:F344" si="831">BK282+BL282+BM282</f>
        <v>0</v>
      </c>
      <c r="G282" s="144">
        <f t="shared" si="681"/>
        <v>0</v>
      </c>
      <c r="H282" s="144">
        <f t="shared" si="682"/>
        <v>0</v>
      </c>
      <c r="I282" s="144">
        <f t="shared" si="683"/>
        <v>0</v>
      </c>
      <c r="J282" s="159">
        <f t="shared" si="684"/>
        <v>0</v>
      </c>
      <c r="K282" s="160">
        <f t="shared" si="792"/>
        <v>199.51</v>
      </c>
      <c r="L282" s="152">
        <f t="shared" si="742"/>
        <v>169</v>
      </c>
      <c r="M282" s="144">
        <f t="shared" si="743"/>
        <v>5388</v>
      </c>
      <c r="N282" s="144"/>
      <c r="O282" s="144">
        <f t="shared" si="769"/>
        <v>0</v>
      </c>
      <c r="P282" s="144">
        <f t="shared" si="744"/>
        <v>0</v>
      </c>
      <c r="Q282" s="144">
        <f t="shared" si="745"/>
        <v>0</v>
      </c>
      <c r="R282" s="144">
        <f t="shared" si="746"/>
        <v>0</v>
      </c>
      <c r="S282" s="144">
        <f t="shared" si="747"/>
        <v>0</v>
      </c>
      <c r="T282" s="144">
        <f t="shared" si="770"/>
        <v>1154</v>
      </c>
      <c r="V282" s="150">
        <f>L281+L282</f>
        <v>303</v>
      </c>
      <c r="W282" s="150">
        <f t="shared" ref="W282" si="832">M281+M282</f>
        <v>10815</v>
      </c>
      <c r="X282" s="150"/>
      <c r="Y282" s="150">
        <f t="shared" ref="Y282" si="833">O281+O282</f>
        <v>0</v>
      </c>
      <c r="Z282" s="150">
        <f t="shared" ref="Z282" si="834">P281+P282</f>
        <v>0</v>
      </c>
      <c r="AA282" s="150">
        <f t="shared" ref="AA282" si="835">Q281+Q282</f>
        <v>0</v>
      </c>
      <c r="AB282" s="150">
        <f t="shared" ref="AB282" si="836">R281+R282</f>
        <v>0</v>
      </c>
      <c r="AC282" s="150">
        <f t="shared" ref="AC282" si="837">S281+S282</f>
        <v>0</v>
      </c>
      <c r="AD282" s="150">
        <f t="shared" ref="AD282" si="838">T281+T282</f>
        <v>2336</v>
      </c>
      <c r="AF282" s="158">
        <f t="shared" si="645"/>
        <v>25050</v>
      </c>
      <c r="AG282" s="149">
        <v>104.42789999999999</v>
      </c>
      <c r="AH282" s="149"/>
      <c r="AI282" s="149"/>
      <c r="AJ282" s="149"/>
      <c r="AK282" s="149"/>
      <c r="AL282" s="149"/>
      <c r="AM282" s="149"/>
      <c r="AN282" s="149"/>
      <c r="AO282" s="149"/>
      <c r="AP282" s="149"/>
      <c r="AQ282" s="149"/>
      <c r="AR282" s="149"/>
      <c r="AS282" s="149"/>
      <c r="AT282" s="149"/>
      <c r="AU282" s="149"/>
      <c r="AV282" s="149"/>
      <c r="AW282" s="149"/>
      <c r="AX282" s="149">
        <v>2838.7622000000001</v>
      </c>
      <c r="AY282" s="149">
        <v>15.1579</v>
      </c>
      <c r="AZ282" s="149"/>
      <c r="BA282" s="149"/>
      <c r="BB282" s="149"/>
      <c r="BC282" s="149"/>
      <c r="BD282" s="149"/>
      <c r="BE282" s="149"/>
      <c r="BF282" s="149"/>
      <c r="BG282" s="149"/>
      <c r="BH282" s="149"/>
      <c r="BI282" s="149"/>
      <c r="BJ282" s="149"/>
      <c r="BK282" s="149"/>
      <c r="BL282" s="149"/>
      <c r="BM282" s="149"/>
      <c r="BN282" s="149"/>
      <c r="BO282" s="149"/>
      <c r="BP282" s="149"/>
      <c r="BQ282" s="149"/>
      <c r="BR282" s="149"/>
      <c r="BS282" s="149"/>
      <c r="BT282" s="149"/>
      <c r="BU282" s="149"/>
      <c r="BV282" s="149"/>
      <c r="BW282" s="149"/>
      <c r="BX282" s="149"/>
      <c r="BY282" s="149"/>
      <c r="BZ282" s="149"/>
      <c r="CA282" s="149"/>
      <c r="CB282" s="149">
        <v>199.51</v>
      </c>
      <c r="CC282" s="231">
        <f t="shared" si="793"/>
        <v>25050</v>
      </c>
    </row>
    <row r="283" spans="2:81" s="192" customFormat="1" ht="15.75" thickBot="1" x14ac:dyDescent="0.3">
      <c r="B283" s="187">
        <v>25100</v>
      </c>
      <c r="C283" s="188">
        <f t="shared" si="829"/>
        <v>144.84909999999999</v>
      </c>
      <c r="D283" s="188">
        <f t="shared" si="830"/>
        <v>3135.7423000000003</v>
      </c>
      <c r="E283" s="188">
        <f t="shared" si="734"/>
        <v>0</v>
      </c>
      <c r="F283" s="188">
        <f t="shared" si="831"/>
        <v>0</v>
      </c>
      <c r="G283" s="188">
        <f t="shared" si="681"/>
        <v>0</v>
      </c>
      <c r="H283" s="188">
        <f t="shared" si="682"/>
        <v>0</v>
      </c>
      <c r="I283" s="188">
        <f t="shared" si="683"/>
        <v>0</v>
      </c>
      <c r="J283" s="189">
        <f t="shared" si="684"/>
        <v>0</v>
      </c>
      <c r="K283" s="190">
        <f t="shared" si="792"/>
        <v>197.95</v>
      </c>
      <c r="L283" s="191">
        <f t="shared" si="742"/>
        <v>231</v>
      </c>
      <c r="M283" s="188">
        <f t="shared" si="743"/>
        <v>5546</v>
      </c>
      <c r="N283" s="188"/>
      <c r="O283" s="188">
        <f t="shared" si="769"/>
        <v>0</v>
      </c>
      <c r="P283" s="188">
        <f t="shared" si="744"/>
        <v>0</v>
      </c>
      <c r="Q283" s="188">
        <f t="shared" si="745"/>
        <v>0</v>
      </c>
      <c r="R283" s="188">
        <f t="shared" si="746"/>
        <v>0</v>
      </c>
      <c r="S283" s="188">
        <f t="shared" si="747"/>
        <v>0</v>
      </c>
      <c r="T283" s="188">
        <f t="shared" si="770"/>
        <v>1105</v>
      </c>
      <c r="V283" s="150">
        <f>L283</f>
        <v>231</v>
      </c>
      <c r="W283" s="150">
        <f t="shared" ref="W283" si="839">M283</f>
        <v>5546</v>
      </c>
      <c r="X283" s="150"/>
      <c r="Y283" s="150">
        <f t="shared" ref="Y283:AD283" si="840">O283</f>
        <v>0</v>
      </c>
      <c r="Z283" s="150">
        <f t="shared" si="840"/>
        <v>0</v>
      </c>
      <c r="AA283" s="150">
        <f t="shared" si="840"/>
        <v>0</v>
      </c>
      <c r="AB283" s="150">
        <f t="shared" si="840"/>
        <v>0</v>
      </c>
      <c r="AC283" s="150">
        <f t="shared" si="840"/>
        <v>0</v>
      </c>
      <c r="AD283" s="150">
        <f t="shared" si="840"/>
        <v>1105</v>
      </c>
      <c r="AF283" s="187">
        <f t="shared" si="645"/>
        <v>25100</v>
      </c>
      <c r="AG283" s="193">
        <v>144.84909999999999</v>
      </c>
      <c r="AH283" s="193"/>
      <c r="AI283" s="193"/>
      <c r="AJ283" s="193"/>
      <c r="AK283" s="193"/>
      <c r="AL283" s="193"/>
      <c r="AM283" s="193"/>
      <c r="AN283" s="193"/>
      <c r="AO283" s="193"/>
      <c r="AP283" s="193"/>
      <c r="AQ283" s="193"/>
      <c r="AR283" s="193"/>
      <c r="AS283" s="193"/>
      <c r="AT283" s="193"/>
      <c r="AU283" s="193"/>
      <c r="AV283" s="193"/>
      <c r="AW283" s="193"/>
      <c r="AX283" s="193">
        <v>3121.0318000000002</v>
      </c>
      <c r="AY283" s="193">
        <v>14.7105</v>
      </c>
      <c r="AZ283" s="193"/>
      <c r="BA283" s="193"/>
      <c r="BB283" s="193"/>
      <c r="BC283" s="193"/>
      <c r="BD283" s="193"/>
      <c r="BE283" s="193"/>
      <c r="BF283" s="193"/>
      <c r="BG283" s="193"/>
      <c r="BH283" s="193"/>
      <c r="BI283" s="193"/>
      <c r="BJ283" s="193"/>
      <c r="BK283" s="193"/>
      <c r="BL283" s="193"/>
      <c r="BM283" s="193"/>
      <c r="BN283" s="193"/>
      <c r="BO283" s="193"/>
      <c r="BP283" s="193"/>
      <c r="BQ283" s="193"/>
      <c r="BR283" s="193"/>
      <c r="BS283" s="193"/>
      <c r="BT283" s="193"/>
      <c r="BU283" s="193"/>
      <c r="BV283" s="193"/>
      <c r="BW283" s="193"/>
      <c r="BX283" s="193"/>
      <c r="BY283" s="193"/>
      <c r="BZ283" s="193"/>
      <c r="CA283" s="193"/>
      <c r="CB283" s="193">
        <v>197.95</v>
      </c>
      <c r="CC283" s="231">
        <f t="shared" si="793"/>
        <v>25100</v>
      </c>
    </row>
    <row r="284" spans="2:81" x14ac:dyDescent="0.25">
      <c r="B284" s="453" t="s">
        <v>73</v>
      </c>
      <c r="C284" s="454"/>
      <c r="D284" s="454"/>
      <c r="E284" s="454"/>
      <c r="F284" s="454"/>
      <c r="G284" s="454"/>
      <c r="H284" s="454"/>
      <c r="I284" s="454"/>
      <c r="J284" s="454"/>
      <c r="K284" s="455"/>
      <c r="L284" s="459" t="s">
        <v>73</v>
      </c>
      <c r="M284" s="460"/>
      <c r="N284" s="460"/>
      <c r="O284" s="460"/>
      <c r="P284" s="460"/>
      <c r="Q284" s="460"/>
      <c r="R284" s="460"/>
      <c r="S284" s="460"/>
      <c r="T284" s="461"/>
      <c r="V284" s="465" t="s">
        <v>73</v>
      </c>
      <c r="W284" s="460"/>
      <c r="X284" s="460"/>
      <c r="Y284" s="460"/>
      <c r="Z284" s="460"/>
      <c r="AA284" s="460"/>
      <c r="AB284" s="460"/>
      <c r="AC284" s="460"/>
      <c r="AD284" s="466"/>
      <c r="AF284" s="257" t="s">
        <v>74</v>
      </c>
      <c r="AG284" s="258"/>
      <c r="AH284" s="258"/>
      <c r="AI284" s="258"/>
      <c r="AJ284" s="258"/>
      <c r="AK284" s="258"/>
      <c r="AL284" s="258"/>
      <c r="AM284" s="258"/>
      <c r="AN284" s="258"/>
      <c r="AO284" s="258"/>
      <c r="AP284" s="258"/>
      <c r="AQ284" s="258"/>
      <c r="AR284" s="258"/>
      <c r="AS284" s="258"/>
      <c r="AT284" s="258"/>
      <c r="AU284" s="258"/>
      <c r="AV284" s="258"/>
      <c r="AW284" s="258"/>
      <c r="AX284" s="258"/>
      <c r="AY284" s="258"/>
      <c r="AZ284" s="258"/>
      <c r="BA284" s="258"/>
      <c r="BB284" s="258"/>
      <c r="BC284" s="258"/>
      <c r="BD284" s="258"/>
      <c r="BE284" s="258"/>
      <c r="BF284" s="258"/>
      <c r="BG284" s="258"/>
      <c r="BH284" s="258"/>
      <c r="BI284" s="258"/>
      <c r="BJ284" s="258"/>
      <c r="BK284" s="258"/>
      <c r="BL284" s="258"/>
      <c r="BM284" s="258"/>
      <c r="BN284" s="258"/>
      <c r="BO284" s="258"/>
      <c r="BP284" s="258"/>
      <c r="BQ284" s="258"/>
      <c r="BR284" s="258"/>
      <c r="BS284" s="258"/>
      <c r="BT284" s="258"/>
      <c r="BU284" s="258"/>
      <c r="BV284" s="258"/>
      <c r="BW284" s="258"/>
      <c r="BX284" s="258"/>
      <c r="BY284" s="258"/>
      <c r="BZ284" s="258"/>
      <c r="CA284" s="258"/>
      <c r="CB284" s="258"/>
      <c r="CC284" s="447" t="str">
        <f t="shared" si="793"/>
        <v>SUSPEND FOR RAB</v>
      </c>
    </row>
    <row r="285" spans="2:81" x14ac:dyDescent="0.25">
      <c r="B285" s="456"/>
      <c r="C285" s="457"/>
      <c r="D285" s="457"/>
      <c r="E285" s="457"/>
      <c r="F285" s="457"/>
      <c r="G285" s="457"/>
      <c r="H285" s="457"/>
      <c r="I285" s="457"/>
      <c r="J285" s="457"/>
      <c r="K285" s="458"/>
      <c r="L285" s="462"/>
      <c r="M285" s="463"/>
      <c r="N285" s="463"/>
      <c r="O285" s="463"/>
      <c r="P285" s="463"/>
      <c r="Q285" s="463"/>
      <c r="R285" s="463"/>
      <c r="S285" s="463"/>
      <c r="T285" s="464"/>
      <c r="V285" s="467"/>
      <c r="W285" s="463"/>
      <c r="X285" s="463"/>
      <c r="Y285" s="463"/>
      <c r="Z285" s="463"/>
      <c r="AA285" s="463"/>
      <c r="AB285" s="463"/>
      <c r="AC285" s="463"/>
      <c r="AD285" s="468"/>
      <c r="AF285" s="259"/>
      <c r="AG285" s="260"/>
      <c r="AH285" s="260"/>
      <c r="AI285" s="260"/>
      <c r="AJ285" s="260"/>
      <c r="AK285" s="260"/>
      <c r="AL285" s="260"/>
      <c r="AM285" s="260"/>
      <c r="AN285" s="260"/>
      <c r="AO285" s="260"/>
      <c r="AP285" s="260"/>
      <c r="AQ285" s="260"/>
      <c r="AR285" s="260"/>
      <c r="AS285" s="260"/>
      <c r="AT285" s="260"/>
      <c r="AU285" s="260"/>
      <c r="AV285" s="260"/>
      <c r="AW285" s="260"/>
      <c r="AX285" s="260"/>
      <c r="AY285" s="260"/>
      <c r="AZ285" s="260"/>
      <c r="BA285" s="260"/>
      <c r="BB285" s="260"/>
      <c r="BC285" s="260"/>
      <c r="BD285" s="260"/>
      <c r="BE285" s="260"/>
      <c r="BF285" s="260"/>
      <c r="BG285" s="260"/>
      <c r="BH285" s="260"/>
      <c r="BI285" s="260"/>
      <c r="BJ285" s="260"/>
      <c r="BK285" s="260"/>
      <c r="BL285" s="260"/>
      <c r="BM285" s="260"/>
      <c r="BN285" s="260"/>
      <c r="BO285" s="260"/>
      <c r="BP285" s="260"/>
      <c r="BQ285" s="260"/>
      <c r="BR285" s="260"/>
      <c r="BS285" s="260"/>
      <c r="BT285" s="260"/>
      <c r="BU285" s="260"/>
      <c r="BV285" s="260"/>
      <c r="BW285" s="260"/>
      <c r="BX285" s="260"/>
      <c r="BY285" s="260"/>
      <c r="BZ285" s="260"/>
      <c r="CA285" s="260"/>
      <c r="CB285" s="260"/>
      <c r="CC285" s="447"/>
    </row>
    <row r="286" spans="2:81" s="3" customFormat="1" ht="15.75" thickBot="1" x14ac:dyDescent="0.3">
      <c r="B286" s="158">
        <v>25300</v>
      </c>
      <c r="C286" s="144">
        <f t="shared" si="829"/>
        <v>568.2627</v>
      </c>
      <c r="D286" s="144">
        <f t="shared" si="830"/>
        <v>4097.527</v>
      </c>
      <c r="E286" s="144">
        <f t="shared" ref="E286:E349" si="841">BH286+BJ286+BI286</f>
        <v>0</v>
      </c>
      <c r="F286" s="144">
        <f t="shared" si="831"/>
        <v>0</v>
      </c>
      <c r="G286" s="144">
        <f t="shared" ref="G286:G349" si="842">BN286+BO286+BP286</f>
        <v>0</v>
      </c>
      <c r="H286" s="144">
        <f t="shared" ref="H286:H349" si="843">BQ286+BR286+BS286</f>
        <v>0</v>
      </c>
      <c r="I286" s="144">
        <f t="shared" ref="I286:I349" si="844">BT286+BU286+BV286</f>
        <v>0</v>
      </c>
      <c r="J286" s="159">
        <f t="shared" ref="J286:J349" si="845">BW286+BX286+BY286</f>
        <v>0</v>
      </c>
      <c r="K286" s="160">
        <f t="shared" ref="K286:K349" si="846">BZ286+CA286+CB286</f>
        <v>244.64</v>
      </c>
      <c r="L286" s="152">
        <f>'RAB &amp; DETENT BASINS'!L19</f>
        <v>3602</v>
      </c>
      <c r="M286" s="144">
        <f>'RAB &amp; DETENT BASINS'!M19</f>
        <v>35934</v>
      </c>
      <c r="N286" s="144"/>
      <c r="O286" s="144"/>
      <c r="P286" s="144"/>
      <c r="Q286" s="144"/>
      <c r="R286" s="144"/>
      <c r="S286" s="144"/>
      <c r="T286" s="144">
        <f>'RAB &amp; DETENT BASINS'!T19</f>
        <v>4405</v>
      </c>
      <c r="V286" s="143">
        <f>L286</f>
        <v>3602</v>
      </c>
      <c r="W286" s="144">
        <f>M286</f>
        <v>35934</v>
      </c>
      <c r="X286" s="144"/>
      <c r="Y286" s="144"/>
      <c r="Z286" s="144"/>
      <c r="AA286" s="144"/>
      <c r="AB286" s="144"/>
      <c r="AC286" s="144"/>
      <c r="AD286" s="145">
        <f>T286</f>
        <v>4405</v>
      </c>
      <c r="AF286" s="158">
        <f t="shared" ref="AF286:AF346" si="847">B286</f>
        <v>25300</v>
      </c>
      <c r="AG286" s="149">
        <v>568.2627</v>
      </c>
      <c r="AH286" s="149"/>
      <c r="AI286" s="149"/>
      <c r="AJ286" s="149"/>
      <c r="AK286" s="149"/>
      <c r="AL286" s="149"/>
      <c r="AM286" s="149"/>
      <c r="AN286" s="149"/>
      <c r="AO286" s="149"/>
      <c r="AP286" s="149"/>
      <c r="AQ286" s="149"/>
      <c r="AR286" s="149"/>
      <c r="AS286" s="149"/>
      <c r="AT286" s="149"/>
      <c r="AU286" s="149"/>
      <c r="AV286" s="149"/>
      <c r="AW286" s="149"/>
      <c r="AX286" s="149">
        <v>4081.3584999999998</v>
      </c>
      <c r="AY286" s="149">
        <v>16.168500000000002</v>
      </c>
      <c r="AZ286" s="149"/>
      <c r="BA286" s="149"/>
      <c r="BB286" s="149"/>
      <c r="BC286" s="149"/>
      <c r="BD286" s="149"/>
      <c r="BE286" s="149"/>
      <c r="BF286" s="149"/>
      <c r="BG286" s="149"/>
      <c r="BH286" s="149"/>
      <c r="BI286" s="149"/>
      <c r="BJ286" s="149"/>
      <c r="BK286" s="149"/>
      <c r="BL286" s="149"/>
      <c r="BM286" s="149"/>
      <c r="BN286" s="149"/>
      <c r="BO286" s="149"/>
      <c r="BP286" s="149"/>
      <c r="BQ286" s="149"/>
      <c r="BR286" s="149"/>
      <c r="BS286" s="149"/>
      <c r="BT286" s="149"/>
      <c r="BU286" s="149"/>
      <c r="BV286" s="149"/>
      <c r="BW286" s="149"/>
      <c r="BX286" s="149"/>
      <c r="BY286" s="149"/>
      <c r="BZ286" s="149"/>
      <c r="CA286" s="149"/>
      <c r="CB286" s="149">
        <v>244.64</v>
      </c>
      <c r="CC286" s="231">
        <f t="shared" ref="CC286:CC349" si="848">B286</f>
        <v>25300</v>
      </c>
    </row>
    <row r="287" spans="2:81" x14ac:dyDescent="0.25">
      <c r="B287" s="155">
        <v>25350</v>
      </c>
      <c r="C287" s="147">
        <f t="shared" si="829"/>
        <v>247.7509</v>
      </c>
      <c r="D287" s="147">
        <f t="shared" si="830"/>
        <v>2881.0430999999999</v>
      </c>
      <c r="E287" s="147">
        <f t="shared" si="841"/>
        <v>0</v>
      </c>
      <c r="F287" s="147">
        <f t="shared" si="831"/>
        <v>0</v>
      </c>
      <c r="G287" s="147">
        <f t="shared" si="842"/>
        <v>0</v>
      </c>
      <c r="H287" s="147">
        <f t="shared" si="843"/>
        <v>0</v>
      </c>
      <c r="I287" s="147">
        <f t="shared" si="844"/>
        <v>0</v>
      </c>
      <c r="J287" s="156">
        <f t="shared" si="845"/>
        <v>0</v>
      </c>
      <c r="K287" s="157">
        <f t="shared" si="846"/>
        <v>243.11</v>
      </c>
      <c r="L287" s="151">
        <f t="shared" si="742"/>
        <v>756</v>
      </c>
      <c r="M287" s="147">
        <f t="shared" si="743"/>
        <v>6462</v>
      </c>
      <c r="N287" s="147"/>
      <c r="O287" s="147">
        <f t="shared" si="769"/>
        <v>0</v>
      </c>
      <c r="P287" s="147">
        <f t="shared" si="744"/>
        <v>0</v>
      </c>
      <c r="Q287" s="147">
        <f t="shared" si="745"/>
        <v>0</v>
      </c>
      <c r="R287" s="147">
        <f t="shared" si="746"/>
        <v>0</v>
      </c>
      <c r="S287" s="147">
        <f t="shared" si="747"/>
        <v>0</v>
      </c>
      <c r="T287" s="147">
        <f t="shared" ref="T287:T350" si="849">ROUNDUP(((K287+K286)*0.5)*(B287-B286)/9,0)</f>
        <v>1355</v>
      </c>
      <c r="V287" s="146"/>
      <c r="W287" s="147"/>
      <c r="X287" s="147"/>
      <c r="Y287" s="147"/>
      <c r="Z287" s="147"/>
      <c r="AA287" s="147"/>
      <c r="AB287" s="147"/>
      <c r="AC287" s="147"/>
      <c r="AD287" s="148"/>
      <c r="AF287" s="155">
        <f t="shared" si="847"/>
        <v>25350</v>
      </c>
      <c r="AG287" s="78">
        <v>247.7509</v>
      </c>
      <c r="AH287" s="78"/>
      <c r="AI287" s="78"/>
      <c r="AJ287" s="78"/>
      <c r="AK287" s="78"/>
      <c r="AL287" s="78"/>
      <c r="AM287" s="78"/>
      <c r="AN287" s="78"/>
      <c r="AO287" s="78"/>
      <c r="AP287" s="78"/>
      <c r="AQ287" s="78"/>
      <c r="AR287" s="78"/>
      <c r="AS287" s="78"/>
      <c r="AT287" s="78"/>
      <c r="AU287" s="78"/>
      <c r="AV287" s="78"/>
      <c r="AW287" s="78"/>
      <c r="AX287" s="78">
        <v>2865.2235999999998</v>
      </c>
      <c r="AY287" s="78">
        <v>15.8195</v>
      </c>
      <c r="AZ287" s="78"/>
      <c r="BA287" s="78"/>
      <c r="BB287" s="78"/>
      <c r="BC287" s="78"/>
      <c r="BD287" s="78"/>
      <c r="BE287" s="78"/>
      <c r="BF287" s="78"/>
      <c r="BG287" s="78"/>
      <c r="BH287" s="78"/>
      <c r="BI287" s="78"/>
      <c r="BJ287" s="78"/>
      <c r="BK287" s="78"/>
      <c r="BL287" s="78"/>
      <c r="BM287" s="78"/>
      <c r="BN287" s="78"/>
      <c r="BO287" s="78"/>
      <c r="BP287" s="78"/>
      <c r="BQ287" s="78"/>
      <c r="BR287" s="78"/>
      <c r="BS287" s="78"/>
      <c r="BT287" s="78"/>
      <c r="BU287" s="78"/>
      <c r="BV287" s="78"/>
      <c r="BW287" s="78"/>
      <c r="BX287" s="78"/>
      <c r="BY287" s="78"/>
      <c r="BZ287" s="78"/>
      <c r="CA287" s="78"/>
      <c r="CB287" s="78">
        <v>243.11</v>
      </c>
      <c r="CC287" s="231">
        <f t="shared" si="848"/>
        <v>25350</v>
      </c>
    </row>
    <row r="288" spans="2:81" s="3" customFormat="1" ht="15.75" thickBot="1" x14ac:dyDescent="0.3">
      <c r="B288" s="158">
        <v>25400</v>
      </c>
      <c r="C288" s="144">
        <f t="shared" si="829"/>
        <v>1100.2430999999999</v>
      </c>
      <c r="D288" s="144">
        <f t="shared" si="830"/>
        <v>2037.1704000000002</v>
      </c>
      <c r="E288" s="144">
        <f t="shared" si="841"/>
        <v>0</v>
      </c>
      <c r="F288" s="144">
        <f t="shared" si="831"/>
        <v>0</v>
      </c>
      <c r="G288" s="144">
        <f t="shared" si="842"/>
        <v>0</v>
      </c>
      <c r="H288" s="144">
        <f t="shared" si="843"/>
        <v>0</v>
      </c>
      <c r="I288" s="144">
        <f t="shared" si="844"/>
        <v>0</v>
      </c>
      <c r="J288" s="159">
        <f t="shared" si="845"/>
        <v>0</v>
      </c>
      <c r="K288" s="160">
        <f t="shared" si="846"/>
        <v>277.02999999999997</v>
      </c>
      <c r="L288" s="152">
        <f t="shared" si="742"/>
        <v>1249</v>
      </c>
      <c r="M288" s="144">
        <f t="shared" si="743"/>
        <v>4554</v>
      </c>
      <c r="N288" s="144"/>
      <c r="O288" s="144">
        <f t="shared" si="769"/>
        <v>0</v>
      </c>
      <c r="P288" s="144">
        <f t="shared" si="744"/>
        <v>0</v>
      </c>
      <c r="Q288" s="144">
        <f t="shared" si="745"/>
        <v>0</v>
      </c>
      <c r="R288" s="144">
        <f t="shared" si="746"/>
        <v>0</v>
      </c>
      <c r="S288" s="144">
        <f t="shared" si="747"/>
        <v>0</v>
      </c>
      <c r="T288" s="144">
        <f t="shared" si="849"/>
        <v>1445</v>
      </c>
      <c r="V288" s="150">
        <f>L287+L288</f>
        <v>2005</v>
      </c>
      <c r="W288" s="150">
        <f t="shared" ref="W288" si="850">M287+M288</f>
        <v>11016</v>
      </c>
      <c r="X288" s="150"/>
      <c r="Y288" s="150">
        <f t="shared" ref="Y288" si="851">O287+O288</f>
        <v>0</v>
      </c>
      <c r="Z288" s="150">
        <f t="shared" ref="Z288" si="852">P287+P288</f>
        <v>0</v>
      </c>
      <c r="AA288" s="150">
        <f t="shared" ref="AA288" si="853">Q287+Q288</f>
        <v>0</v>
      </c>
      <c r="AB288" s="150">
        <f t="shared" ref="AB288" si="854">R287+R288</f>
        <v>0</v>
      </c>
      <c r="AC288" s="150">
        <f t="shared" ref="AC288" si="855">S287+S288</f>
        <v>0</v>
      </c>
      <c r="AD288" s="150">
        <f t="shared" ref="AD288" si="856">T287+T288</f>
        <v>2800</v>
      </c>
      <c r="AF288" s="158">
        <f t="shared" si="847"/>
        <v>25400</v>
      </c>
      <c r="AG288" s="149">
        <v>1100.2430999999999</v>
      </c>
      <c r="AH288" s="149"/>
      <c r="AI288" s="149"/>
      <c r="AJ288" s="149"/>
      <c r="AK288" s="149"/>
      <c r="AL288" s="149"/>
      <c r="AM288" s="149"/>
      <c r="AN288" s="149"/>
      <c r="AO288" s="149"/>
      <c r="AP288" s="149"/>
      <c r="AQ288" s="149"/>
      <c r="AR288" s="149"/>
      <c r="AS288" s="149"/>
      <c r="AT288" s="149"/>
      <c r="AU288" s="149"/>
      <c r="AV288" s="149"/>
      <c r="AW288" s="149"/>
      <c r="AX288" s="149">
        <v>2020.9063000000001</v>
      </c>
      <c r="AY288" s="149">
        <v>16.264099999999999</v>
      </c>
      <c r="AZ288" s="149"/>
      <c r="BA288" s="149"/>
      <c r="BB288" s="149"/>
      <c r="BC288" s="149"/>
      <c r="BD288" s="149"/>
      <c r="BE288" s="149"/>
      <c r="BF288" s="149"/>
      <c r="BG288" s="149"/>
      <c r="BH288" s="149"/>
      <c r="BI288" s="149"/>
      <c r="BJ288" s="149"/>
      <c r="BK288" s="149"/>
      <c r="BL288" s="149"/>
      <c r="BM288" s="149"/>
      <c r="BN288" s="149"/>
      <c r="BO288" s="149"/>
      <c r="BP288" s="149"/>
      <c r="BQ288" s="149"/>
      <c r="BR288" s="149"/>
      <c r="BS288" s="149"/>
      <c r="BT288" s="149"/>
      <c r="BU288" s="149"/>
      <c r="BV288" s="149"/>
      <c r="BW288" s="149"/>
      <c r="BX288" s="149"/>
      <c r="BY288" s="149"/>
      <c r="BZ288" s="149"/>
      <c r="CA288" s="149"/>
      <c r="CB288" s="149">
        <v>277.02999999999997</v>
      </c>
      <c r="CC288" s="231">
        <f t="shared" si="848"/>
        <v>25400</v>
      </c>
    </row>
    <row r="289" spans="2:81" s="192" customFormat="1" ht="15.75" thickBot="1" x14ac:dyDescent="0.3">
      <c r="B289" s="187">
        <v>25450</v>
      </c>
      <c r="C289" s="188">
        <f t="shared" si="829"/>
        <v>2275.8995</v>
      </c>
      <c r="D289" s="188">
        <f t="shared" si="830"/>
        <v>1915.0692999999999</v>
      </c>
      <c r="E289" s="188">
        <f t="shared" si="841"/>
        <v>0</v>
      </c>
      <c r="F289" s="188">
        <f t="shared" si="831"/>
        <v>0</v>
      </c>
      <c r="G289" s="188">
        <f t="shared" si="842"/>
        <v>0</v>
      </c>
      <c r="H289" s="188">
        <f t="shared" si="843"/>
        <v>0</v>
      </c>
      <c r="I289" s="188">
        <f t="shared" si="844"/>
        <v>0</v>
      </c>
      <c r="J289" s="189">
        <f t="shared" si="845"/>
        <v>0</v>
      </c>
      <c r="K289" s="190">
        <f t="shared" si="846"/>
        <v>426.47</v>
      </c>
      <c r="L289" s="191">
        <f t="shared" si="742"/>
        <v>3127</v>
      </c>
      <c r="M289" s="188">
        <f t="shared" si="743"/>
        <v>3660</v>
      </c>
      <c r="N289" s="188"/>
      <c r="O289" s="188">
        <f t="shared" si="769"/>
        <v>0</v>
      </c>
      <c r="P289" s="188">
        <f t="shared" si="744"/>
        <v>0</v>
      </c>
      <c r="Q289" s="188">
        <f t="shared" si="745"/>
        <v>0</v>
      </c>
      <c r="R289" s="188">
        <f t="shared" si="746"/>
        <v>0</v>
      </c>
      <c r="S289" s="188">
        <f t="shared" si="747"/>
        <v>0</v>
      </c>
      <c r="T289" s="188">
        <f t="shared" si="849"/>
        <v>1955</v>
      </c>
      <c r="V289" s="150">
        <f>L289</f>
        <v>3127</v>
      </c>
      <c r="W289" s="150">
        <f t="shared" ref="W289:W293" si="857">M289</f>
        <v>3660</v>
      </c>
      <c r="X289" s="150"/>
      <c r="Y289" s="150">
        <f t="shared" ref="Y289:Y293" si="858">O289</f>
        <v>0</v>
      </c>
      <c r="Z289" s="150">
        <f t="shared" ref="Z289:Z293" si="859">P289</f>
        <v>0</v>
      </c>
      <c r="AA289" s="150">
        <f t="shared" ref="AA289:AA293" si="860">Q289</f>
        <v>0</v>
      </c>
      <c r="AB289" s="150">
        <f t="shared" ref="AB289:AB293" si="861">R289</f>
        <v>0</v>
      </c>
      <c r="AC289" s="150">
        <f t="shared" ref="AC289:AC293" si="862">S289</f>
        <v>0</v>
      </c>
      <c r="AD289" s="150">
        <f t="shared" ref="AD289:AD293" si="863">T289</f>
        <v>1955</v>
      </c>
      <c r="AF289" s="187">
        <f t="shared" si="847"/>
        <v>25450</v>
      </c>
      <c r="AG289" s="193">
        <v>2275.8995</v>
      </c>
      <c r="AH289" s="193"/>
      <c r="AI289" s="193"/>
      <c r="AJ289" s="193"/>
      <c r="AK289" s="193"/>
      <c r="AL289" s="193"/>
      <c r="AM289" s="193"/>
      <c r="AN289" s="193"/>
      <c r="AO289" s="193"/>
      <c r="AP289" s="193"/>
      <c r="AQ289" s="193"/>
      <c r="AR289" s="193"/>
      <c r="AS289" s="193"/>
      <c r="AT289" s="193"/>
      <c r="AU289" s="193"/>
      <c r="AV289" s="193"/>
      <c r="AW289" s="193"/>
      <c r="AX289" s="193">
        <v>1898.2003</v>
      </c>
      <c r="AY289" s="193">
        <v>16.869</v>
      </c>
      <c r="AZ289" s="193"/>
      <c r="BA289" s="193"/>
      <c r="BB289" s="193"/>
      <c r="BC289" s="193"/>
      <c r="BD289" s="193"/>
      <c r="BE289" s="193"/>
      <c r="BF289" s="193"/>
      <c r="BG289" s="193"/>
      <c r="BH289" s="193"/>
      <c r="BI289" s="193"/>
      <c r="BJ289" s="193"/>
      <c r="BK289" s="193"/>
      <c r="BL289" s="193"/>
      <c r="BM289" s="193"/>
      <c r="BN289" s="193"/>
      <c r="BO289" s="193"/>
      <c r="BP289" s="193"/>
      <c r="BQ289" s="193"/>
      <c r="BR289" s="193"/>
      <c r="BS289" s="193"/>
      <c r="BT289" s="193"/>
      <c r="BU289" s="193"/>
      <c r="BV289" s="193"/>
      <c r="BW289" s="193"/>
      <c r="BX289" s="193"/>
      <c r="BY289" s="193"/>
      <c r="BZ289" s="193"/>
      <c r="CA289" s="193"/>
      <c r="CB289" s="193">
        <v>426.47</v>
      </c>
      <c r="CC289" s="231">
        <f t="shared" si="848"/>
        <v>25450</v>
      </c>
    </row>
    <row r="290" spans="2:81" s="192" customFormat="1" ht="15.75" thickBot="1" x14ac:dyDescent="0.3">
      <c r="B290" s="187">
        <v>25500</v>
      </c>
      <c r="C290" s="188">
        <f t="shared" si="829"/>
        <v>2909.2261000000003</v>
      </c>
      <c r="D290" s="188">
        <f t="shared" si="830"/>
        <v>2510.5446000000002</v>
      </c>
      <c r="E290" s="188">
        <f t="shared" si="841"/>
        <v>0</v>
      </c>
      <c r="F290" s="188">
        <f t="shared" si="831"/>
        <v>0</v>
      </c>
      <c r="G290" s="188">
        <f t="shared" si="842"/>
        <v>0</v>
      </c>
      <c r="H290" s="188">
        <f t="shared" si="843"/>
        <v>0</v>
      </c>
      <c r="I290" s="188">
        <f t="shared" si="844"/>
        <v>0</v>
      </c>
      <c r="J290" s="189">
        <f t="shared" si="845"/>
        <v>0</v>
      </c>
      <c r="K290" s="190">
        <f t="shared" si="846"/>
        <v>416.74</v>
      </c>
      <c r="L290" s="191">
        <f t="shared" si="742"/>
        <v>4802</v>
      </c>
      <c r="M290" s="188">
        <f t="shared" si="743"/>
        <v>4098</v>
      </c>
      <c r="N290" s="188"/>
      <c r="O290" s="188">
        <f t="shared" si="769"/>
        <v>0</v>
      </c>
      <c r="P290" s="188">
        <f t="shared" si="744"/>
        <v>0</v>
      </c>
      <c r="Q290" s="188">
        <f t="shared" si="745"/>
        <v>0</v>
      </c>
      <c r="R290" s="188">
        <f t="shared" si="746"/>
        <v>0</v>
      </c>
      <c r="S290" s="188">
        <f t="shared" si="747"/>
        <v>0</v>
      </c>
      <c r="T290" s="188">
        <f t="shared" si="849"/>
        <v>2343</v>
      </c>
      <c r="V290" s="150">
        <f>L290</f>
        <v>4802</v>
      </c>
      <c r="W290" s="150">
        <f t="shared" si="857"/>
        <v>4098</v>
      </c>
      <c r="X290" s="150"/>
      <c r="Y290" s="150">
        <f t="shared" si="858"/>
        <v>0</v>
      </c>
      <c r="Z290" s="150">
        <f t="shared" si="859"/>
        <v>0</v>
      </c>
      <c r="AA290" s="150">
        <f t="shared" si="860"/>
        <v>0</v>
      </c>
      <c r="AB290" s="150">
        <f t="shared" si="861"/>
        <v>0</v>
      </c>
      <c r="AC290" s="150">
        <f t="shared" si="862"/>
        <v>0</v>
      </c>
      <c r="AD290" s="150">
        <f t="shared" si="863"/>
        <v>2343</v>
      </c>
      <c r="AF290" s="187">
        <f t="shared" si="847"/>
        <v>25500</v>
      </c>
      <c r="AG290" s="194">
        <v>89.811000000000007</v>
      </c>
      <c r="AH290" s="194">
        <v>22.67</v>
      </c>
      <c r="AI290" s="193">
        <v>2796.7451000000001</v>
      </c>
      <c r="AJ290" s="193"/>
      <c r="AK290" s="193"/>
      <c r="AL290" s="193"/>
      <c r="AM290" s="193"/>
      <c r="AN290" s="193"/>
      <c r="AO290" s="193"/>
      <c r="AP290" s="193"/>
      <c r="AQ290" s="193"/>
      <c r="AR290" s="193"/>
      <c r="AS290" s="193"/>
      <c r="AT290" s="193"/>
      <c r="AU290" s="193"/>
      <c r="AV290" s="193"/>
      <c r="AW290" s="193"/>
      <c r="AX290" s="194">
        <v>89.811000000000007</v>
      </c>
      <c r="AY290" s="194">
        <v>22.67</v>
      </c>
      <c r="AZ290" s="193">
        <v>2382.0297</v>
      </c>
      <c r="BA290" s="193">
        <v>16.033899999999999</v>
      </c>
      <c r="BB290" s="193"/>
      <c r="BC290" s="193"/>
      <c r="BD290" s="193"/>
      <c r="BE290" s="193"/>
      <c r="BF290" s="193"/>
      <c r="BG290" s="193"/>
      <c r="BH290" s="193"/>
      <c r="BI290" s="193"/>
      <c r="BJ290" s="193"/>
      <c r="BK290" s="193"/>
      <c r="BL290" s="193"/>
      <c r="BM290" s="193"/>
      <c r="BN290" s="193"/>
      <c r="BO290" s="193"/>
      <c r="BP290" s="193"/>
      <c r="BQ290" s="193"/>
      <c r="BR290" s="193"/>
      <c r="BS290" s="193"/>
      <c r="BT290" s="193"/>
      <c r="BU290" s="193"/>
      <c r="BV290" s="193"/>
      <c r="BW290" s="193"/>
      <c r="BX290" s="193"/>
      <c r="BY290" s="193"/>
      <c r="BZ290" s="193"/>
      <c r="CA290" s="193"/>
      <c r="CB290" s="193">
        <v>416.74</v>
      </c>
      <c r="CC290" s="231">
        <f t="shared" si="848"/>
        <v>25500</v>
      </c>
    </row>
    <row r="291" spans="2:81" s="192" customFormat="1" ht="15.75" thickBot="1" x14ac:dyDescent="0.3">
      <c r="B291" s="333">
        <v>25550</v>
      </c>
      <c r="C291" s="188">
        <f t="shared" si="829"/>
        <v>2947.9405999999999</v>
      </c>
      <c r="D291" s="188">
        <f t="shared" si="830"/>
        <v>3201.1561999999999</v>
      </c>
      <c r="E291" s="188">
        <f t="shared" si="841"/>
        <v>0</v>
      </c>
      <c r="F291" s="188">
        <f t="shared" si="831"/>
        <v>0</v>
      </c>
      <c r="G291" s="188">
        <f t="shared" si="842"/>
        <v>0</v>
      </c>
      <c r="H291" s="188">
        <f t="shared" si="843"/>
        <v>0</v>
      </c>
      <c r="I291" s="188">
        <f t="shared" si="844"/>
        <v>0</v>
      </c>
      <c r="J291" s="189">
        <f t="shared" si="845"/>
        <v>0</v>
      </c>
      <c r="K291" s="190">
        <f t="shared" si="846"/>
        <v>396.91660000000002</v>
      </c>
      <c r="L291" s="342">
        <f t="shared" si="742"/>
        <v>5424</v>
      </c>
      <c r="M291" s="343">
        <f t="shared" si="743"/>
        <v>5289</v>
      </c>
      <c r="N291" s="343"/>
      <c r="O291" s="343">
        <f t="shared" si="769"/>
        <v>0</v>
      </c>
      <c r="P291" s="343">
        <f t="shared" si="744"/>
        <v>0</v>
      </c>
      <c r="Q291" s="343">
        <f t="shared" si="745"/>
        <v>0</v>
      </c>
      <c r="R291" s="343">
        <f t="shared" si="746"/>
        <v>0</v>
      </c>
      <c r="S291" s="343">
        <f t="shared" si="747"/>
        <v>0</v>
      </c>
      <c r="T291" s="343">
        <f t="shared" si="849"/>
        <v>2261</v>
      </c>
      <c r="V291" s="150">
        <f t="shared" ref="V291:V293" si="864">L291</f>
        <v>5424</v>
      </c>
      <c r="W291" s="150">
        <f t="shared" si="857"/>
        <v>5289</v>
      </c>
      <c r="X291" s="150"/>
      <c r="Y291" s="150">
        <f t="shared" si="858"/>
        <v>0</v>
      </c>
      <c r="Z291" s="150">
        <f t="shared" si="859"/>
        <v>0</v>
      </c>
      <c r="AA291" s="150">
        <f t="shared" si="860"/>
        <v>0</v>
      </c>
      <c r="AB291" s="150">
        <f t="shared" si="861"/>
        <v>0</v>
      </c>
      <c r="AC291" s="150">
        <f t="shared" si="862"/>
        <v>0</v>
      </c>
      <c r="AD291" s="150">
        <f t="shared" si="863"/>
        <v>2261</v>
      </c>
      <c r="AF291" s="187">
        <f t="shared" si="847"/>
        <v>25550</v>
      </c>
      <c r="AG291" s="194">
        <v>148.32339999999999</v>
      </c>
      <c r="AH291" s="194">
        <v>173.1772</v>
      </c>
      <c r="AI291" s="193">
        <v>2626.44</v>
      </c>
      <c r="AJ291" s="193"/>
      <c r="AK291" s="193"/>
      <c r="AL291" s="193"/>
      <c r="AM291" s="193"/>
      <c r="AN291" s="193"/>
      <c r="AO291" s="193"/>
      <c r="AP291" s="193"/>
      <c r="AQ291" s="193"/>
      <c r="AR291" s="193"/>
      <c r="AS291" s="193"/>
      <c r="AT291" s="193"/>
      <c r="AU291" s="193"/>
      <c r="AV291" s="193"/>
      <c r="AW291" s="193"/>
      <c r="AX291" s="194">
        <v>148.32339999999999</v>
      </c>
      <c r="AY291" s="194">
        <v>173.1772</v>
      </c>
      <c r="AZ291" s="193">
        <v>2864.1979999999999</v>
      </c>
      <c r="BA291" s="193">
        <v>15.457599999999999</v>
      </c>
      <c r="BB291" s="193"/>
      <c r="BC291" s="193"/>
      <c r="BD291" s="193"/>
      <c r="BE291" s="193"/>
      <c r="BF291" s="193"/>
      <c r="BG291" s="193"/>
      <c r="BH291" s="193"/>
      <c r="BI291" s="193"/>
      <c r="BJ291" s="193"/>
      <c r="BK291" s="193"/>
      <c r="BL291" s="193"/>
      <c r="BM291" s="193"/>
      <c r="BN291" s="193"/>
      <c r="BO291" s="193"/>
      <c r="BP291" s="193"/>
      <c r="BQ291" s="193"/>
      <c r="BR291" s="193"/>
      <c r="BS291" s="193"/>
      <c r="BT291" s="193"/>
      <c r="BU291" s="193"/>
      <c r="BV291" s="193"/>
      <c r="BW291" s="193"/>
      <c r="BX291" s="193"/>
      <c r="BY291" s="193"/>
      <c r="BZ291" s="193"/>
      <c r="CA291" s="193"/>
      <c r="CB291" s="193">
        <f>392.9166+4</f>
        <v>396.91660000000002</v>
      </c>
      <c r="CC291" s="231">
        <f t="shared" si="848"/>
        <v>25550</v>
      </c>
    </row>
    <row r="292" spans="2:81" s="192" customFormat="1" ht="15.75" thickBot="1" x14ac:dyDescent="0.3">
      <c r="B292" s="187">
        <v>25600</v>
      </c>
      <c r="C292" s="188">
        <f t="shared" si="829"/>
        <v>2416.3344000000002</v>
      </c>
      <c r="D292" s="188">
        <f t="shared" si="830"/>
        <v>3125.4417000000003</v>
      </c>
      <c r="E292" s="188">
        <f t="shared" si="841"/>
        <v>0</v>
      </c>
      <c r="F292" s="188">
        <f t="shared" si="831"/>
        <v>0</v>
      </c>
      <c r="G292" s="188">
        <f t="shared" si="842"/>
        <v>0</v>
      </c>
      <c r="H292" s="188">
        <f t="shared" si="843"/>
        <v>0</v>
      </c>
      <c r="I292" s="188">
        <f t="shared" si="844"/>
        <v>0</v>
      </c>
      <c r="J292" s="189">
        <f t="shared" si="845"/>
        <v>0</v>
      </c>
      <c r="K292" s="190">
        <f t="shared" si="846"/>
        <v>361.24</v>
      </c>
      <c r="L292" s="191">
        <f t="shared" si="742"/>
        <v>4967</v>
      </c>
      <c r="M292" s="188">
        <f t="shared" si="743"/>
        <v>5858</v>
      </c>
      <c r="N292" s="188"/>
      <c r="O292" s="188">
        <f t="shared" si="769"/>
        <v>0</v>
      </c>
      <c r="P292" s="188">
        <f t="shared" si="744"/>
        <v>0</v>
      </c>
      <c r="Q292" s="188">
        <f t="shared" si="745"/>
        <v>0</v>
      </c>
      <c r="R292" s="188">
        <f t="shared" si="746"/>
        <v>0</v>
      </c>
      <c r="S292" s="188">
        <f t="shared" si="747"/>
        <v>0</v>
      </c>
      <c r="T292" s="188">
        <f t="shared" si="849"/>
        <v>2106</v>
      </c>
      <c r="V292" s="150">
        <f t="shared" si="864"/>
        <v>4967</v>
      </c>
      <c r="W292" s="150">
        <f t="shared" si="857"/>
        <v>5858</v>
      </c>
      <c r="X292" s="150"/>
      <c r="Y292" s="150">
        <f t="shared" si="858"/>
        <v>0</v>
      </c>
      <c r="Z292" s="150">
        <f t="shared" si="859"/>
        <v>0</v>
      </c>
      <c r="AA292" s="150">
        <f t="shared" si="860"/>
        <v>0</v>
      </c>
      <c r="AB292" s="150">
        <f t="shared" si="861"/>
        <v>0</v>
      </c>
      <c r="AC292" s="150">
        <f t="shared" si="862"/>
        <v>0</v>
      </c>
      <c r="AD292" s="150">
        <f t="shared" si="863"/>
        <v>2106</v>
      </c>
      <c r="AF292" s="187">
        <f t="shared" si="847"/>
        <v>25600</v>
      </c>
      <c r="AG292" s="194">
        <v>125.2229</v>
      </c>
      <c r="AH292" s="194">
        <v>103.8192</v>
      </c>
      <c r="AI292" s="193">
        <v>2187.2923000000001</v>
      </c>
      <c r="AJ292" s="193"/>
      <c r="AK292" s="193"/>
      <c r="AL292" s="193"/>
      <c r="AM292" s="193"/>
      <c r="AN292" s="193"/>
      <c r="AO292" s="193"/>
      <c r="AP292" s="193"/>
      <c r="AQ292" s="193"/>
      <c r="AR292" s="193"/>
      <c r="AS292" s="193"/>
      <c r="AT292" s="193"/>
      <c r="AU292" s="193"/>
      <c r="AV292" s="193"/>
      <c r="AW292" s="193"/>
      <c r="AX292" s="194">
        <v>125.2229</v>
      </c>
      <c r="AY292" s="194">
        <v>103.8192</v>
      </c>
      <c r="AZ292" s="193">
        <v>2863.0925999999999</v>
      </c>
      <c r="BA292" s="193">
        <v>18.178100000000001</v>
      </c>
      <c r="BB292" s="193">
        <v>15.1289</v>
      </c>
      <c r="BC292" s="193"/>
      <c r="BD292" s="193"/>
      <c r="BE292" s="193"/>
      <c r="BF292" s="193"/>
      <c r="BG292" s="193"/>
      <c r="BH292" s="193"/>
      <c r="BI292" s="193"/>
      <c r="BJ292" s="193"/>
      <c r="BK292" s="193"/>
      <c r="BL292" s="193"/>
      <c r="BM292" s="193"/>
      <c r="BN292" s="193"/>
      <c r="BO292" s="193"/>
      <c r="BP292" s="193"/>
      <c r="BQ292" s="193"/>
      <c r="BR292" s="193"/>
      <c r="BS292" s="193"/>
      <c r="BT292" s="193"/>
      <c r="BU292" s="193"/>
      <c r="BV292" s="193"/>
      <c r="BW292" s="193"/>
      <c r="BX292" s="193"/>
      <c r="BY292" s="193"/>
      <c r="BZ292" s="193"/>
      <c r="CA292" s="193"/>
      <c r="CB292" s="193">
        <v>361.24</v>
      </c>
      <c r="CC292" s="231">
        <f t="shared" si="848"/>
        <v>25600</v>
      </c>
    </row>
    <row r="293" spans="2:81" s="192" customFormat="1" ht="15.75" thickBot="1" x14ac:dyDescent="0.3">
      <c r="B293" s="187">
        <v>25650</v>
      </c>
      <c r="C293" s="188">
        <f t="shared" si="829"/>
        <v>1720.1496</v>
      </c>
      <c r="D293" s="188">
        <f t="shared" si="830"/>
        <v>3643.5648999999999</v>
      </c>
      <c r="E293" s="188">
        <f t="shared" si="841"/>
        <v>0</v>
      </c>
      <c r="F293" s="188">
        <f t="shared" si="831"/>
        <v>0</v>
      </c>
      <c r="G293" s="188">
        <f t="shared" si="842"/>
        <v>0</v>
      </c>
      <c r="H293" s="188">
        <f t="shared" si="843"/>
        <v>0</v>
      </c>
      <c r="I293" s="188">
        <f t="shared" si="844"/>
        <v>0</v>
      </c>
      <c r="J293" s="189">
        <f t="shared" si="845"/>
        <v>0</v>
      </c>
      <c r="K293" s="190">
        <f t="shared" si="846"/>
        <v>414.75</v>
      </c>
      <c r="L293" s="191">
        <f t="shared" si="742"/>
        <v>3831</v>
      </c>
      <c r="M293" s="188">
        <f t="shared" si="743"/>
        <v>6268</v>
      </c>
      <c r="N293" s="188"/>
      <c r="O293" s="188">
        <f t="shared" si="769"/>
        <v>0</v>
      </c>
      <c r="P293" s="188">
        <f t="shared" si="744"/>
        <v>0</v>
      </c>
      <c r="Q293" s="188">
        <f t="shared" si="745"/>
        <v>0</v>
      </c>
      <c r="R293" s="188">
        <f t="shared" si="746"/>
        <v>0</v>
      </c>
      <c r="S293" s="188">
        <f t="shared" si="747"/>
        <v>0</v>
      </c>
      <c r="T293" s="188">
        <f t="shared" si="849"/>
        <v>2156</v>
      </c>
      <c r="V293" s="150">
        <f t="shared" si="864"/>
        <v>3831</v>
      </c>
      <c r="W293" s="150">
        <f t="shared" si="857"/>
        <v>6268</v>
      </c>
      <c r="X293" s="150"/>
      <c r="Y293" s="150">
        <f t="shared" si="858"/>
        <v>0</v>
      </c>
      <c r="Z293" s="150">
        <f t="shared" si="859"/>
        <v>0</v>
      </c>
      <c r="AA293" s="150">
        <f t="shared" si="860"/>
        <v>0</v>
      </c>
      <c r="AB293" s="150">
        <f t="shared" si="861"/>
        <v>0</v>
      </c>
      <c r="AC293" s="150">
        <f t="shared" si="862"/>
        <v>0</v>
      </c>
      <c r="AD293" s="150">
        <f t="shared" si="863"/>
        <v>2156</v>
      </c>
      <c r="AF293" s="187">
        <f t="shared" si="847"/>
        <v>25650</v>
      </c>
      <c r="AG293" s="194">
        <v>130.2381</v>
      </c>
      <c r="AH293" s="194">
        <v>219.81180000000001</v>
      </c>
      <c r="AI293" s="193">
        <v>1370.0997</v>
      </c>
      <c r="AJ293" s="193"/>
      <c r="AK293" s="193"/>
      <c r="AL293" s="193"/>
      <c r="AM293" s="193"/>
      <c r="AN293" s="193"/>
      <c r="AO293" s="193"/>
      <c r="AP293" s="193"/>
      <c r="AQ293" s="193"/>
      <c r="AR293" s="193"/>
      <c r="AS293" s="193"/>
      <c r="AT293" s="193"/>
      <c r="AU293" s="193"/>
      <c r="AV293" s="193"/>
      <c r="AW293" s="193"/>
      <c r="AX293" s="194">
        <v>130.2381</v>
      </c>
      <c r="AY293" s="194">
        <v>219.81180000000001</v>
      </c>
      <c r="AZ293" s="193">
        <v>3263.2145999999998</v>
      </c>
      <c r="BA293" s="193">
        <v>30.3004</v>
      </c>
      <c r="BB293" s="193"/>
      <c r="BC293" s="193"/>
      <c r="BD293" s="193"/>
      <c r="BE293" s="193"/>
      <c r="BF293" s="193"/>
      <c r="BG293" s="193"/>
      <c r="BH293" s="193"/>
      <c r="BI293" s="193"/>
      <c r="BJ293" s="193"/>
      <c r="BK293" s="193"/>
      <c r="BL293" s="193"/>
      <c r="BM293" s="193"/>
      <c r="BN293" s="193"/>
      <c r="BO293" s="193"/>
      <c r="BP293" s="193"/>
      <c r="BQ293" s="193"/>
      <c r="BR293" s="193"/>
      <c r="BS293" s="193"/>
      <c r="BT293" s="193"/>
      <c r="BU293" s="193"/>
      <c r="BV293" s="193"/>
      <c r="BW293" s="193"/>
      <c r="BX293" s="193"/>
      <c r="BY293" s="193"/>
      <c r="BZ293" s="193"/>
      <c r="CA293" s="193"/>
      <c r="CB293" s="193">
        <v>414.75</v>
      </c>
      <c r="CC293" s="231">
        <f t="shared" si="848"/>
        <v>25650</v>
      </c>
    </row>
    <row r="294" spans="2:81" x14ac:dyDescent="0.25">
      <c r="B294" s="155">
        <v>25700</v>
      </c>
      <c r="C294" s="147">
        <f t="shared" si="829"/>
        <v>1009.0477</v>
      </c>
      <c r="D294" s="147">
        <f t="shared" si="830"/>
        <v>3248.1745000000001</v>
      </c>
      <c r="E294" s="147">
        <f t="shared" si="841"/>
        <v>0</v>
      </c>
      <c r="F294" s="147">
        <f t="shared" si="831"/>
        <v>0</v>
      </c>
      <c r="G294" s="147">
        <f t="shared" si="842"/>
        <v>0</v>
      </c>
      <c r="H294" s="147">
        <f t="shared" si="843"/>
        <v>0</v>
      </c>
      <c r="I294" s="147">
        <f t="shared" si="844"/>
        <v>0</v>
      </c>
      <c r="J294" s="156">
        <f t="shared" si="845"/>
        <v>0</v>
      </c>
      <c r="K294" s="157">
        <f t="shared" si="846"/>
        <v>397.26</v>
      </c>
      <c r="L294" s="151">
        <f t="shared" si="742"/>
        <v>2528</v>
      </c>
      <c r="M294" s="147">
        <f t="shared" si="743"/>
        <v>6382</v>
      </c>
      <c r="N294" s="147"/>
      <c r="O294" s="147">
        <f t="shared" si="769"/>
        <v>0</v>
      </c>
      <c r="P294" s="147">
        <f t="shared" si="744"/>
        <v>0</v>
      </c>
      <c r="Q294" s="147">
        <f t="shared" si="745"/>
        <v>0</v>
      </c>
      <c r="R294" s="147">
        <f t="shared" si="746"/>
        <v>0</v>
      </c>
      <c r="S294" s="147">
        <f t="shared" si="747"/>
        <v>0</v>
      </c>
      <c r="T294" s="147">
        <f t="shared" si="849"/>
        <v>2256</v>
      </c>
      <c r="V294" s="146"/>
      <c r="W294" s="147"/>
      <c r="X294" s="147"/>
      <c r="Y294" s="147"/>
      <c r="Z294" s="147"/>
      <c r="AA294" s="147"/>
      <c r="AB294" s="147"/>
      <c r="AC294" s="147"/>
      <c r="AD294" s="148"/>
      <c r="AF294" s="155">
        <f t="shared" si="847"/>
        <v>25700</v>
      </c>
      <c r="AG294" s="185">
        <v>70.288300000000007</v>
      </c>
      <c r="AH294" s="185">
        <v>99.655500000000004</v>
      </c>
      <c r="AI294" s="78">
        <v>839.10389999999995</v>
      </c>
      <c r="AJ294" s="78"/>
      <c r="AK294" s="78"/>
      <c r="AL294" s="78"/>
      <c r="AM294" s="78"/>
      <c r="AN294" s="78"/>
      <c r="AO294" s="78"/>
      <c r="AP294" s="78"/>
      <c r="AQ294" s="78"/>
      <c r="AR294" s="78"/>
      <c r="AS294" s="78"/>
      <c r="AT294" s="78"/>
      <c r="AU294" s="78"/>
      <c r="AV294" s="78"/>
      <c r="AW294" s="78"/>
      <c r="AX294" s="185">
        <v>70.288300000000007</v>
      </c>
      <c r="AY294" s="185">
        <v>99.655500000000004</v>
      </c>
      <c r="AZ294" s="78">
        <v>3057.5381000000002</v>
      </c>
      <c r="BA294" s="78">
        <v>20.692599999999999</v>
      </c>
      <c r="BB294" s="78"/>
      <c r="BC294" s="78"/>
      <c r="BD294" s="78"/>
      <c r="BE294" s="78"/>
      <c r="BF294" s="78"/>
      <c r="BG294" s="78"/>
      <c r="BH294" s="78"/>
      <c r="BI294" s="78"/>
      <c r="BJ294" s="78"/>
      <c r="BK294" s="78"/>
      <c r="BL294" s="78"/>
      <c r="BM294" s="78"/>
      <c r="BN294" s="78"/>
      <c r="BO294" s="78"/>
      <c r="BP294" s="78"/>
      <c r="BQ294" s="78"/>
      <c r="BR294" s="78"/>
      <c r="BS294" s="78"/>
      <c r="BT294" s="78"/>
      <c r="BU294" s="78"/>
      <c r="BV294" s="78"/>
      <c r="BW294" s="78"/>
      <c r="BX294" s="78"/>
      <c r="BY294" s="78"/>
      <c r="BZ294" s="78"/>
      <c r="CA294" s="78"/>
      <c r="CB294" s="78">
        <v>397.26</v>
      </c>
      <c r="CC294" s="231">
        <f t="shared" si="848"/>
        <v>25700</v>
      </c>
    </row>
    <row r="295" spans="2:81" s="3" customFormat="1" ht="15.75" thickBot="1" x14ac:dyDescent="0.3">
      <c r="B295" s="158">
        <v>25750</v>
      </c>
      <c r="C295" s="144">
        <f t="shared" si="829"/>
        <v>967.1717000000001</v>
      </c>
      <c r="D295" s="144">
        <f t="shared" si="830"/>
        <v>3103.4547000000002</v>
      </c>
      <c r="E295" s="144">
        <f t="shared" si="841"/>
        <v>0</v>
      </c>
      <c r="F295" s="144">
        <f t="shared" si="831"/>
        <v>0</v>
      </c>
      <c r="G295" s="144">
        <f t="shared" si="842"/>
        <v>0</v>
      </c>
      <c r="H295" s="144">
        <f t="shared" si="843"/>
        <v>0</v>
      </c>
      <c r="I295" s="144">
        <f t="shared" si="844"/>
        <v>0</v>
      </c>
      <c r="J295" s="159">
        <f t="shared" si="845"/>
        <v>0</v>
      </c>
      <c r="K295" s="160">
        <f t="shared" si="846"/>
        <v>429.9</v>
      </c>
      <c r="L295" s="152">
        <f t="shared" si="742"/>
        <v>1830</v>
      </c>
      <c r="M295" s="144">
        <f t="shared" si="743"/>
        <v>5882</v>
      </c>
      <c r="N295" s="144"/>
      <c r="O295" s="144">
        <f t="shared" si="769"/>
        <v>0</v>
      </c>
      <c r="P295" s="144">
        <f t="shared" si="744"/>
        <v>0</v>
      </c>
      <c r="Q295" s="144">
        <f t="shared" si="745"/>
        <v>0</v>
      </c>
      <c r="R295" s="144">
        <f t="shared" si="746"/>
        <v>0</v>
      </c>
      <c r="S295" s="144">
        <f t="shared" si="747"/>
        <v>0</v>
      </c>
      <c r="T295" s="144">
        <f t="shared" si="849"/>
        <v>2298</v>
      </c>
      <c r="V295" s="150">
        <f>L294+L295</f>
        <v>4358</v>
      </c>
      <c r="W295" s="150">
        <f t="shared" ref="W295" si="865">M294+M295</f>
        <v>12264</v>
      </c>
      <c r="X295" s="150"/>
      <c r="Y295" s="150">
        <f t="shared" ref="Y295" si="866">O294+O295</f>
        <v>0</v>
      </c>
      <c r="Z295" s="150">
        <f t="shared" ref="Z295" si="867">P294+P295</f>
        <v>0</v>
      </c>
      <c r="AA295" s="150">
        <f t="shared" ref="AA295" si="868">Q294+Q295</f>
        <v>0</v>
      </c>
      <c r="AB295" s="150">
        <f t="shared" ref="AB295" si="869">R294+R295</f>
        <v>0</v>
      </c>
      <c r="AC295" s="150">
        <f t="shared" ref="AC295" si="870">S294+S295</f>
        <v>0</v>
      </c>
      <c r="AD295" s="150">
        <f t="shared" ref="AD295" si="871">T294+T295</f>
        <v>4554</v>
      </c>
      <c r="AF295" s="158">
        <f t="shared" si="847"/>
        <v>25750</v>
      </c>
      <c r="AG295" s="186">
        <v>183.92410000000001</v>
      </c>
      <c r="AH295" s="149">
        <v>783.24760000000003</v>
      </c>
      <c r="AI295" s="149"/>
      <c r="AJ295" s="149"/>
      <c r="AK295" s="149"/>
      <c r="AL295" s="149"/>
      <c r="AM295" s="149"/>
      <c r="AN295" s="149"/>
      <c r="AO295" s="149"/>
      <c r="AP295" s="149"/>
      <c r="AQ295" s="149"/>
      <c r="AR295" s="149"/>
      <c r="AS295" s="149"/>
      <c r="AT295" s="149"/>
      <c r="AU295" s="149"/>
      <c r="AV295" s="149"/>
      <c r="AW295" s="149"/>
      <c r="AX295" s="186">
        <v>183.92410000000001</v>
      </c>
      <c r="AY295" s="149">
        <v>2895.9612000000002</v>
      </c>
      <c r="AZ295" s="149">
        <v>23.569400000000002</v>
      </c>
      <c r="BA295" s="149"/>
      <c r="BB295" s="149"/>
      <c r="BC295" s="149"/>
      <c r="BD295" s="149"/>
      <c r="BE295" s="149"/>
      <c r="BF295" s="149"/>
      <c r="BG295" s="149"/>
      <c r="BH295" s="149"/>
      <c r="BI295" s="149"/>
      <c r="BJ295" s="149"/>
      <c r="BK295" s="149"/>
      <c r="BL295" s="149"/>
      <c r="BM295" s="149"/>
      <c r="BN295" s="149"/>
      <c r="BO295" s="149"/>
      <c r="BP295" s="149"/>
      <c r="BQ295" s="149"/>
      <c r="BR295" s="149"/>
      <c r="BS295" s="149"/>
      <c r="BT295" s="149"/>
      <c r="BU295" s="149"/>
      <c r="BV295" s="149"/>
      <c r="BW295" s="149"/>
      <c r="BX295" s="149"/>
      <c r="BY295" s="149"/>
      <c r="BZ295" s="149"/>
      <c r="CA295" s="149"/>
      <c r="CB295" s="149">
        <v>429.9</v>
      </c>
      <c r="CC295" s="231">
        <f t="shared" si="848"/>
        <v>25750</v>
      </c>
    </row>
    <row r="296" spans="2:81" x14ac:dyDescent="0.25">
      <c r="B296" s="155">
        <v>25800</v>
      </c>
      <c r="C296" s="147">
        <f t="shared" si="829"/>
        <v>0</v>
      </c>
      <c r="D296" s="147">
        <f t="shared" si="830"/>
        <v>3131.4812999999999</v>
      </c>
      <c r="E296" s="147">
        <f t="shared" si="841"/>
        <v>0</v>
      </c>
      <c r="F296" s="147">
        <f t="shared" si="831"/>
        <v>0</v>
      </c>
      <c r="G296" s="147">
        <f t="shared" si="842"/>
        <v>0</v>
      </c>
      <c r="H296" s="147">
        <f t="shared" si="843"/>
        <v>0</v>
      </c>
      <c r="I296" s="147">
        <f t="shared" si="844"/>
        <v>0</v>
      </c>
      <c r="J296" s="156">
        <f t="shared" si="845"/>
        <v>0</v>
      </c>
      <c r="K296" s="157">
        <f t="shared" si="846"/>
        <v>191.98</v>
      </c>
      <c r="L296" s="151">
        <f t="shared" si="742"/>
        <v>896</v>
      </c>
      <c r="M296" s="147">
        <f t="shared" si="743"/>
        <v>5774</v>
      </c>
      <c r="N296" s="147"/>
      <c r="O296" s="147">
        <f t="shared" si="769"/>
        <v>0</v>
      </c>
      <c r="P296" s="147">
        <f t="shared" si="744"/>
        <v>0</v>
      </c>
      <c r="Q296" s="147">
        <f t="shared" si="745"/>
        <v>0</v>
      </c>
      <c r="R296" s="147">
        <f t="shared" si="746"/>
        <v>0</v>
      </c>
      <c r="S296" s="147">
        <f t="shared" si="747"/>
        <v>0</v>
      </c>
      <c r="T296" s="147">
        <f t="shared" si="849"/>
        <v>1728</v>
      </c>
      <c r="V296" s="146"/>
      <c r="W296" s="147"/>
      <c r="X296" s="147"/>
      <c r="Y296" s="147"/>
      <c r="Z296" s="147"/>
      <c r="AA296" s="147"/>
      <c r="AB296" s="147"/>
      <c r="AC296" s="147"/>
      <c r="AD296" s="148"/>
      <c r="AF296" s="155">
        <f t="shared" si="847"/>
        <v>25800</v>
      </c>
      <c r="AG296" s="78"/>
      <c r="AH296" s="78"/>
      <c r="AI296" s="78"/>
      <c r="AJ296" s="78"/>
      <c r="AK296" s="78"/>
      <c r="AL296" s="78"/>
      <c r="AM296" s="78"/>
      <c r="AN296" s="78"/>
      <c r="AO296" s="78"/>
      <c r="AP296" s="78"/>
      <c r="AQ296" s="78"/>
      <c r="AR296" s="78"/>
      <c r="AS296" s="78"/>
      <c r="AT296" s="78"/>
      <c r="AU296" s="78"/>
      <c r="AV296" s="78"/>
      <c r="AW296" s="78"/>
      <c r="AX296" s="78">
        <v>3110.5367000000001</v>
      </c>
      <c r="AY296" s="78">
        <v>20.944600000000001</v>
      </c>
      <c r="AZ296" s="78"/>
      <c r="BA296" s="78"/>
      <c r="BB296" s="78"/>
      <c r="BC296" s="78"/>
      <c r="BD296" s="78"/>
      <c r="BE296" s="78"/>
      <c r="BF296" s="78"/>
      <c r="BG296" s="78"/>
      <c r="BH296" s="78"/>
      <c r="BI296" s="78"/>
      <c r="BJ296" s="78"/>
      <c r="BK296" s="78"/>
      <c r="BL296" s="78"/>
      <c r="BM296" s="78"/>
      <c r="BN296" s="78"/>
      <c r="BO296" s="78"/>
      <c r="BP296" s="78"/>
      <c r="BQ296" s="78"/>
      <c r="BR296" s="78"/>
      <c r="BS296" s="78"/>
      <c r="BT296" s="78"/>
      <c r="BU296" s="78"/>
      <c r="BV296" s="78"/>
      <c r="BW296" s="78"/>
      <c r="BX296" s="78"/>
      <c r="BY296" s="78"/>
      <c r="BZ296" s="78"/>
      <c r="CA296" s="78"/>
      <c r="CB296" s="78">
        <v>191.98</v>
      </c>
      <c r="CC296" s="231">
        <f t="shared" si="848"/>
        <v>25800</v>
      </c>
    </row>
    <row r="297" spans="2:81" x14ac:dyDescent="0.25">
      <c r="B297" s="57">
        <v>25850</v>
      </c>
      <c r="C297" s="58">
        <f t="shared" si="829"/>
        <v>9.1000000000000004E-3</v>
      </c>
      <c r="D297" s="58">
        <f t="shared" si="830"/>
        <v>2981.2271999999998</v>
      </c>
      <c r="E297" s="58">
        <f t="shared" si="841"/>
        <v>0</v>
      </c>
      <c r="F297" s="58">
        <f t="shared" si="831"/>
        <v>0</v>
      </c>
      <c r="G297" s="58">
        <f t="shared" si="842"/>
        <v>0</v>
      </c>
      <c r="H297" s="58">
        <f t="shared" si="843"/>
        <v>0</v>
      </c>
      <c r="I297" s="58">
        <f t="shared" si="844"/>
        <v>0</v>
      </c>
      <c r="J297" s="51">
        <f t="shared" si="845"/>
        <v>0</v>
      </c>
      <c r="K297" s="99">
        <f t="shared" si="846"/>
        <v>187.71</v>
      </c>
      <c r="L297" s="105">
        <f t="shared" si="742"/>
        <v>1</v>
      </c>
      <c r="M297" s="58">
        <f t="shared" si="743"/>
        <v>5660</v>
      </c>
      <c r="N297" s="58"/>
      <c r="O297" s="58">
        <f t="shared" si="769"/>
        <v>0</v>
      </c>
      <c r="P297" s="58">
        <f t="shared" si="744"/>
        <v>0</v>
      </c>
      <c r="Q297" s="58">
        <f t="shared" si="745"/>
        <v>0</v>
      </c>
      <c r="R297" s="58">
        <f t="shared" si="746"/>
        <v>0</v>
      </c>
      <c r="S297" s="58">
        <f t="shared" si="747"/>
        <v>0</v>
      </c>
      <c r="T297" s="58">
        <f t="shared" si="849"/>
        <v>1055</v>
      </c>
      <c r="V297" s="137"/>
      <c r="W297" s="58"/>
      <c r="X297" s="58"/>
      <c r="Y297" s="58"/>
      <c r="Z297" s="58"/>
      <c r="AA297" s="58"/>
      <c r="AB297" s="58"/>
      <c r="AC297" s="58"/>
      <c r="AD297" s="138"/>
      <c r="AF297" s="57">
        <f t="shared" si="847"/>
        <v>25850</v>
      </c>
      <c r="AG297" s="49">
        <v>9.1000000000000004E-3</v>
      </c>
      <c r="AH297" s="49"/>
      <c r="AI297" s="49"/>
      <c r="AJ297" s="49"/>
      <c r="AK297" s="49"/>
      <c r="AL297" s="49"/>
      <c r="AM297" s="49"/>
      <c r="AN297" s="49"/>
      <c r="AO297" s="49"/>
      <c r="AP297" s="49"/>
      <c r="AQ297" s="49"/>
      <c r="AR297" s="49"/>
      <c r="AS297" s="49"/>
      <c r="AT297" s="49"/>
      <c r="AU297" s="49"/>
      <c r="AV297" s="49"/>
      <c r="AW297" s="49"/>
      <c r="AX297" s="49">
        <v>2957.1947</v>
      </c>
      <c r="AY297" s="49">
        <v>0.66069999999999995</v>
      </c>
      <c r="AZ297" s="49">
        <v>23.3718</v>
      </c>
      <c r="BA297" s="49"/>
      <c r="BB297" s="49"/>
      <c r="BC297" s="49"/>
      <c r="BD297" s="49"/>
      <c r="BE297" s="49"/>
      <c r="BF297" s="49"/>
      <c r="BG297" s="49"/>
      <c r="BH297" s="49"/>
      <c r="BI297" s="49"/>
      <c r="BJ297" s="49"/>
      <c r="BK297" s="49"/>
      <c r="BL297" s="49"/>
      <c r="BM297" s="49"/>
      <c r="BN297" s="49"/>
      <c r="BO297" s="49"/>
      <c r="BP297" s="49"/>
      <c r="BQ297" s="49"/>
      <c r="BR297" s="49"/>
      <c r="BS297" s="49"/>
      <c r="BT297" s="49"/>
      <c r="BU297" s="49"/>
      <c r="BV297" s="49"/>
      <c r="BW297" s="49"/>
      <c r="BX297" s="49"/>
      <c r="BY297" s="49"/>
      <c r="BZ297" s="49"/>
      <c r="CA297" s="49"/>
      <c r="CB297" s="49">
        <v>187.71</v>
      </c>
      <c r="CC297" s="231">
        <f t="shared" si="848"/>
        <v>25850</v>
      </c>
    </row>
    <row r="298" spans="2:81" s="3" customFormat="1" ht="15.75" thickBot="1" x14ac:dyDescent="0.3">
      <c r="B298" s="158">
        <v>25900</v>
      </c>
      <c r="C298" s="144">
        <f t="shared" si="829"/>
        <v>18.471599999999999</v>
      </c>
      <c r="D298" s="144">
        <f t="shared" si="830"/>
        <v>2751.8340000000003</v>
      </c>
      <c r="E298" s="144">
        <f t="shared" si="841"/>
        <v>0</v>
      </c>
      <c r="F298" s="144">
        <f t="shared" si="831"/>
        <v>0</v>
      </c>
      <c r="G298" s="144">
        <f t="shared" si="842"/>
        <v>0</v>
      </c>
      <c r="H298" s="144">
        <f t="shared" si="843"/>
        <v>0</v>
      </c>
      <c r="I298" s="144">
        <f t="shared" si="844"/>
        <v>0</v>
      </c>
      <c r="J298" s="159">
        <f t="shared" si="845"/>
        <v>0</v>
      </c>
      <c r="K298" s="160">
        <f t="shared" si="846"/>
        <v>201</v>
      </c>
      <c r="L298" s="152">
        <f t="shared" si="742"/>
        <v>18</v>
      </c>
      <c r="M298" s="144">
        <f t="shared" si="743"/>
        <v>5309</v>
      </c>
      <c r="N298" s="144"/>
      <c r="O298" s="144">
        <f t="shared" si="769"/>
        <v>0</v>
      </c>
      <c r="P298" s="144">
        <f t="shared" si="744"/>
        <v>0</v>
      </c>
      <c r="Q298" s="144">
        <f t="shared" si="745"/>
        <v>0</v>
      </c>
      <c r="R298" s="144">
        <f t="shared" si="746"/>
        <v>0</v>
      </c>
      <c r="S298" s="144">
        <f t="shared" si="747"/>
        <v>0</v>
      </c>
      <c r="T298" s="144">
        <f t="shared" si="849"/>
        <v>1080</v>
      </c>
      <c r="V298" s="150">
        <f>L296+L297+L298</f>
        <v>915</v>
      </c>
      <c r="W298" s="150">
        <f t="shared" ref="W298" si="872">M296+M297+M298</f>
        <v>16743</v>
      </c>
      <c r="X298" s="150"/>
      <c r="Y298" s="150">
        <f t="shared" ref="Y298" si="873">O296+O297+O298</f>
        <v>0</v>
      </c>
      <c r="Z298" s="150">
        <f t="shared" ref="Z298" si="874">P296+P297+P298</f>
        <v>0</v>
      </c>
      <c r="AA298" s="150">
        <f t="shared" ref="AA298" si="875">Q296+Q297+Q298</f>
        <v>0</v>
      </c>
      <c r="AB298" s="150">
        <f t="shared" ref="AB298" si="876">R296+R297+R298</f>
        <v>0</v>
      </c>
      <c r="AC298" s="150">
        <f t="shared" ref="AC298" si="877">S296+S297+S298</f>
        <v>0</v>
      </c>
      <c r="AD298" s="150">
        <f t="shared" ref="AD298" si="878">T296+T297+T298</f>
        <v>3863</v>
      </c>
      <c r="AF298" s="158">
        <f t="shared" si="847"/>
        <v>25900</v>
      </c>
      <c r="AG298" s="149">
        <v>18.471599999999999</v>
      </c>
      <c r="AH298" s="149"/>
      <c r="AI298" s="149"/>
      <c r="AJ298" s="149"/>
      <c r="AK298" s="149"/>
      <c r="AL298" s="149"/>
      <c r="AM298" s="149"/>
      <c r="AN298" s="149"/>
      <c r="AO298" s="149"/>
      <c r="AP298" s="149"/>
      <c r="AQ298" s="149"/>
      <c r="AR298" s="149"/>
      <c r="AS298" s="149"/>
      <c r="AT298" s="149"/>
      <c r="AU298" s="149"/>
      <c r="AV298" s="149"/>
      <c r="AW298" s="149"/>
      <c r="AX298" s="149">
        <v>2731.0493000000001</v>
      </c>
      <c r="AY298" s="149">
        <v>20.784700000000001</v>
      </c>
      <c r="AZ298" s="149"/>
      <c r="BA298" s="149"/>
      <c r="BB298" s="149"/>
      <c r="BC298" s="149"/>
      <c r="BD298" s="149"/>
      <c r="BE298" s="149"/>
      <c r="BF298" s="149"/>
      <c r="BG298" s="149"/>
      <c r="BH298" s="149"/>
      <c r="BI298" s="149"/>
      <c r="BJ298" s="149"/>
      <c r="BK298" s="149"/>
      <c r="BL298" s="149"/>
      <c r="BM298" s="149"/>
      <c r="BN298" s="149"/>
      <c r="BO298" s="149"/>
      <c r="BP298" s="149"/>
      <c r="BQ298" s="149"/>
      <c r="BR298" s="149"/>
      <c r="BS298" s="149"/>
      <c r="BT298" s="149"/>
      <c r="BU298" s="149"/>
      <c r="BV298" s="149"/>
      <c r="BW298" s="149"/>
      <c r="BX298" s="149"/>
      <c r="BY298" s="149"/>
      <c r="BZ298" s="149"/>
      <c r="CA298" s="149"/>
      <c r="CB298" s="149">
        <v>201</v>
      </c>
      <c r="CC298" s="231">
        <f t="shared" si="848"/>
        <v>25900</v>
      </c>
    </row>
    <row r="299" spans="2:81" x14ac:dyDescent="0.25">
      <c r="B299" s="155">
        <v>25950</v>
      </c>
      <c r="C299" s="147">
        <f t="shared" si="829"/>
        <v>115.8006</v>
      </c>
      <c r="D299" s="147">
        <f t="shared" si="830"/>
        <v>2742.8236999999995</v>
      </c>
      <c r="E299" s="147">
        <f t="shared" si="841"/>
        <v>0</v>
      </c>
      <c r="F299" s="147">
        <f t="shared" si="831"/>
        <v>0</v>
      </c>
      <c r="G299" s="147">
        <f t="shared" si="842"/>
        <v>0</v>
      </c>
      <c r="H299" s="147">
        <f t="shared" si="843"/>
        <v>0</v>
      </c>
      <c r="I299" s="147">
        <f t="shared" si="844"/>
        <v>0</v>
      </c>
      <c r="J299" s="156">
        <f t="shared" si="845"/>
        <v>0</v>
      </c>
      <c r="K299" s="157">
        <f t="shared" si="846"/>
        <v>179.51</v>
      </c>
      <c r="L299" s="151">
        <f t="shared" si="742"/>
        <v>125</v>
      </c>
      <c r="M299" s="147">
        <f t="shared" si="743"/>
        <v>5088</v>
      </c>
      <c r="N299" s="147"/>
      <c r="O299" s="147">
        <f t="shared" si="769"/>
        <v>0</v>
      </c>
      <c r="P299" s="147">
        <f t="shared" si="744"/>
        <v>0</v>
      </c>
      <c r="Q299" s="147">
        <f t="shared" si="745"/>
        <v>0</v>
      </c>
      <c r="R299" s="147">
        <f t="shared" si="746"/>
        <v>0</v>
      </c>
      <c r="S299" s="147">
        <f t="shared" si="747"/>
        <v>0</v>
      </c>
      <c r="T299" s="147">
        <f t="shared" si="849"/>
        <v>1057</v>
      </c>
      <c r="V299" s="146"/>
      <c r="W299" s="147"/>
      <c r="X299" s="147"/>
      <c r="Y299" s="147"/>
      <c r="Z299" s="147"/>
      <c r="AA299" s="147"/>
      <c r="AB299" s="147"/>
      <c r="AC299" s="147"/>
      <c r="AD299" s="148"/>
      <c r="AF299" s="155">
        <f t="shared" si="847"/>
        <v>25950</v>
      </c>
      <c r="AG299" s="185">
        <v>103.0586</v>
      </c>
      <c r="AH299" s="78">
        <v>12.742000000000001</v>
      </c>
      <c r="AI299" s="78"/>
      <c r="AJ299" s="78"/>
      <c r="AK299" s="78"/>
      <c r="AL299" s="78"/>
      <c r="AM299" s="78"/>
      <c r="AN299" s="78"/>
      <c r="AO299" s="78"/>
      <c r="AP299" s="78"/>
      <c r="AQ299" s="78"/>
      <c r="AR299" s="78"/>
      <c r="AS299" s="78"/>
      <c r="AT299" s="78"/>
      <c r="AU299" s="78"/>
      <c r="AV299" s="78"/>
      <c r="AW299" s="78"/>
      <c r="AX299" s="185">
        <v>103.0586</v>
      </c>
      <c r="AY299" s="78">
        <v>2617.1790999999998</v>
      </c>
      <c r="AZ299" s="78">
        <v>22.585999999999999</v>
      </c>
      <c r="BA299" s="78"/>
      <c r="BB299" s="78"/>
      <c r="BC299" s="78"/>
      <c r="BD299" s="78"/>
      <c r="BE299" s="78"/>
      <c r="BF299" s="78"/>
      <c r="BG299" s="78"/>
      <c r="BH299" s="78"/>
      <c r="BI299" s="78"/>
      <c r="BJ299" s="78"/>
      <c r="BK299" s="78"/>
      <c r="BL299" s="78"/>
      <c r="BM299" s="78"/>
      <c r="BN299" s="78"/>
      <c r="BO299" s="78"/>
      <c r="BP299" s="78"/>
      <c r="BQ299" s="78"/>
      <c r="BR299" s="78"/>
      <c r="BS299" s="78"/>
      <c r="BT299" s="78"/>
      <c r="BU299" s="78"/>
      <c r="BV299" s="78"/>
      <c r="BW299" s="78"/>
      <c r="BX299" s="78"/>
      <c r="BY299" s="78"/>
      <c r="BZ299" s="78"/>
      <c r="CA299" s="78"/>
      <c r="CB299" s="78">
        <v>179.51</v>
      </c>
      <c r="CC299" s="231">
        <f t="shared" si="848"/>
        <v>25950</v>
      </c>
    </row>
    <row r="300" spans="2:81" x14ac:dyDescent="0.25">
      <c r="B300" s="57">
        <v>26000</v>
      </c>
      <c r="C300" s="58">
        <f t="shared" si="829"/>
        <v>46.312199999999997</v>
      </c>
      <c r="D300" s="58">
        <f t="shared" si="830"/>
        <v>2920.7044000000001</v>
      </c>
      <c r="E300" s="58">
        <f t="shared" si="841"/>
        <v>0</v>
      </c>
      <c r="F300" s="58">
        <f t="shared" si="831"/>
        <v>0</v>
      </c>
      <c r="G300" s="58">
        <f t="shared" si="842"/>
        <v>0</v>
      </c>
      <c r="H300" s="58">
        <f t="shared" si="843"/>
        <v>0</v>
      </c>
      <c r="I300" s="58">
        <f t="shared" si="844"/>
        <v>0</v>
      </c>
      <c r="J300" s="51">
        <f t="shared" si="845"/>
        <v>0</v>
      </c>
      <c r="K300" s="99">
        <f t="shared" si="846"/>
        <v>175.17</v>
      </c>
      <c r="L300" s="105">
        <f t="shared" si="742"/>
        <v>151</v>
      </c>
      <c r="M300" s="58">
        <f t="shared" si="743"/>
        <v>5245</v>
      </c>
      <c r="N300" s="58"/>
      <c r="O300" s="58">
        <f t="shared" si="769"/>
        <v>0</v>
      </c>
      <c r="P300" s="58">
        <f t="shared" si="744"/>
        <v>0</v>
      </c>
      <c r="Q300" s="58">
        <f t="shared" si="745"/>
        <v>0</v>
      </c>
      <c r="R300" s="58">
        <f t="shared" si="746"/>
        <v>0</v>
      </c>
      <c r="S300" s="58">
        <f t="shared" si="747"/>
        <v>0</v>
      </c>
      <c r="T300" s="58">
        <f t="shared" si="849"/>
        <v>986</v>
      </c>
      <c r="V300" s="137"/>
      <c r="W300" s="58"/>
      <c r="X300" s="58"/>
      <c r="Y300" s="58"/>
      <c r="Z300" s="58"/>
      <c r="AA300" s="58"/>
      <c r="AB300" s="58"/>
      <c r="AC300" s="58"/>
      <c r="AD300" s="138"/>
      <c r="AF300" s="57">
        <f t="shared" si="847"/>
        <v>26000</v>
      </c>
      <c r="AG300" s="115">
        <v>45.467199999999998</v>
      </c>
      <c r="AH300" s="49">
        <v>0.84499999999999997</v>
      </c>
      <c r="AI300" s="49"/>
      <c r="AJ300" s="49"/>
      <c r="AK300" s="49"/>
      <c r="AL300" s="49"/>
      <c r="AM300" s="49"/>
      <c r="AN300" s="49"/>
      <c r="AO300" s="49"/>
      <c r="AP300" s="49"/>
      <c r="AQ300" s="49"/>
      <c r="AR300" s="49"/>
      <c r="AS300" s="49"/>
      <c r="AT300" s="49"/>
      <c r="AU300" s="49"/>
      <c r="AV300" s="49"/>
      <c r="AW300" s="49"/>
      <c r="AX300" s="115">
        <v>45.467199999999998</v>
      </c>
      <c r="AY300" s="49">
        <v>2855.3380000000002</v>
      </c>
      <c r="AZ300" s="49">
        <v>19.8992</v>
      </c>
      <c r="BA300" s="49"/>
      <c r="BB300" s="49"/>
      <c r="BC300" s="49"/>
      <c r="BD300" s="49"/>
      <c r="BE300" s="49"/>
      <c r="BF300" s="49"/>
      <c r="BG300" s="49"/>
      <c r="BH300" s="49"/>
      <c r="BI300" s="49"/>
      <c r="BJ300" s="49"/>
      <c r="BK300" s="49"/>
      <c r="BL300" s="49"/>
      <c r="BM300" s="49"/>
      <c r="BN300" s="49"/>
      <c r="BO300" s="49"/>
      <c r="BP300" s="49"/>
      <c r="BQ300" s="49"/>
      <c r="BR300" s="49"/>
      <c r="BS300" s="49"/>
      <c r="BT300" s="49"/>
      <c r="BU300" s="49"/>
      <c r="BV300" s="49"/>
      <c r="BW300" s="49"/>
      <c r="BX300" s="49"/>
      <c r="BY300" s="49"/>
      <c r="BZ300" s="49"/>
      <c r="CA300" s="49"/>
      <c r="CB300" s="49">
        <v>175.17</v>
      </c>
      <c r="CC300" s="231">
        <f t="shared" si="848"/>
        <v>26000</v>
      </c>
    </row>
    <row r="301" spans="2:81" s="3" customFormat="1" ht="15.75" thickBot="1" x14ac:dyDescent="0.3">
      <c r="B301" s="158">
        <v>26050</v>
      </c>
      <c r="C301" s="144">
        <f t="shared" si="829"/>
        <v>0</v>
      </c>
      <c r="D301" s="144">
        <f t="shared" si="830"/>
        <v>3384.3825999999999</v>
      </c>
      <c r="E301" s="144">
        <f t="shared" si="841"/>
        <v>0</v>
      </c>
      <c r="F301" s="144">
        <f t="shared" si="831"/>
        <v>0</v>
      </c>
      <c r="G301" s="144">
        <f t="shared" si="842"/>
        <v>0</v>
      </c>
      <c r="H301" s="144">
        <f t="shared" si="843"/>
        <v>0</v>
      </c>
      <c r="I301" s="144">
        <f t="shared" si="844"/>
        <v>0</v>
      </c>
      <c r="J301" s="159">
        <f t="shared" si="845"/>
        <v>0</v>
      </c>
      <c r="K301" s="160">
        <f t="shared" si="846"/>
        <v>182.36</v>
      </c>
      <c r="L301" s="152">
        <f t="shared" si="742"/>
        <v>43</v>
      </c>
      <c r="M301" s="144">
        <f t="shared" si="743"/>
        <v>5839</v>
      </c>
      <c r="N301" s="144"/>
      <c r="O301" s="144">
        <f t="shared" si="769"/>
        <v>0</v>
      </c>
      <c r="P301" s="144">
        <f t="shared" si="744"/>
        <v>0</v>
      </c>
      <c r="Q301" s="144">
        <f t="shared" si="745"/>
        <v>0</v>
      </c>
      <c r="R301" s="144">
        <f t="shared" si="746"/>
        <v>0</v>
      </c>
      <c r="S301" s="144">
        <f t="shared" si="747"/>
        <v>0</v>
      </c>
      <c r="T301" s="144">
        <f t="shared" si="849"/>
        <v>994</v>
      </c>
      <c r="V301" s="150">
        <f>L299+L300+L301</f>
        <v>319</v>
      </c>
      <c r="W301" s="150">
        <f t="shared" ref="W301" si="879">M299+M300+M301</f>
        <v>16172</v>
      </c>
      <c r="X301" s="150"/>
      <c r="Y301" s="150">
        <f t="shared" ref="Y301" si="880">O299+O300+O301</f>
        <v>0</v>
      </c>
      <c r="Z301" s="150">
        <f t="shared" ref="Z301" si="881">P299+P300+P301</f>
        <v>0</v>
      </c>
      <c r="AA301" s="150">
        <f t="shared" ref="AA301" si="882">Q299+Q300+Q301</f>
        <v>0</v>
      </c>
      <c r="AB301" s="150">
        <f t="shared" ref="AB301" si="883">R299+R300+R301</f>
        <v>0</v>
      </c>
      <c r="AC301" s="150">
        <f t="shared" ref="AC301" si="884">S299+S300+S301</f>
        <v>0</v>
      </c>
      <c r="AD301" s="150">
        <f t="shared" ref="AD301" si="885">T299+T300+T301</f>
        <v>3037</v>
      </c>
      <c r="AF301" s="158">
        <f t="shared" si="847"/>
        <v>26050</v>
      </c>
      <c r="AG301" s="149"/>
      <c r="AH301" s="149"/>
      <c r="AI301" s="149"/>
      <c r="AJ301" s="149"/>
      <c r="AK301" s="149"/>
      <c r="AL301" s="149"/>
      <c r="AM301" s="149"/>
      <c r="AN301" s="149"/>
      <c r="AO301" s="149"/>
      <c r="AP301" s="149"/>
      <c r="AQ301" s="149"/>
      <c r="AR301" s="149"/>
      <c r="AS301" s="149"/>
      <c r="AT301" s="149"/>
      <c r="AU301" s="149"/>
      <c r="AV301" s="149"/>
      <c r="AW301" s="149"/>
      <c r="AX301" s="149">
        <v>3364.9391999999998</v>
      </c>
      <c r="AY301" s="149">
        <v>19.4434</v>
      </c>
      <c r="AZ301" s="149"/>
      <c r="BA301" s="149"/>
      <c r="BB301" s="149"/>
      <c r="BC301" s="149"/>
      <c r="BD301" s="149"/>
      <c r="BE301" s="149"/>
      <c r="BF301" s="149"/>
      <c r="BG301" s="149"/>
      <c r="BH301" s="149"/>
      <c r="BI301" s="149"/>
      <c r="BJ301" s="149"/>
      <c r="BK301" s="149"/>
      <c r="BL301" s="149"/>
      <c r="BM301" s="149"/>
      <c r="BN301" s="149"/>
      <c r="BO301" s="149"/>
      <c r="BP301" s="149"/>
      <c r="BQ301" s="149"/>
      <c r="BR301" s="149"/>
      <c r="BS301" s="149"/>
      <c r="BT301" s="149"/>
      <c r="BU301" s="149"/>
      <c r="BV301" s="149"/>
      <c r="BW301" s="149"/>
      <c r="BX301" s="149"/>
      <c r="BY301" s="149"/>
      <c r="BZ301" s="149"/>
      <c r="CA301" s="149"/>
      <c r="CB301" s="149">
        <v>182.36</v>
      </c>
      <c r="CC301" s="231">
        <f t="shared" si="848"/>
        <v>26050</v>
      </c>
    </row>
    <row r="302" spans="2:81" x14ac:dyDescent="0.25">
      <c r="B302" s="155">
        <v>26100</v>
      </c>
      <c r="C302" s="147">
        <f t="shared" si="829"/>
        <v>0</v>
      </c>
      <c r="D302" s="147">
        <f t="shared" si="830"/>
        <v>3224.1057999999998</v>
      </c>
      <c r="E302" s="147">
        <f t="shared" si="841"/>
        <v>0</v>
      </c>
      <c r="F302" s="147">
        <f t="shared" si="831"/>
        <v>0</v>
      </c>
      <c r="G302" s="147">
        <f t="shared" si="842"/>
        <v>0</v>
      </c>
      <c r="H302" s="147">
        <f t="shared" si="843"/>
        <v>0</v>
      </c>
      <c r="I302" s="147">
        <f t="shared" si="844"/>
        <v>0</v>
      </c>
      <c r="J302" s="156">
        <f t="shared" si="845"/>
        <v>0</v>
      </c>
      <c r="K302" s="157">
        <f t="shared" si="846"/>
        <v>179.47</v>
      </c>
      <c r="L302" s="151">
        <f t="shared" si="742"/>
        <v>0</v>
      </c>
      <c r="M302" s="147">
        <f t="shared" si="743"/>
        <v>6119</v>
      </c>
      <c r="N302" s="147"/>
      <c r="O302" s="147">
        <f t="shared" si="769"/>
        <v>0</v>
      </c>
      <c r="P302" s="147">
        <f t="shared" si="744"/>
        <v>0</v>
      </c>
      <c r="Q302" s="147">
        <f t="shared" si="745"/>
        <v>0</v>
      </c>
      <c r="R302" s="147">
        <f t="shared" si="746"/>
        <v>0</v>
      </c>
      <c r="S302" s="147">
        <f t="shared" si="747"/>
        <v>0</v>
      </c>
      <c r="T302" s="147">
        <f t="shared" si="849"/>
        <v>1006</v>
      </c>
      <c r="V302" s="146"/>
      <c r="W302" s="147"/>
      <c r="X302" s="147"/>
      <c r="Y302" s="147"/>
      <c r="Z302" s="147"/>
      <c r="AA302" s="147"/>
      <c r="AB302" s="147"/>
      <c r="AC302" s="147"/>
      <c r="AD302" s="148"/>
      <c r="AF302" s="155">
        <f t="shared" si="847"/>
        <v>26100</v>
      </c>
      <c r="AG302" s="78"/>
      <c r="AH302" s="78"/>
      <c r="AI302" s="78"/>
      <c r="AJ302" s="78"/>
      <c r="AK302" s="78"/>
      <c r="AL302" s="78"/>
      <c r="AM302" s="78"/>
      <c r="AN302" s="78"/>
      <c r="AO302" s="78"/>
      <c r="AP302" s="78"/>
      <c r="AQ302" s="78"/>
      <c r="AR302" s="78"/>
      <c r="AS302" s="78"/>
      <c r="AT302" s="78"/>
      <c r="AU302" s="78"/>
      <c r="AV302" s="78"/>
      <c r="AW302" s="78"/>
      <c r="AX302" s="78">
        <v>3198.1741999999999</v>
      </c>
      <c r="AY302" s="78">
        <v>25.9316</v>
      </c>
      <c r="AZ302" s="78"/>
      <c r="BA302" s="78"/>
      <c r="BB302" s="78"/>
      <c r="BC302" s="78"/>
      <c r="BD302" s="78"/>
      <c r="BE302" s="78"/>
      <c r="BF302" s="78"/>
      <c r="BG302" s="78"/>
      <c r="BH302" s="78"/>
      <c r="BI302" s="78"/>
      <c r="BJ302" s="78"/>
      <c r="BK302" s="78"/>
      <c r="BL302" s="78"/>
      <c r="BM302" s="78"/>
      <c r="BN302" s="78"/>
      <c r="BO302" s="78"/>
      <c r="BP302" s="78"/>
      <c r="BQ302" s="78"/>
      <c r="BR302" s="78"/>
      <c r="BS302" s="78"/>
      <c r="BT302" s="78"/>
      <c r="BU302" s="78"/>
      <c r="BV302" s="78"/>
      <c r="BW302" s="78"/>
      <c r="BX302" s="78"/>
      <c r="BY302" s="78"/>
      <c r="BZ302" s="78"/>
      <c r="CA302" s="78"/>
      <c r="CB302" s="78">
        <v>179.47</v>
      </c>
      <c r="CC302" s="231">
        <f t="shared" si="848"/>
        <v>26100</v>
      </c>
    </row>
    <row r="303" spans="2:81" x14ac:dyDescent="0.25">
      <c r="B303" s="57">
        <v>26150</v>
      </c>
      <c r="C303" s="58">
        <f t="shared" si="829"/>
        <v>0</v>
      </c>
      <c r="D303" s="58">
        <f t="shared" si="830"/>
        <v>3334.1401999999998</v>
      </c>
      <c r="E303" s="58">
        <f t="shared" si="841"/>
        <v>0</v>
      </c>
      <c r="F303" s="58">
        <f t="shared" si="831"/>
        <v>0</v>
      </c>
      <c r="G303" s="58">
        <f t="shared" si="842"/>
        <v>0</v>
      </c>
      <c r="H303" s="58">
        <f t="shared" si="843"/>
        <v>0</v>
      </c>
      <c r="I303" s="58">
        <f t="shared" si="844"/>
        <v>0</v>
      </c>
      <c r="J303" s="51">
        <f t="shared" si="845"/>
        <v>0</v>
      </c>
      <c r="K303" s="99">
        <f t="shared" si="846"/>
        <v>168.05</v>
      </c>
      <c r="L303" s="105">
        <f t="shared" si="742"/>
        <v>0</v>
      </c>
      <c r="M303" s="58">
        <f t="shared" si="743"/>
        <v>6073</v>
      </c>
      <c r="N303" s="58"/>
      <c r="O303" s="58">
        <f t="shared" si="769"/>
        <v>0</v>
      </c>
      <c r="P303" s="58">
        <f t="shared" si="744"/>
        <v>0</v>
      </c>
      <c r="Q303" s="58">
        <f t="shared" si="745"/>
        <v>0</v>
      </c>
      <c r="R303" s="58">
        <f t="shared" si="746"/>
        <v>0</v>
      </c>
      <c r="S303" s="58">
        <f t="shared" si="747"/>
        <v>0</v>
      </c>
      <c r="T303" s="58">
        <f t="shared" si="849"/>
        <v>966</v>
      </c>
      <c r="V303" s="137"/>
      <c r="W303" s="58"/>
      <c r="X303" s="58"/>
      <c r="Y303" s="58"/>
      <c r="Z303" s="58"/>
      <c r="AA303" s="58"/>
      <c r="AB303" s="58"/>
      <c r="AC303" s="58"/>
      <c r="AD303" s="138"/>
      <c r="AF303" s="57">
        <f t="shared" si="847"/>
        <v>26150</v>
      </c>
      <c r="AG303" s="49"/>
      <c r="AH303" s="49"/>
      <c r="AI303" s="49"/>
      <c r="AJ303" s="49"/>
      <c r="AK303" s="49"/>
      <c r="AL303" s="49"/>
      <c r="AM303" s="49"/>
      <c r="AN303" s="49"/>
      <c r="AO303" s="49"/>
      <c r="AP303" s="49"/>
      <c r="AQ303" s="49"/>
      <c r="AR303" s="49"/>
      <c r="AS303" s="49"/>
      <c r="AT303" s="49"/>
      <c r="AU303" s="49"/>
      <c r="AV303" s="49"/>
      <c r="AW303" s="49"/>
      <c r="AX303" s="49">
        <v>3313.2302</v>
      </c>
      <c r="AY303" s="49">
        <v>20.91</v>
      </c>
      <c r="AZ303" s="49"/>
      <c r="BA303" s="49"/>
      <c r="BB303" s="49"/>
      <c r="BC303" s="49"/>
      <c r="BD303" s="49"/>
      <c r="BE303" s="49"/>
      <c r="BF303" s="49"/>
      <c r="BG303" s="49"/>
      <c r="BH303" s="49"/>
      <c r="BI303" s="49"/>
      <c r="BJ303" s="49"/>
      <c r="BK303" s="49"/>
      <c r="BL303" s="49"/>
      <c r="BM303" s="49"/>
      <c r="BN303" s="49"/>
      <c r="BO303" s="49"/>
      <c r="BP303" s="49"/>
      <c r="BQ303" s="49"/>
      <c r="BR303" s="49"/>
      <c r="BS303" s="49"/>
      <c r="BT303" s="49"/>
      <c r="BU303" s="49"/>
      <c r="BV303" s="49"/>
      <c r="BW303" s="49"/>
      <c r="BX303" s="49"/>
      <c r="BY303" s="49"/>
      <c r="BZ303" s="49"/>
      <c r="CA303" s="49"/>
      <c r="CB303" s="49">
        <v>168.05</v>
      </c>
      <c r="CC303" s="231">
        <f t="shared" si="848"/>
        <v>26150</v>
      </c>
    </row>
    <row r="304" spans="2:81" s="3" customFormat="1" ht="15.75" thickBot="1" x14ac:dyDescent="0.3">
      <c r="B304" s="158">
        <v>26200</v>
      </c>
      <c r="C304" s="144">
        <f t="shared" si="829"/>
        <v>0</v>
      </c>
      <c r="D304" s="144">
        <f t="shared" si="830"/>
        <v>3578.9829</v>
      </c>
      <c r="E304" s="144">
        <f t="shared" si="841"/>
        <v>0</v>
      </c>
      <c r="F304" s="144">
        <f t="shared" si="831"/>
        <v>74.740099999999998</v>
      </c>
      <c r="G304" s="144">
        <f t="shared" si="842"/>
        <v>0</v>
      </c>
      <c r="H304" s="144">
        <f t="shared" si="843"/>
        <v>0</v>
      </c>
      <c r="I304" s="144">
        <f t="shared" si="844"/>
        <v>0</v>
      </c>
      <c r="J304" s="159">
        <f t="shared" si="845"/>
        <v>0</v>
      </c>
      <c r="K304" s="160">
        <f t="shared" si="846"/>
        <v>170.04</v>
      </c>
      <c r="L304" s="152">
        <f t="shared" si="742"/>
        <v>0</v>
      </c>
      <c r="M304" s="144">
        <f t="shared" si="743"/>
        <v>6402</v>
      </c>
      <c r="N304" s="144"/>
      <c r="O304" s="144">
        <f t="shared" si="769"/>
        <v>70</v>
      </c>
      <c r="P304" s="144">
        <f t="shared" si="744"/>
        <v>0</v>
      </c>
      <c r="Q304" s="144">
        <f t="shared" si="745"/>
        <v>0</v>
      </c>
      <c r="R304" s="144">
        <f t="shared" si="746"/>
        <v>0</v>
      </c>
      <c r="S304" s="144">
        <f t="shared" si="747"/>
        <v>0</v>
      </c>
      <c r="T304" s="144">
        <f t="shared" si="849"/>
        <v>940</v>
      </c>
      <c r="V304" s="150">
        <f>L302+L303+L304</f>
        <v>0</v>
      </c>
      <c r="W304" s="150">
        <f t="shared" ref="W304" si="886">M302+M303+M304</f>
        <v>18594</v>
      </c>
      <c r="X304" s="150"/>
      <c r="Y304" s="150">
        <f t="shared" ref="Y304" si="887">O302+O303+O304</f>
        <v>70</v>
      </c>
      <c r="Z304" s="150">
        <f t="shared" ref="Z304" si="888">P302+P303+P304</f>
        <v>0</v>
      </c>
      <c r="AA304" s="150">
        <f t="shared" ref="AA304" si="889">Q302+Q303+Q304</f>
        <v>0</v>
      </c>
      <c r="AB304" s="150">
        <f t="shared" ref="AB304" si="890">R302+R303+R304</f>
        <v>0</v>
      </c>
      <c r="AC304" s="150">
        <f t="shared" ref="AC304" si="891">S302+S303+S304</f>
        <v>0</v>
      </c>
      <c r="AD304" s="150">
        <f t="shared" ref="AD304" si="892">T302+T303+T304</f>
        <v>2912</v>
      </c>
      <c r="AF304" s="158">
        <f t="shared" si="847"/>
        <v>26200</v>
      </c>
      <c r="AG304" s="149"/>
      <c r="AH304" s="149"/>
      <c r="AI304" s="149"/>
      <c r="AJ304" s="149"/>
      <c r="AK304" s="149"/>
      <c r="AL304" s="149"/>
      <c r="AM304" s="149"/>
      <c r="AN304" s="149"/>
      <c r="AO304" s="149"/>
      <c r="AP304" s="149"/>
      <c r="AQ304" s="149"/>
      <c r="AR304" s="149"/>
      <c r="AS304" s="149"/>
      <c r="AT304" s="149"/>
      <c r="AU304" s="149"/>
      <c r="AV304" s="149"/>
      <c r="AW304" s="149"/>
      <c r="AX304" s="149">
        <v>3557.2556</v>
      </c>
      <c r="AY304" s="149">
        <v>21.7273</v>
      </c>
      <c r="AZ304" s="149"/>
      <c r="BA304" s="149"/>
      <c r="BB304" s="149"/>
      <c r="BC304" s="149"/>
      <c r="BD304" s="149"/>
      <c r="BE304" s="149"/>
      <c r="BF304" s="149"/>
      <c r="BG304" s="149"/>
      <c r="BH304" s="149"/>
      <c r="BI304" s="149"/>
      <c r="BJ304" s="149"/>
      <c r="BK304" s="149">
        <v>74.740099999999998</v>
      </c>
      <c r="BL304" s="149"/>
      <c r="BM304" s="149"/>
      <c r="BN304" s="149"/>
      <c r="BO304" s="149"/>
      <c r="BP304" s="149"/>
      <c r="BQ304" s="149"/>
      <c r="BR304" s="149"/>
      <c r="BS304" s="149"/>
      <c r="BT304" s="149"/>
      <c r="BU304" s="149"/>
      <c r="BV304" s="149"/>
      <c r="BW304" s="149"/>
      <c r="BX304" s="149"/>
      <c r="BY304" s="149"/>
      <c r="BZ304" s="149"/>
      <c r="CA304" s="149"/>
      <c r="CB304" s="149">
        <v>170.04</v>
      </c>
      <c r="CC304" s="231">
        <f t="shared" si="848"/>
        <v>26200</v>
      </c>
    </row>
    <row r="305" spans="2:81" x14ac:dyDescent="0.25">
      <c r="B305" s="155">
        <v>26250</v>
      </c>
      <c r="C305" s="147">
        <f t="shared" si="829"/>
        <v>0</v>
      </c>
      <c r="D305" s="147">
        <f t="shared" si="830"/>
        <v>3342.4717000000001</v>
      </c>
      <c r="E305" s="147">
        <f t="shared" si="841"/>
        <v>0</v>
      </c>
      <c r="F305" s="147">
        <f t="shared" si="831"/>
        <v>196.9495</v>
      </c>
      <c r="G305" s="147">
        <f t="shared" si="842"/>
        <v>0</v>
      </c>
      <c r="H305" s="147">
        <f t="shared" si="843"/>
        <v>0</v>
      </c>
      <c r="I305" s="147">
        <f t="shared" si="844"/>
        <v>0</v>
      </c>
      <c r="J305" s="156">
        <f t="shared" si="845"/>
        <v>0</v>
      </c>
      <c r="K305" s="157">
        <f t="shared" si="846"/>
        <v>163.26</v>
      </c>
      <c r="L305" s="151">
        <f t="shared" si="742"/>
        <v>0</v>
      </c>
      <c r="M305" s="147">
        <f t="shared" si="743"/>
        <v>6409</v>
      </c>
      <c r="N305" s="147"/>
      <c r="O305" s="147">
        <f t="shared" si="769"/>
        <v>252</v>
      </c>
      <c r="P305" s="147">
        <f t="shared" si="744"/>
        <v>0</v>
      </c>
      <c r="Q305" s="147">
        <f t="shared" si="745"/>
        <v>0</v>
      </c>
      <c r="R305" s="147">
        <f t="shared" si="746"/>
        <v>0</v>
      </c>
      <c r="S305" s="147">
        <f t="shared" si="747"/>
        <v>0</v>
      </c>
      <c r="T305" s="147">
        <f t="shared" si="849"/>
        <v>926</v>
      </c>
      <c r="V305" s="146"/>
      <c r="W305" s="147"/>
      <c r="X305" s="147"/>
      <c r="Y305" s="147"/>
      <c r="Z305" s="147"/>
      <c r="AA305" s="147"/>
      <c r="AB305" s="147"/>
      <c r="AC305" s="147"/>
      <c r="AD305" s="148"/>
      <c r="AF305" s="155">
        <f t="shared" si="847"/>
        <v>26250</v>
      </c>
      <c r="AG305" s="78"/>
      <c r="AH305" s="78"/>
      <c r="AI305" s="78"/>
      <c r="AJ305" s="78"/>
      <c r="AK305" s="78"/>
      <c r="AL305" s="78"/>
      <c r="AM305" s="78"/>
      <c r="AN305" s="78"/>
      <c r="AO305" s="78"/>
      <c r="AP305" s="78"/>
      <c r="AQ305" s="78"/>
      <c r="AR305" s="78"/>
      <c r="AS305" s="78"/>
      <c r="AT305" s="78"/>
      <c r="AU305" s="78"/>
      <c r="AV305" s="78"/>
      <c r="AW305" s="78"/>
      <c r="AX305" s="78">
        <v>3323.8215</v>
      </c>
      <c r="AY305" s="78">
        <v>18.650200000000002</v>
      </c>
      <c r="AZ305" s="78"/>
      <c r="BA305" s="78"/>
      <c r="BB305" s="78"/>
      <c r="BC305" s="78"/>
      <c r="BD305" s="78"/>
      <c r="BE305" s="78"/>
      <c r="BF305" s="78"/>
      <c r="BG305" s="78"/>
      <c r="BH305" s="78"/>
      <c r="BI305" s="78"/>
      <c r="BJ305" s="78"/>
      <c r="BK305" s="78">
        <v>196.9495</v>
      </c>
      <c r="BL305" s="78"/>
      <c r="BM305" s="78"/>
      <c r="BN305" s="78"/>
      <c r="BO305" s="78"/>
      <c r="BP305" s="78"/>
      <c r="BQ305" s="78"/>
      <c r="BR305" s="78"/>
      <c r="BS305" s="78"/>
      <c r="BT305" s="78"/>
      <c r="BU305" s="78"/>
      <c r="BV305" s="78"/>
      <c r="BW305" s="78"/>
      <c r="BX305" s="78"/>
      <c r="BY305" s="78"/>
      <c r="BZ305" s="78"/>
      <c r="CA305" s="78"/>
      <c r="CB305" s="78">
        <v>163.26</v>
      </c>
      <c r="CC305" s="231">
        <f t="shared" si="848"/>
        <v>26250</v>
      </c>
    </row>
    <row r="306" spans="2:81" x14ac:dyDescent="0.25">
      <c r="B306" s="57">
        <v>26300</v>
      </c>
      <c r="C306" s="58">
        <f t="shared" si="829"/>
        <v>0</v>
      </c>
      <c r="D306" s="58">
        <f t="shared" si="830"/>
        <v>3196.0250999999998</v>
      </c>
      <c r="E306" s="58">
        <f t="shared" si="841"/>
        <v>0</v>
      </c>
      <c r="F306" s="58">
        <f t="shared" si="831"/>
        <v>387.10930000000002</v>
      </c>
      <c r="G306" s="58">
        <f t="shared" si="842"/>
        <v>0</v>
      </c>
      <c r="H306" s="58">
        <f t="shared" si="843"/>
        <v>0</v>
      </c>
      <c r="I306" s="58">
        <f t="shared" si="844"/>
        <v>0</v>
      </c>
      <c r="J306" s="51">
        <f t="shared" si="845"/>
        <v>0</v>
      </c>
      <c r="K306" s="99">
        <f t="shared" si="846"/>
        <v>158.69999999999999</v>
      </c>
      <c r="L306" s="105">
        <f t="shared" si="742"/>
        <v>0</v>
      </c>
      <c r="M306" s="58">
        <f t="shared" si="743"/>
        <v>6055</v>
      </c>
      <c r="N306" s="58"/>
      <c r="O306" s="58">
        <f t="shared" si="769"/>
        <v>541</v>
      </c>
      <c r="P306" s="58">
        <f t="shared" si="744"/>
        <v>0</v>
      </c>
      <c r="Q306" s="58">
        <f t="shared" si="745"/>
        <v>0</v>
      </c>
      <c r="R306" s="58">
        <f t="shared" si="746"/>
        <v>0</v>
      </c>
      <c r="S306" s="58">
        <f t="shared" si="747"/>
        <v>0</v>
      </c>
      <c r="T306" s="58">
        <f t="shared" si="849"/>
        <v>895</v>
      </c>
      <c r="V306" s="137"/>
      <c r="W306" s="58"/>
      <c r="X306" s="58"/>
      <c r="Y306" s="58"/>
      <c r="Z306" s="58"/>
      <c r="AA306" s="58"/>
      <c r="AB306" s="58"/>
      <c r="AC306" s="58"/>
      <c r="AD306" s="138"/>
      <c r="AF306" s="57">
        <f t="shared" si="847"/>
        <v>26300</v>
      </c>
      <c r="AG306" s="49"/>
      <c r="AH306" s="49"/>
      <c r="AI306" s="49"/>
      <c r="AJ306" s="49"/>
      <c r="AK306" s="49"/>
      <c r="AL306" s="49"/>
      <c r="AM306" s="49"/>
      <c r="AN306" s="49"/>
      <c r="AO306" s="49"/>
      <c r="AP306" s="49"/>
      <c r="AQ306" s="49"/>
      <c r="AR306" s="49"/>
      <c r="AS306" s="49"/>
      <c r="AT306" s="49"/>
      <c r="AU306" s="49"/>
      <c r="AV306" s="49"/>
      <c r="AW306" s="49"/>
      <c r="AX306" s="49">
        <v>3176.8105999999998</v>
      </c>
      <c r="AY306" s="49">
        <v>19.214500000000001</v>
      </c>
      <c r="AZ306" s="49"/>
      <c r="BA306" s="49"/>
      <c r="BB306" s="49"/>
      <c r="BC306" s="49"/>
      <c r="BD306" s="49"/>
      <c r="BE306" s="49"/>
      <c r="BF306" s="49"/>
      <c r="BG306" s="49"/>
      <c r="BH306" s="49"/>
      <c r="BI306" s="49"/>
      <c r="BJ306" s="49"/>
      <c r="BK306" s="49">
        <v>387.10930000000002</v>
      </c>
      <c r="BL306" s="49"/>
      <c r="BM306" s="49"/>
      <c r="BN306" s="49"/>
      <c r="BO306" s="49"/>
      <c r="BP306" s="49"/>
      <c r="BQ306" s="49"/>
      <c r="BR306" s="49"/>
      <c r="BS306" s="49"/>
      <c r="BT306" s="49"/>
      <c r="BU306" s="49"/>
      <c r="BV306" s="49"/>
      <c r="BW306" s="49"/>
      <c r="BX306" s="49"/>
      <c r="BY306" s="49"/>
      <c r="BZ306" s="49"/>
      <c r="CA306" s="49"/>
      <c r="CB306" s="49">
        <v>158.69999999999999</v>
      </c>
      <c r="CC306" s="231">
        <f t="shared" si="848"/>
        <v>26300</v>
      </c>
    </row>
    <row r="307" spans="2:81" s="3" customFormat="1" ht="15.75" thickBot="1" x14ac:dyDescent="0.3">
      <c r="B307" s="158">
        <v>26350</v>
      </c>
      <c r="C307" s="144">
        <f t="shared" si="829"/>
        <v>17.149799999999999</v>
      </c>
      <c r="D307" s="144">
        <f t="shared" si="830"/>
        <v>2959.5933999999997</v>
      </c>
      <c r="E307" s="144">
        <f t="shared" si="841"/>
        <v>0</v>
      </c>
      <c r="F307" s="144">
        <f t="shared" si="831"/>
        <v>356.87599999999998</v>
      </c>
      <c r="G307" s="144">
        <f t="shared" si="842"/>
        <v>0</v>
      </c>
      <c r="H307" s="144">
        <f t="shared" si="843"/>
        <v>0</v>
      </c>
      <c r="I307" s="144">
        <f t="shared" si="844"/>
        <v>0</v>
      </c>
      <c r="J307" s="159">
        <f t="shared" si="845"/>
        <v>0</v>
      </c>
      <c r="K307" s="160">
        <f t="shared" si="846"/>
        <v>162.94999999999999</v>
      </c>
      <c r="L307" s="152">
        <f t="shared" si="742"/>
        <v>16</v>
      </c>
      <c r="M307" s="144">
        <f t="shared" si="743"/>
        <v>5700</v>
      </c>
      <c r="N307" s="144"/>
      <c r="O307" s="144">
        <f t="shared" si="769"/>
        <v>689</v>
      </c>
      <c r="P307" s="144">
        <f t="shared" si="744"/>
        <v>0</v>
      </c>
      <c r="Q307" s="144">
        <f t="shared" si="745"/>
        <v>0</v>
      </c>
      <c r="R307" s="144">
        <f t="shared" si="746"/>
        <v>0</v>
      </c>
      <c r="S307" s="144">
        <f t="shared" si="747"/>
        <v>0</v>
      </c>
      <c r="T307" s="144">
        <f t="shared" si="849"/>
        <v>894</v>
      </c>
      <c r="V307" s="150">
        <f>L305+L306+L307</f>
        <v>16</v>
      </c>
      <c r="W307" s="150">
        <f t="shared" ref="W307" si="893">M305+M306+M307</f>
        <v>18164</v>
      </c>
      <c r="X307" s="150"/>
      <c r="Y307" s="150">
        <f t="shared" ref="Y307" si="894">O305+O306+O307</f>
        <v>1482</v>
      </c>
      <c r="Z307" s="150">
        <f t="shared" ref="Z307" si="895">P305+P306+P307</f>
        <v>0</v>
      </c>
      <c r="AA307" s="150">
        <f t="shared" ref="AA307" si="896">Q305+Q306+Q307</f>
        <v>0</v>
      </c>
      <c r="AB307" s="150">
        <f t="shared" ref="AB307" si="897">R305+R306+R307</f>
        <v>0</v>
      </c>
      <c r="AC307" s="150">
        <f t="shared" ref="AC307" si="898">S305+S306+S307</f>
        <v>0</v>
      </c>
      <c r="AD307" s="150">
        <f t="shared" ref="AD307" si="899">T305+T306+T307</f>
        <v>2715</v>
      </c>
      <c r="AF307" s="158">
        <f t="shared" si="847"/>
        <v>26350</v>
      </c>
      <c r="AG307" s="149">
        <v>17.149799999999999</v>
      </c>
      <c r="AH307" s="149"/>
      <c r="AI307" s="149"/>
      <c r="AJ307" s="149"/>
      <c r="AK307" s="149"/>
      <c r="AL307" s="149"/>
      <c r="AM307" s="149"/>
      <c r="AN307" s="149"/>
      <c r="AO307" s="149"/>
      <c r="AP307" s="149"/>
      <c r="AQ307" s="149"/>
      <c r="AR307" s="149"/>
      <c r="AS307" s="149"/>
      <c r="AT307" s="149"/>
      <c r="AU307" s="149"/>
      <c r="AV307" s="149"/>
      <c r="AW307" s="149"/>
      <c r="AX307" s="149">
        <v>2939.9926999999998</v>
      </c>
      <c r="AY307" s="149">
        <v>19.6007</v>
      </c>
      <c r="AZ307" s="149"/>
      <c r="BA307" s="149"/>
      <c r="BB307" s="149"/>
      <c r="BC307" s="149"/>
      <c r="BD307" s="149"/>
      <c r="BE307" s="149"/>
      <c r="BF307" s="149"/>
      <c r="BG307" s="149"/>
      <c r="BH307" s="149"/>
      <c r="BI307" s="149"/>
      <c r="BJ307" s="149"/>
      <c r="BK307" s="149">
        <v>356.87599999999998</v>
      </c>
      <c r="BL307" s="149"/>
      <c r="BM307" s="149"/>
      <c r="BN307" s="149"/>
      <c r="BO307" s="149"/>
      <c r="BP307" s="149"/>
      <c r="BQ307" s="149"/>
      <c r="BR307" s="149"/>
      <c r="BS307" s="149"/>
      <c r="BT307" s="149"/>
      <c r="BU307" s="149"/>
      <c r="BV307" s="149"/>
      <c r="BW307" s="149"/>
      <c r="BX307" s="149"/>
      <c r="BY307" s="149"/>
      <c r="BZ307" s="149"/>
      <c r="CA307" s="149"/>
      <c r="CB307" s="149">
        <v>162.94999999999999</v>
      </c>
      <c r="CC307" s="231">
        <f t="shared" si="848"/>
        <v>26350</v>
      </c>
    </row>
    <row r="308" spans="2:81" x14ac:dyDescent="0.25">
      <c r="B308" s="155">
        <v>26400</v>
      </c>
      <c r="C308" s="147">
        <f t="shared" si="829"/>
        <v>0</v>
      </c>
      <c r="D308" s="147">
        <f t="shared" si="830"/>
        <v>2879.8436000000002</v>
      </c>
      <c r="E308" s="147">
        <f t="shared" si="841"/>
        <v>0</v>
      </c>
      <c r="F308" s="147">
        <f t="shared" si="831"/>
        <v>428.02659999999997</v>
      </c>
      <c r="G308" s="147">
        <f t="shared" si="842"/>
        <v>0</v>
      </c>
      <c r="H308" s="147">
        <f t="shared" si="843"/>
        <v>0</v>
      </c>
      <c r="I308" s="147">
        <f t="shared" si="844"/>
        <v>0</v>
      </c>
      <c r="J308" s="156">
        <f t="shared" si="845"/>
        <v>0</v>
      </c>
      <c r="K308" s="157">
        <f t="shared" si="846"/>
        <v>156.58000000000001</v>
      </c>
      <c r="L308" s="151">
        <f t="shared" si="742"/>
        <v>16</v>
      </c>
      <c r="M308" s="147">
        <f t="shared" si="743"/>
        <v>5407</v>
      </c>
      <c r="N308" s="147"/>
      <c r="O308" s="147">
        <f t="shared" si="769"/>
        <v>727</v>
      </c>
      <c r="P308" s="147">
        <f t="shared" si="744"/>
        <v>0</v>
      </c>
      <c r="Q308" s="147">
        <f t="shared" si="745"/>
        <v>0</v>
      </c>
      <c r="R308" s="147">
        <f t="shared" si="746"/>
        <v>0</v>
      </c>
      <c r="S308" s="147">
        <f t="shared" si="747"/>
        <v>0</v>
      </c>
      <c r="T308" s="147">
        <f t="shared" si="849"/>
        <v>888</v>
      </c>
      <c r="V308" s="146"/>
      <c r="W308" s="147"/>
      <c r="X308" s="147"/>
      <c r="Y308" s="147"/>
      <c r="Z308" s="147"/>
      <c r="AA308" s="147"/>
      <c r="AB308" s="147"/>
      <c r="AC308" s="147"/>
      <c r="AD308" s="148"/>
      <c r="AF308" s="155">
        <f t="shared" si="847"/>
        <v>26400</v>
      </c>
      <c r="AG308" s="78"/>
      <c r="AH308" s="78"/>
      <c r="AI308" s="78"/>
      <c r="AJ308" s="78"/>
      <c r="AK308" s="78"/>
      <c r="AL308" s="78"/>
      <c r="AM308" s="78"/>
      <c r="AN308" s="78"/>
      <c r="AO308" s="78"/>
      <c r="AP308" s="78"/>
      <c r="AQ308" s="78"/>
      <c r="AR308" s="78"/>
      <c r="AS308" s="78"/>
      <c r="AT308" s="78"/>
      <c r="AU308" s="78"/>
      <c r="AV308" s="78"/>
      <c r="AW308" s="78"/>
      <c r="AX308" s="78">
        <v>2860.2384000000002</v>
      </c>
      <c r="AY308" s="78">
        <v>19.6052</v>
      </c>
      <c r="AZ308" s="78"/>
      <c r="BA308" s="78"/>
      <c r="BB308" s="78"/>
      <c r="BC308" s="78"/>
      <c r="BD308" s="78"/>
      <c r="BE308" s="78"/>
      <c r="BF308" s="78"/>
      <c r="BG308" s="78"/>
      <c r="BH308" s="78"/>
      <c r="BI308" s="78"/>
      <c r="BJ308" s="78"/>
      <c r="BK308" s="78">
        <v>428.02659999999997</v>
      </c>
      <c r="BL308" s="78"/>
      <c r="BM308" s="78"/>
      <c r="BN308" s="78"/>
      <c r="BO308" s="78"/>
      <c r="BP308" s="78"/>
      <c r="BQ308" s="78"/>
      <c r="BR308" s="78"/>
      <c r="BS308" s="78"/>
      <c r="BT308" s="78"/>
      <c r="BU308" s="78"/>
      <c r="BV308" s="78"/>
      <c r="BW308" s="78"/>
      <c r="BX308" s="78"/>
      <c r="BY308" s="78"/>
      <c r="BZ308" s="78"/>
      <c r="CA308" s="78"/>
      <c r="CB308" s="78">
        <v>156.58000000000001</v>
      </c>
      <c r="CC308" s="231">
        <f t="shared" si="848"/>
        <v>26400</v>
      </c>
    </row>
    <row r="309" spans="2:81" x14ac:dyDescent="0.25">
      <c r="B309" s="57">
        <v>26450</v>
      </c>
      <c r="C309" s="58">
        <f t="shared" si="829"/>
        <v>0</v>
      </c>
      <c r="D309" s="58">
        <f t="shared" si="830"/>
        <v>2687.1786000000002</v>
      </c>
      <c r="E309" s="58">
        <f t="shared" si="841"/>
        <v>0</v>
      </c>
      <c r="F309" s="58">
        <f t="shared" si="831"/>
        <v>517.69039999999995</v>
      </c>
      <c r="G309" s="58">
        <f t="shared" si="842"/>
        <v>0</v>
      </c>
      <c r="H309" s="58">
        <f t="shared" si="843"/>
        <v>0</v>
      </c>
      <c r="I309" s="58">
        <f t="shared" si="844"/>
        <v>0</v>
      </c>
      <c r="J309" s="51">
        <f t="shared" si="845"/>
        <v>0</v>
      </c>
      <c r="K309" s="99">
        <f t="shared" si="846"/>
        <v>155.33000000000001</v>
      </c>
      <c r="L309" s="105">
        <f t="shared" si="742"/>
        <v>0</v>
      </c>
      <c r="M309" s="58">
        <f t="shared" si="743"/>
        <v>5155</v>
      </c>
      <c r="N309" s="58"/>
      <c r="O309" s="58">
        <f t="shared" si="769"/>
        <v>876</v>
      </c>
      <c r="P309" s="58">
        <f t="shared" si="744"/>
        <v>0</v>
      </c>
      <c r="Q309" s="58">
        <f t="shared" si="745"/>
        <v>0</v>
      </c>
      <c r="R309" s="58">
        <f t="shared" si="746"/>
        <v>0</v>
      </c>
      <c r="S309" s="58">
        <f t="shared" si="747"/>
        <v>0</v>
      </c>
      <c r="T309" s="58">
        <f t="shared" si="849"/>
        <v>867</v>
      </c>
      <c r="V309" s="137"/>
      <c r="W309" s="58"/>
      <c r="X309" s="58"/>
      <c r="Y309" s="58"/>
      <c r="Z309" s="58"/>
      <c r="AA309" s="58"/>
      <c r="AB309" s="58"/>
      <c r="AC309" s="58"/>
      <c r="AD309" s="138"/>
      <c r="AF309" s="57">
        <f t="shared" si="847"/>
        <v>26450</v>
      </c>
      <c r="AG309" s="49"/>
      <c r="AH309" s="49"/>
      <c r="AI309" s="49"/>
      <c r="AJ309" s="49"/>
      <c r="AK309" s="49"/>
      <c r="AL309" s="49"/>
      <c r="AM309" s="49"/>
      <c r="AN309" s="49"/>
      <c r="AO309" s="49"/>
      <c r="AP309" s="49"/>
      <c r="AQ309" s="49"/>
      <c r="AR309" s="49"/>
      <c r="AS309" s="49"/>
      <c r="AT309" s="49"/>
      <c r="AU309" s="49"/>
      <c r="AV309" s="49"/>
      <c r="AW309" s="49"/>
      <c r="AX309" s="49">
        <v>2667.1324</v>
      </c>
      <c r="AY309" s="49">
        <v>20.046199999999999</v>
      </c>
      <c r="AZ309" s="49"/>
      <c r="BA309" s="49"/>
      <c r="BB309" s="49"/>
      <c r="BC309" s="49"/>
      <c r="BD309" s="49"/>
      <c r="BE309" s="49"/>
      <c r="BF309" s="49"/>
      <c r="BG309" s="49"/>
      <c r="BH309" s="49"/>
      <c r="BI309" s="49"/>
      <c r="BJ309" s="49"/>
      <c r="BK309" s="49">
        <v>517.69039999999995</v>
      </c>
      <c r="BL309" s="49"/>
      <c r="BM309" s="49"/>
      <c r="BN309" s="49"/>
      <c r="BO309" s="49"/>
      <c r="BP309" s="49"/>
      <c r="BQ309" s="49"/>
      <c r="BR309" s="49"/>
      <c r="BS309" s="49"/>
      <c r="BT309" s="49"/>
      <c r="BU309" s="49"/>
      <c r="BV309" s="49"/>
      <c r="BW309" s="49"/>
      <c r="BX309" s="49"/>
      <c r="BY309" s="49"/>
      <c r="BZ309" s="49"/>
      <c r="CA309" s="49"/>
      <c r="CB309" s="49">
        <v>155.33000000000001</v>
      </c>
      <c r="CC309" s="231">
        <f t="shared" si="848"/>
        <v>26450</v>
      </c>
    </row>
    <row r="310" spans="2:81" s="3" customFormat="1" ht="15.75" thickBot="1" x14ac:dyDescent="0.3">
      <c r="B310" s="158">
        <v>26500</v>
      </c>
      <c r="C310" s="144">
        <f t="shared" si="829"/>
        <v>0</v>
      </c>
      <c r="D310" s="144">
        <f t="shared" si="830"/>
        <v>2592.4259999999999</v>
      </c>
      <c r="E310" s="144">
        <f t="shared" si="841"/>
        <v>0</v>
      </c>
      <c r="F310" s="144">
        <f>BK310+BL310+BM310</f>
        <v>1153.3378</v>
      </c>
      <c r="G310" s="144">
        <f t="shared" si="842"/>
        <v>0</v>
      </c>
      <c r="H310" s="144">
        <f t="shared" si="843"/>
        <v>0</v>
      </c>
      <c r="I310" s="144">
        <f t="shared" si="844"/>
        <v>0</v>
      </c>
      <c r="J310" s="159">
        <f t="shared" si="845"/>
        <v>0</v>
      </c>
      <c r="K310" s="160">
        <f t="shared" si="846"/>
        <v>158.96</v>
      </c>
      <c r="L310" s="152">
        <f t="shared" si="742"/>
        <v>0</v>
      </c>
      <c r="M310" s="144">
        <f t="shared" si="743"/>
        <v>4889</v>
      </c>
      <c r="N310" s="144"/>
      <c r="O310" s="144">
        <f t="shared" si="769"/>
        <v>1548</v>
      </c>
      <c r="P310" s="144">
        <f t="shared" si="744"/>
        <v>0</v>
      </c>
      <c r="Q310" s="144">
        <f t="shared" si="745"/>
        <v>0</v>
      </c>
      <c r="R310" s="144">
        <f t="shared" si="746"/>
        <v>0</v>
      </c>
      <c r="S310" s="144">
        <f t="shared" si="747"/>
        <v>0</v>
      </c>
      <c r="T310" s="144">
        <f t="shared" si="849"/>
        <v>874</v>
      </c>
      <c r="V310" s="150">
        <f>L308+L309+L310</f>
        <v>16</v>
      </c>
      <c r="W310" s="150">
        <f t="shared" ref="W310" si="900">M308+M309+M310</f>
        <v>15451</v>
      </c>
      <c r="X310" s="150"/>
      <c r="Y310" s="150">
        <f t="shared" ref="Y310" si="901">O308+O309+O310</f>
        <v>3151</v>
      </c>
      <c r="Z310" s="150">
        <f t="shared" ref="Z310" si="902">P308+P309+P310</f>
        <v>0</v>
      </c>
      <c r="AA310" s="150">
        <f t="shared" ref="AA310" si="903">Q308+Q309+Q310</f>
        <v>0</v>
      </c>
      <c r="AB310" s="150">
        <f t="shared" ref="AB310" si="904">R308+R309+R310</f>
        <v>0</v>
      </c>
      <c r="AC310" s="150">
        <f t="shared" ref="AC310" si="905">S308+S309+S310</f>
        <v>0</v>
      </c>
      <c r="AD310" s="150">
        <f t="shared" ref="AD310" si="906">T308+T309+T310</f>
        <v>2629</v>
      </c>
      <c r="AF310" s="158">
        <f t="shared" si="847"/>
        <v>26500</v>
      </c>
      <c r="AG310" s="149"/>
      <c r="AH310" s="149"/>
      <c r="AI310" s="149"/>
      <c r="AJ310" s="149"/>
      <c r="AK310" s="149"/>
      <c r="AL310" s="149"/>
      <c r="AM310" s="149"/>
      <c r="AN310" s="149"/>
      <c r="AO310" s="149"/>
      <c r="AP310" s="149"/>
      <c r="AQ310" s="149"/>
      <c r="AR310" s="149"/>
      <c r="AS310" s="149"/>
      <c r="AT310" s="149"/>
      <c r="AU310" s="149"/>
      <c r="AV310" s="149"/>
      <c r="AW310" s="149"/>
      <c r="AX310" s="149">
        <v>2592.4259999999999</v>
      </c>
      <c r="AY310" s="149"/>
      <c r="AZ310" s="149"/>
      <c r="BA310" s="149"/>
      <c r="BB310" s="149"/>
      <c r="BC310" s="149"/>
      <c r="BD310" s="149"/>
      <c r="BE310" s="149"/>
      <c r="BF310" s="149"/>
      <c r="BG310" s="149"/>
      <c r="BH310" s="149"/>
      <c r="BI310" s="149"/>
      <c r="BJ310" s="149"/>
      <c r="BK310" s="149">
        <v>566.08810000000005</v>
      </c>
      <c r="BL310" s="149">
        <v>566.08810000000005</v>
      </c>
      <c r="BM310" s="149">
        <v>21.1616</v>
      </c>
      <c r="BN310" s="149"/>
      <c r="BO310" s="149"/>
      <c r="BP310" s="149"/>
      <c r="BQ310" s="149"/>
      <c r="BR310" s="149"/>
      <c r="BS310" s="149"/>
      <c r="BT310" s="149"/>
      <c r="BU310" s="149"/>
      <c r="BV310" s="149"/>
      <c r="BW310" s="149"/>
      <c r="BX310" s="149"/>
      <c r="BY310" s="149"/>
      <c r="BZ310" s="149"/>
      <c r="CA310" s="149"/>
      <c r="CB310" s="149">
        <v>158.96</v>
      </c>
      <c r="CC310" s="231">
        <f t="shared" si="848"/>
        <v>26500</v>
      </c>
    </row>
    <row r="311" spans="2:81" x14ac:dyDescent="0.25">
      <c r="B311" s="155">
        <v>26550</v>
      </c>
      <c r="C311" s="147">
        <f t="shared" si="829"/>
        <v>0</v>
      </c>
      <c r="D311" s="147">
        <f t="shared" si="830"/>
        <v>2400.1410999999998</v>
      </c>
      <c r="E311" s="147">
        <f t="shared" si="841"/>
        <v>0</v>
      </c>
      <c r="F311" s="147">
        <f t="shared" si="831"/>
        <v>749.24329999999998</v>
      </c>
      <c r="G311" s="147">
        <f t="shared" si="842"/>
        <v>0</v>
      </c>
      <c r="H311" s="147">
        <f t="shared" si="843"/>
        <v>0</v>
      </c>
      <c r="I311" s="147">
        <f t="shared" si="844"/>
        <v>0</v>
      </c>
      <c r="J311" s="156">
        <f t="shared" si="845"/>
        <v>0</v>
      </c>
      <c r="K311" s="157">
        <f t="shared" si="846"/>
        <v>154.85</v>
      </c>
      <c r="L311" s="151">
        <f t="shared" si="742"/>
        <v>0</v>
      </c>
      <c r="M311" s="147">
        <f t="shared" si="743"/>
        <v>4623</v>
      </c>
      <c r="N311" s="147"/>
      <c r="O311" s="147">
        <f t="shared" si="769"/>
        <v>1762</v>
      </c>
      <c r="P311" s="147">
        <f t="shared" si="744"/>
        <v>0</v>
      </c>
      <c r="Q311" s="147">
        <f t="shared" si="745"/>
        <v>0</v>
      </c>
      <c r="R311" s="147">
        <f t="shared" si="746"/>
        <v>0</v>
      </c>
      <c r="S311" s="147">
        <f t="shared" si="747"/>
        <v>0</v>
      </c>
      <c r="T311" s="147">
        <f t="shared" si="849"/>
        <v>872</v>
      </c>
      <c r="V311" s="146"/>
      <c r="W311" s="147"/>
      <c r="X311" s="147"/>
      <c r="Y311" s="147"/>
      <c r="Z311" s="147"/>
      <c r="AA311" s="147"/>
      <c r="AB311" s="147"/>
      <c r="AC311" s="147"/>
      <c r="AD311" s="148"/>
      <c r="AF311" s="155">
        <f t="shared" si="847"/>
        <v>26550</v>
      </c>
      <c r="AG311" s="78"/>
      <c r="AH311" s="78"/>
      <c r="AI311" s="78"/>
      <c r="AJ311" s="78"/>
      <c r="AK311" s="78"/>
      <c r="AL311" s="78"/>
      <c r="AM311" s="78"/>
      <c r="AN311" s="78"/>
      <c r="AO311" s="78"/>
      <c r="AP311" s="78"/>
      <c r="AQ311" s="78"/>
      <c r="AR311" s="78"/>
      <c r="AS311" s="78"/>
      <c r="AT311" s="78"/>
      <c r="AU311" s="78"/>
      <c r="AV311" s="78"/>
      <c r="AW311" s="78"/>
      <c r="AX311" s="78">
        <v>2400.1410999999998</v>
      </c>
      <c r="AY311" s="78"/>
      <c r="AZ311" s="78"/>
      <c r="BA311" s="78"/>
      <c r="BB311" s="78"/>
      <c r="BC311" s="78"/>
      <c r="BD311" s="78"/>
      <c r="BE311" s="78"/>
      <c r="BF311" s="78"/>
      <c r="BG311" s="78"/>
      <c r="BH311" s="78"/>
      <c r="BI311" s="78"/>
      <c r="BJ311" s="78"/>
      <c r="BK311" s="78">
        <v>727.00869999999998</v>
      </c>
      <c r="BL311" s="78">
        <v>22.2346</v>
      </c>
      <c r="BM311" s="78"/>
      <c r="BN311" s="78"/>
      <c r="BO311" s="78"/>
      <c r="BP311" s="78"/>
      <c r="BQ311" s="78"/>
      <c r="BR311" s="78"/>
      <c r="BS311" s="78"/>
      <c r="BT311" s="78"/>
      <c r="BU311" s="78"/>
      <c r="BV311" s="78"/>
      <c r="BW311" s="78"/>
      <c r="BX311" s="78"/>
      <c r="BY311" s="78"/>
      <c r="BZ311" s="78"/>
      <c r="CA311" s="78"/>
      <c r="CB311" s="78">
        <v>154.85</v>
      </c>
      <c r="CC311" s="231">
        <f t="shared" si="848"/>
        <v>26550</v>
      </c>
    </row>
    <row r="312" spans="2:81" x14ac:dyDescent="0.25">
      <c r="B312" s="57">
        <v>26600</v>
      </c>
      <c r="C312" s="58">
        <f t="shared" si="829"/>
        <v>0</v>
      </c>
      <c r="D312" s="58">
        <f t="shared" si="830"/>
        <v>2230.6709000000001</v>
      </c>
      <c r="E312" s="58">
        <f t="shared" si="841"/>
        <v>0</v>
      </c>
      <c r="F312" s="58">
        <f t="shared" si="831"/>
        <v>884.25619999999992</v>
      </c>
      <c r="G312" s="58">
        <f t="shared" si="842"/>
        <v>0</v>
      </c>
      <c r="H312" s="58">
        <f t="shared" si="843"/>
        <v>0</v>
      </c>
      <c r="I312" s="58">
        <f t="shared" si="844"/>
        <v>0</v>
      </c>
      <c r="J312" s="51">
        <f t="shared" si="845"/>
        <v>0</v>
      </c>
      <c r="K312" s="99">
        <f t="shared" si="846"/>
        <v>155.02000000000001</v>
      </c>
      <c r="L312" s="105">
        <f t="shared" si="742"/>
        <v>0</v>
      </c>
      <c r="M312" s="58">
        <f t="shared" si="743"/>
        <v>4288</v>
      </c>
      <c r="N312" s="58"/>
      <c r="O312" s="58">
        <f t="shared" si="769"/>
        <v>1513</v>
      </c>
      <c r="P312" s="58">
        <f t="shared" si="744"/>
        <v>0</v>
      </c>
      <c r="Q312" s="58">
        <f t="shared" si="745"/>
        <v>0</v>
      </c>
      <c r="R312" s="58">
        <f t="shared" si="746"/>
        <v>0</v>
      </c>
      <c r="S312" s="58">
        <f t="shared" si="747"/>
        <v>0</v>
      </c>
      <c r="T312" s="58">
        <f t="shared" si="849"/>
        <v>861</v>
      </c>
      <c r="V312" s="137"/>
      <c r="W312" s="58"/>
      <c r="X312" s="58"/>
      <c r="Y312" s="58"/>
      <c r="Z312" s="58"/>
      <c r="AA312" s="58"/>
      <c r="AB312" s="58"/>
      <c r="AC312" s="58"/>
      <c r="AD312" s="138"/>
      <c r="AF312" s="57">
        <f t="shared" si="847"/>
        <v>26600</v>
      </c>
      <c r="AG312" s="49"/>
      <c r="AH312" s="49"/>
      <c r="AI312" s="49"/>
      <c r="AJ312" s="49"/>
      <c r="AK312" s="49"/>
      <c r="AL312" s="49"/>
      <c r="AM312" s="49"/>
      <c r="AN312" s="49"/>
      <c r="AO312" s="49"/>
      <c r="AP312" s="49"/>
      <c r="AQ312" s="49"/>
      <c r="AR312" s="49"/>
      <c r="AS312" s="49"/>
      <c r="AT312" s="49"/>
      <c r="AU312" s="49"/>
      <c r="AV312" s="49"/>
      <c r="AW312" s="49"/>
      <c r="AX312" s="49">
        <v>2230.6709000000001</v>
      </c>
      <c r="AY312" s="49"/>
      <c r="AZ312" s="49"/>
      <c r="BA312" s="49"/>
      <c r="BB312" s="49"/>
      <c r="BC312" s="49"/>
      <c r="BD312" s="49"/>
      <c r="BE312" s="49"/>
      <c r="BF312" s="49"/>
      <c r="BG312" s="49"/>
      <c r="BH312" s="49"/>
      <c r="BI312" s="49"/>
      <c r="BJ312" s="49"/>
      <c r="BK312" s="49">
        <v>859.66589999999997</v>
      </c>
      <c r="BL312" s="49">
        <v>24.590299999999999</v>
      </c>
      <c r="BM312" s="49"/>
      <c r="BN312" s="49"/>
      <c r="BO312" s="49"/>
      <c r="BP312" s="49"/>
      <c r="BQ312" s="49"/>
      <c r="BR312" s="49"/>
      <c r="BS312" s="49"/>
      <c r="BT312" s="49"/>
      <c r="BU312" s="49"/>
      <c r="BV312" s="49"/>
      <c r="BW312" s="49"/>
      <c r="BX312" s="49"/>
      <c r="BY312" s="49"/>
      <c r="BZ312" s="49"/>
      <c r="CA312" s="49"/>
      <c r="CB312" s="49">
        <v>155.02000000000001</v>
      </c>
      <c r="CC312" s="231">
        <f t="shared" si="848"/>
        <v>26600</v>
      </c>
    </row>
    <row r="313" spans="2:81" s="3" customFormat="1" ht="15.75" thickBot="1" x14ac:dyDescent="0.3">
      <c r="B313" s="158">
        <v>26650</v>
      </c>
      <c r="C313" s="144">
        <f t="shared" si="829"/>
        <v>0</v>
      </c>
      <c r="D313" s="144">
        <f t="shared" si="830"/>
        <v>2053.6826000000001</v>
      </c>
      <c r="E313" s="144">
        <f t="shared" si="841"/>
        <v>0</v>
      </c>
      <c r="F313" s="144">
        <f t="shared" si="831"/>
        <v>1164.4334999999999</v>
      </c>
      <c r="G313" s="144">
        <f t="shared" si="842"/>
        <v>0</v>
      </c>
      <c r="H313" s="144">
        <f t="shared" si="843"/>
        <v>0</v>
      </c>
      <c r="I313" s="144">
        <f t="shared" si="844"/>
        <v>0</v>
      </c>
      <c r="J313" s="159">
        <f t="shared" si="845"/>
        <v>0</v>
      </c>
      <c r="K313" s="160">
        <f t="shared" si="846"/>
        <v>157.82</v>
      </c>
      <c r="L313" s="152">
        <f t="shared" si="742"/>
        <v>0</v>
      </c>
      <c r="M313" s="144">
        <f t="shared" si="743"/>
        <v>3967</v>
      </c>
      <c r="N313" s="144"/>
      <c r="O313" s="144">
        <f t="shared" si="769"/>
        <v>1897</v>
      </c>
      <c r="P313" s="144">
        <f t="shared" si="744"/>
        <v>0</v>
      </c>
      <c r="Q313" s="144">
        <f t="shared" si="745"/>
        <v>0</v>
      </c>
      <c r="R313" s="144">
        <f t="shared" si="746"/>
        <v>0</v>
      </c>
      <c r="S313" s="144">
        <f t="shared" si="747"/>
        <v>0</v>
      </c>
      <c r="T313" s="144">
        <f t="shared" si="849"/>
        <v>869</v>
      </c>
      <c r="V313" s="150">
        <f>L311+L312+L313</f>
        <v>0</v>
      </c>
      <c r="W313" s="150">
        <f t="shared" ref="W313" si="907">M311+M312+M313</f>
        <v>12878</v>
      </c>
      <c r="X313" s="150"/>
      <c r="Y313" s="150">
        <f t="shared" ref="Y313" si="908">O311+O312+O313</f>
        <v>5172</v>
      </c>
      <c r="Z313" s="150">
        <f t="shared" ref="Z313" si="909">P311+P312+P313</f>
        <v>0</v>
      </c>
      <c r="AA313" s="150">
        <f t="shared" ref="AA313" si="910">Q311+Q312+Q313</f>
        <v>0</v>
      </c>
      <c r="AB313" s="150">
        <f t="shared" ref="AB313" si="911">R311+R312+R313</f>
        <v>0</v>
      </c>
      <c r="AC313" s="150">
        <f t="shared" ref="AC313" si="912">S311+S312+S313</f>
        <v>0</v>
      </c>
      <c r="AD313" s="150">
        <f t="shared" ref="AD313" si="913">T311+T312+T313</f>
        <v>2602</v>
      </c>
      <c r="AF313" s="158">
        <f t="shared" si="847"/>
        <v>26650</v>
      </c>
      <c r="AG313" s="149"/>
      <c r="AH313" s="149"/>
      <c r="AI313" s="149"/>
      <c r="AJ313" s="149"/>
      <c r="AK313" s="149"/>
      <c r="AL313" s="149"/>
      <c r="AM313" s="149"/>
      <c r="AN313" s="149"/>
      <c r="AO313" s="149"/>
      <c r="AP313" s="149"/>
      <c r="AQ313" s="149"/>
      <c r="AR313" s="149"/>
      <c r="AS313" s="149"/>
      <c r="AT313" s="149"/>
      <c r="AU313" s="149"/>
      <c r="AV313" s="149"/>
      <c r="AW313" s="149"/>
      <c r="AX313" s="149">
        <v>2053.6826000000001</v>
      </c>
      <c r="AY313" s="149"/>
      <c r="AZ313" s="149"/>
      <c r="BA313" s="149"/>
      <c r="BB313" s="149"/>
      <c r="BC313" s="149"/>
      <c r="BD313" s="149"/>
      <c r="BE313" s="149"/>
      <c r="BF313" s="149"/>
      <c r="BG313" s="149"/>
      <c r="BH313" s="149"/>
      <c r="BI313" s="149"/>
      <c r="BJ313" s="149"/>
      <c r="BK313" s="149">
        <v>1108.3933999999999</v>
      </c>
      <c r="BL313" s="149">
        <v>56.040100000000002</v>
      </c>
      <c r="BM313" s="149"/>
      <c r="BN313" s="149"/>
      <c r="BO313" s="149"/>
      <c r="BP313" s="149"/>
      <c r="BQ313" s="149"/>
      <c r="BR313" s="149"/>
      <c r="BS313" s="149"/>
      <c r="BT313" s="149"/>
      <c r="BU313" s="149"/>
      <c r="BV313" s="149"/>
      <c r="BW313" s="149"/>
      <c r="BX313" s="149"/>
      <c r="BY313" s="149"/>
      <c r="BZ313" s="149"/>
      <c r="CA313" s="149"/>
      <c r="CB313" s="149">
        <v>157.82</v>
      </c>
      <c r="CC313" s="231">
        <f t="shared" si="848"/>
        <v>26650</v>
      </c>
    </row>
    <row r="314" spans="2:81" x14ac:dyDescent="0.25">
      <c r="B314" s="155">
        <v>26700</v>
      </c>
      <c r="C314" s="147">
        <f t="shared" si="829"/>
        <v>0</v>
      </c>
      <c r="D314" s="147">
        <f t="shared" si="830"/>
        <v>1838.5199</v>
      </c>
      <c r="E314" s="147">
        <f t="shared" si="841"/>
        <v>0</v>
      </c>
      <c r="F314" s="147">
        <f t="shared" si="831"/>
        <v>1282.7336</v>
      </c>
      <c r="G314" s="147">
        <f t="shared" si="842"/>
        <v>0</v>
      </c>
      <c r="H314" s="147">
        <f t="shared" si="843"/>
        <v>0</v>
      </c>
      <c r="I314" s="147">
        <f t="shared" si="844"/>
        <v>0</v>
      </c>
      <c r="J314" s="156">
        <f t="shared" si="845"/>
        <v>0</v>
      </c>
      <c r="K314" s="157">
        <f t="shared" si="846"/>
        <v>160.32</v>
      </c>
      <c r="L314" s="151">
        <f t="shared" ref="L314:L376" si="914">ROUNDUP(((C313+C314)*0.5)*(B314-B313)/27,0)</f>
        <v>0</v>
      </c>
      <c r="M314" s="147">
        <f t="shared" ref="M314:M376" si="915">ROUNDUP(((D313+D314)*0.5)*(B314-B313)/27,0)</f>
        <v>3604</v>
      </c>
      <c r="N314" s="147"/>
      <c r="O314" s="147">
        <f t="shared" si="769"/>
        <v>2266</v>
      </c>
      <c r="P314" s="147">
        <f t="shared" ref="P314:P376" si="916">ROUNDUP(((G314+G313)*0.5)*(B314-B313)/27,0)</f>
        <v>0</v>
      </c>
      <c r="Q314" s="147">
        <f t="shared" ref="Q314:Q376" si="917">ROUNDUP(((H314+H313)*0.5)*(B314-B313)/27,0)</f>
        <v>0</v>
      </c>
      <c r="R314" s="147">
        <f t="shared" ref="R314:R376" si="918">ROUNDUP(((I314+I313)*0.5)*(B314-B313)/9,0)</f>
        <v>0</v>
      </c>
      <c r="S314" s="147">
        <f t="shared" ref="S314:S376" si="919">ROUNDUP(((J314+J313)*0.5)*(B314-B313)/9,0)</f>
        <v>0</v>
      </c>
      <c r="T314" s="147">
        <f t="shared" si="849"/>
        <v>884</v>
      </c>
      <c r="V314" s="146"/>
      <c r="W314" s="147"/>
      <c r="X314" s="147"/>
      <c r="Y314" s="147"/>
      <c r="Z314" s="147"/>
      <c r="AA314" s="147"/>
      <c r="AB314" s="147"/>
      <c r="AC314" s="147"/>
      <c r="AD314" s="148"/>
      <c r="AF314" s="155">
        <f t="shared" si="847"/>
        <v>26700</v>
      </c>
      <c r="AG314" s="78"/>
      <c r="AH314" s="78"/>
      <c r="AI314" s="78"/>
      <c r="AJ314" s="78"/>
      <c r="AK314" s="78"/>
      <c r="AL314" s="78"/>
      <c r="AM314" s="78"/>
      <c r="AN314" s="78"/>
      <c r="AO314" s="78"/>
      <c r="AP314" s="78"/>
      <c r="AQ314" s="78"/>
      <c r="AR314" s="78"/>
      <c r="AS314" s="78"/>
      <c r="AT314" s="78"/>
      <c r="AU314" s="78"/>
      <c r="AV314" s="78"/>
      <c r="AW314" s="78"/>
      <c r="AX314" s="78">
        <v>1838.5199</v>
      </c>
      <c r="AY314" s="78"/>
      <c r="AZ314" s="78"/>
      <c r="BA314" s="78"/>
      <c r="BB314" s="78"/>
      <c r="BC314" s="78"/>
      <c r="BD314" s="78"/>
      <c r="BE314" s="78"/>
      <c r="BF314" s="78"/>
      <c r="BG314" s="78"/>
      <c r="BH314" s="78"/>
      <c r="BI314" s="78"/>
      <c r="BJ314" s="78"/>
      <c r="BK314" s="78">
        <v>1235.9721999999999</v>
      </c>
      <c r="BL314" s="78">
        <v>23.5684</v>
      </c>
      <c r="BM314" s="78">
        <v>23.193000000000001</v>
      </c>
      <c r="BN314" s="78"/>
      <c r="BO314" s="78"/>
      <c r="BP314" s="78"/>
      <c r="BQ314" s="78"/>
      <c r="BR314" s="78"/>
      <c r="BS314" s="78"/>
      <c r="BT314" s="78"/>
      <c r="BU314" s="78"/>
      <c r="BV314" s="78"/>
      <c r="BW314" s="78"/>
      <c r="BX314" s="78"/>
      <c r="BY314" s="78"/>
      <c r="BZ314" s="78"/>
      <c r="CA314" s="78"/>
      <c r="CB314" s="78">
        <v>160.32</v>
      </c>
      <c r="CC314" s="231">
        <f t="shared" si="848"/>
        <v>26700</v>
      </c>
    </row>
    <row r="315" spans="2:81" x14ac:dyDescent="0.25">
      <c r="B315" s="57">
        <v>26750</v>
      </c>
      <c r="C315" s="58">
        <f t="shared" si="829"/>
        <v>0</v>
      </c>
      <c r="D315" s="58">
        <f t="shared" si="830"/>
        <v>1701.0410999999999</v>
      </c>
      <c r="E315" s="58">
        <f t="shared" si="841"/>
        <v>0</v>
      </c>
      <c r="F315" s="58">
        <f t="shared" si="831"/>
        <v>1127.4947999999999</v>
      </c>
      <c r="G315" s="58">
        <f t="shared" si="842"/>
        <v>0</v>
      </c>
      <c r="H315" s="58">
        <f t="shared" si="843"/>
        <v>0</v>
      </c>
      <c r="I315" s="58">
        <f t="shared" si="844"/>
        <v>0</v>
      </c>
      <c r="J315" s="51">
        <f t="shared" si="845"/>
        <v>0</v>
      </c>
      <c r="K315" s="99">
        <f t="shared" si="846"/>
        <v>172.02</v>
      </c>
      <c r="L315" s="105">
        <f t="shared" si="914"/>
        <v>0</v>
      </c>
      <c r="M315" s="58">
        <f t="shared" si="915"/>
        <v>3278</v>
      </c>
      <c r="N315" s="58"/>
      <c r="O315" s="58">
        <f t="shared" si="769"/>
        <v>2232</v>
      </c>
      <c r="P315" s="58">
        <f t="shared" si="916"/>
        <v>0</v>
      </c>
      <c r="Q315" s="58">
        <f t="shared" si="917"/>
        <v>0</v>
      </c>
      <c r="R315" s="58">
        <f t="shared" si="918"/>
        <v>0</v>
      </c>
      <c r="S315" s="58">
        <f t="shared" si="919"/>
        <v>0</v>
      </c>
      <c r="T315" s="58">
        <f t="shared" si="849"/>
        <v>924</v>
      </c>
      <c r="V315" s="137"/>
      <c r="W315" s="58"/>
      <c r="X315" s="58"/>
      <c r="Y315" s="58"/>
      <c r="Z315" s="58"/>
      <c r="AA315" s="58"/>
      <c r="AB315" s="58"/>
      <c r="AC315" s="58"/>
      <c r="AD315" s="138"/>
      <c r="AF315" s="57">
        <f t="shared" si="847"/>
        <v>26750</v>
      </c>
      <c r="AG315" s="49"/>
      <c r="AH315" s="49"/>
      <c r="AI315" s="49"/>
      <c r="AJ315" s="49"/>
      <c r="AK315" s="49"/>
      <c r="AL315" s="49"/>
      <c r="AM315" s="49"/>
      <c r="AN315" s="49"/>
      <c r="AO315" s="49"/>
      <c r="AP315" s="49"/>
      <c r="AQ315" s="49"/>
      <c r="AR315" s="49"/>
      <c r="AS315" s="49"/>
      <c r="AT315" s="49"/>
      <c r="AU315" s="49"/>
      <c r="AV315" s="49"/>
      <c r="AW315" s="49"/>
      <c r="AX315" s="49">
        <v>1701.0410999999999</v>
      </c>
      <c r="AY315" s="49"/>
      <c r="AZ315" s="49"/>
      <c r="BA315" s="49"/>
      <c r="BB315" s="49"/>
      <c r="BC315" s="49"/>
      <c r="BD315" s="49"/>
      <c r="BE315" s="49"/>
      <c r="BF315" s="49"/>
      <c r="BG315" s="49"/>
      <c r="BH315" s="49"/>
      <c r="BI315" s="49"/>
      <c r="BJ315" s="49"/>
      <c r="BK315" s="49">
        <v>1091.7382</v>
      </c>
      <c r="BL315" s="49">
        <v>13.8238</v>
      </c>
      <c r="BM315" s="49">
        <v>21.9328</v>
      </c>
      <c r="BN315" s="49"/>
      <c r="BO315" s="49"/>
      <c r="BP315" s="49"/>
      <c r="BQ315" s="49"/>
      <c r="BR315" s="49"/>
      <c r="BS315" s="49"/>
      <c r="BT315" s="49"/>
      <c r="BU315" s="49"/>
      <c r="BV315" s="49"/>
      <c r="BW315" s="49"/>
      <c r="BX315" s="49"/>
      <c r="BY315" s="49"/>
      <c r="BZ315" s="49"/>
      <c r="CA315" s="49"/>
      <c r="CB315" s="49">
        <v>172.02</v>
      </c>
      <c r="CC315" s="231">
        <f t="shared" si="848"/>
        <v>26750</v>
      </c>
    </row>
    <row r="316" spans="2:81" s="3" customFormat="1" ht="15.75" thickBot="1" x14ac:dyDescent="0.3">
      <c r="B316" s="158">
        <v>26800</v>
      </c>
      <c r="C316" s="144">
        <f t="shared" si="829"/>
        <v>0</v>
      </c>
      <c r="D316" s="144">
        <f t="shared" si="830"/>
        <v>1497.8625999999999</v>
      </c>
      <c r="E316" s="144">
        <f t="shared" si="841"/>
        <v>0</v>
      </c>
      <c r="F316" s="144">
        <f t="shared" si="831"/>
        <v>1138.8995</v>
      </c>
      <c r="G316" s="144">
        <f t="shared" si="842"/>
        <v>0</v>
      </c>
      <c r="H316" s="144">
        <f t="shared" si="843"/>
        <v>0</v>
      </c>
      <c r="I316" s="144">
        <f t="shared" si="844"/>
        <v>0</v>
      </c>
      <c r="J316" s="159">
        <f t="shared" si="845"/>
        <v>0</v>
      </c>
      <c r="K316" s="160">
        <f t="shared" si="846"/>
        <v>171.18</v>
      </c>
      <c r="L316" s="152">
        <f t="shared" si="914"/>
        <v>0</v>
      </c>
      <c r="M316" s="144">
        <f t="shared" si="915"/>
        <v>2962</v>
      </c>
      <c r="N316" s="144"/>
      <c r="O316" s="144">
        <f t="shared" si="769"/>
        <v>2099</v>
      </c>
      <c r="P316" s="144">
        <f t="shared" si="916"/>
        <v>0</v>
      </c>
      <c r="Q316" s="144">
        <f t="shared" si="917"/>
        <v>0</v>
      </c>
      <c r="R316" s="144">
        <f t="shared" si="918"/>
        <v>0</v>
      </c>
      <c r="S316" s="144">
        <f t="shared" si="919"/>
        <v>0</v>
      </c>
      <c r="T316" s="144">
        <f t="shared" si="849"/>
        <v>954</v>
      </c>
      <c r="V316" s="150">
        <f>L314+L315+L316</f>
        <v>0</v>
      </c>
      <c r="W316" s="150">
        <f t="shared" ref="W316" si="920">M314+M315+M316</f>
        <v>9844</v>
      </c>
      <c r="X316" s="150"/>
      <c r="Y316" s="150">
        <f t="shared" ref="Y316" si="921">O314+O315+O316</f>
        <v>6597</v>
      </c>
      <c r="Z316" s="150">
        <f t="shared" ref="Z316" si="922">P314+P315+P316</f>
        <v>0</v>
      </c>
      <c r="AA316" s="150">
        <f t="shared" ref="AA316" si="923">Q314+Q315+Q316</f>
        <v>0</v>
      </c>
      <c r="AB316" s="150">
        <f t="shared" ref="AB316" si="924">R314+R315+R316</f>
        <v>0</v>
      </c>
      <c r="AC316" s="150">
        <f t="shared" ref="AC316" si="925">S314+S315+S316</f>
        <v>0</v>
      </c>
      <c r="AD316" s="150">
        <f t="shared" ref="AD316" si="926">T314+T315+T316</f>
        <v>2762</v>
      </c>
      <c r="AF316" s="158">
        <f t="shared" si="847"/>
        <v>26800</v>
      </c>
      <c r="AG316" s="149"/>
      <c r="AH316" s="149"/>
      <c r="AI316" s="149"/>
      <c r="AJ316" s="149"/>
      <c r="AK316" s="149"/>
      <c r="AL316" s="149"/>
      <c r="AM316" s="149"/>
      <c r="AN316" s="149"/>
      <c r="AO316" s="149"/>
      <c r="AP316" s="149"/>
      <c r="AQ316" s="149"/>
      <c r="AR316" s="149"/>
      <c r="AS316" s="149"/>
      <c r="AT316" s="149"/>
      <c r="AU316" s="149"/>
      <c r="AV316" s="149"/>
      <c r="AW316" s="149"/>
      <c r="AX316" s="149">
        <v>1497.8625999999999</v>
      </c>
      <c r="AY316" s="149"/>
      <c r="AZ316" s="149"/>
      <c r="BA316" s="149"/>
      <c r="BB316" s="149"/>
      <c r="BC316" s="149"/>
      <c r="BD316" s="149"/>
      <c r="BE316" s="149"/>
      <c r="BF316" s="149"/>
      <c r="BG316" s="149"/>
      <c r="BH316" s="149"/>
      <c r="BI316" s="149"/>
      <c r="BJ316" s="149"/>
      <c r="BK316" s="149">
        <v>1117.4496999999999</v>
      </c>
      <c r="BL316" s="149">
        <v>21.4498</v>
      </c>
      <c r="BM316" s="149"/>
      <c r="BN316" s="149"/>
      <c r="BO316" s="149"/>
      <c r="BP316" s="149"/>
      <c r="BQ316" s="149"/>
      <c r="BR316" s="149"/>
      <c r="BS316" s="149"/>
      <c r="BT316" s="149"/>
      <c r="BU316" s="149"/>
      <c r="BV316" s="149"/>
      <c r="BW316" s="149"/>
      <c r="BX316" s="149"/>
      <c r="BY316" s="149"/>
      <c r="BZ316" s="149"/>
      <c r="CA316" s="149"/>
      <c r="CB316" s="149">
        <v>171.18</v>
      </c>
      <c r="CC316" s="231">
        <f t="shared" si="848"/>
        <v>26800</v>
      </c>
    </row>
    <row r="317" spans="2:81" x14ac:dyDescent="0.25">
      <c r="B317" s="155">
        <v>26850</v>
      </c>
      <c r="C317" s="147">
        <f t="shared" si="829"/>
        <v>0</v>
      </c>
      <c r="D317" s="147">
        <f t="shared" si="830"/>
        <v>1370.8234</v>
      </c>
      <c r="E317" s="147">
        <f t="shared" si="841"/>
        <v>0</v>
      </c>
      <c r="F317" s="147">
        <f t="shared" si="831"/>
        <v>1278.2576999999999</v>
      </c>
      <c r="G317" s="147">
        <f t="shared" si="842"/>
        <v>0</v>
      </c>
      <c r="H317" s="147">
        <f t="shared" si="843"/>
        <v>0</v>
      </c>
      <c r="I317" s="147">
        <f t="shared" si="844"/>
        <v>0</v>
      </c>
      <c r="J317" s="156">
        <f t="shared" si="845"/>
        <v>0</v>
      </c>
      <c r="K317" s="157">
        <f t="shared" si="846"/>
        <v>189.14</v>
      </c>
      <c r="L317" s="151">
        <f t="shared" si="914"/>
        <v>0</v>
      </c>
      <c r="M317" s="147">
        <f t="shared" si="915"/>
        <v>2657</v>
      </c>
      <c r="N317" s="147"/>
      <c r="O317" s="147">
        <f t="shared" si="769"/>
        <v>2239</v>
      </c>
      <c r="P317" s="147">
        <f t="shared" si="916"/>
        <v>0</v>
      </c>
      <c r="Q317" s="147">
        <f t="shared" si="917"/>
        <v>0</v>
      </c>
      <c r="R317" s="147">
        <f t="shared" si="918"/>
        <v>0</v>
      </c>
      <c r="S317" s="147">
        <f t="shared" si="919"/>
        <v>0</v>
      </c>
      <c r="T317" s="147">
        <f t="shared" si="849"/>
        <v>1001</v>
      </c>
      <c r="V317" s="146"/>
      <c r="W317" s="147"/>
      <c r="X317" s="147"/>
      <c r="Y317" s="147"/>
      <c r="Z317" s="147"/>
      <c r="AA317" s="147"/>
      <c r="AB317" s="147"/>
      <c r="AC317" s="147"/>
      <c r="AD317" s="148"/>
      <c r="AF317" s="155">
        <f t="shared" si="847"/>
        <v>26850</v>
      </c>
      <c r="AG317" s="78"/>
      <c r="AH317" s="78"/>
      <c r="AI317" s="78"/>
      <c r="AJ317" s="78"/>
      <c r="AK317" s="78"/>
      <c r="AL317" s="78"/>
      <c r="AM317" s="78"/>
      <c r="AN317" s="78"/>
      <c r="AO317" s="78"/>
      <c r="AP317" s="78"/>
      <c r="AQ317" s="78"/>
      <c r="AR317" s="78"/>
      <c r="AS317" s="78"/>
      <c r="AT317" s="78"/>
      <c r="AU317" s="78"/>
      <c r="AV317" s="78"/>
      <c r="AW317" s="78"/>
      <c r="AX317" s="78">
        <v>1370.8234</v>
      </c>
      <c r="AY317" s="78"/>
      <c r="AZ317" s="78"/>
      <c r="BA317" s="78"/>
      <c r="BB317" s="78"/>
      <c r="BC317" s="78"/>
      <c r="BD317" s="78"/>
      <c r="BE317" s="78"/>
      <c r="BF317" s="78"/>
      <c r="BG317" s="78"/>
      <c r="BH317" s="78"/>
      <c r="BI317" s="78"/>
      <c r="BJ317" s="78"/>
      <c r="BK317" s="78">
        <v>1255.9947</v>
      </c>
      <c r="BL317" s="78">
        <v>22.263000000000002</v>
      </c>
      <c r="BM317" s="78"/>
      <c r="BN317" s="78"/>
      <c r="BO317" s="78"/>
      <c r="BP317" s="78"/>
      <c r="BQ317" s="78"/>
      <c r="BR317" s="78"/>
      <c r="BS317" s="78"/>
      <c r="BT317" s="78"/>
      <c r="BU317" s="78"/>
      <c r="BV317" s="78"/>
      <c r="BW317" s="78"/>
      <c r="BX317" s="78"/>
      <c r="BY317" s="78"/>
      <c r="BZ317" s="78"/>
      <c r="CA317" s="78"/>
      <c r="CB317" s="78">
        <v>189.14</v>
      </c>
      <c r="CC317" s="231">
        <f t="shared" si="848"/>
        <v>26850</v>
      </c>
    </row>
    <row r="318" spans="2:81" x14ac:dyDescent="0.25">
      <c r="B318" s="57">
        <v>26900</v>
      </c>
      <c r="C318" s="58">
        <f t="shared" si="829"/>
        <v>0</v>
      </c>
      <c r="D318" s="58">
        <f t="shared" si="830"/>
        <v>1300.7362000000001</v>
      </c>
      <c r="E318" s="58">
        <f t="shared" si="841"/>
        <v>0</v>
      </c>
      <c r="F318" s="58">
        <f t="shared" si="831"/>
        <v>1425.9209000000001</v>
      </c>
      <c r="G318" s="58">
        <f t="shared" si="842"/>
        <v>0</v>
      </c>
      <c r="H318" s="58">
        <f t="shared" si="843"/>
        <v>0</v>
      </c>
      <c r="I318" s="58">
        <f t="shared" si="844"/>
        <v>0</v>
      </c>
      <c r="J318" s="51">
        <f t="shared" si="845"/>
        <v>0</v>
      </c>
      <c r="K318" s="99">
        <f t="shared" si="846"/>
        <v>203.56</v>
      </c>
      <c r="L318" s="105">
        <f t="shared" si="914"/>
        <v>0</v>
      </c>
      <c r="M318" s="58">
        <f t="shared" si="915"/>
        <v>2474</v>
      </c>
      <c r="N318" s="58"/>
      <c r="O318" s="58">
        <f t="shared" si="769"/>
        <v>2504</v>
      </c>
      <c r="P318" s="58">
        <f t="shared" si="916"/>
        <v>0</v>
      </c>
      <c r="Q318" s="58">
        <f t="shared" si="917"/>
        <v>0</v>
      </c>
      <c r="R318" s="58">
        <f t="shared" si="918"/>
        <v>0</v>
      </c>
      <c r="S318" s="58">
        <f t="shared" si="919"/>
        <v>0</v>
      </c>
      <c r="T318" s="58">
        <f t="shared" si="849"/>
        <v>1091</v>
      </c>
      <c r="V318" s="137"/>
      <c r="W318" s="58"/>
      <c r="X318" s="58"/>
      <c r="Y318" s="58"/>
      <c r="Z318" s="58"/>
      <c r="AA318" s="58"/>
      <c r="AB318" s="58"/>
      <c r="AC318" s="58"/>
      <c r="AD318" s="138"/>
      <c r="AF318" s="57">
        <f t="shared" si="847"/>
        <v>26900</v>
      </c>
      <c r="AG318" s="49"/>
      <c r="AH318" s="49"/>
      <c r="AI318" s="49"/>
      <c r="AJ318" s="49"/>
      <c r="AK318" s="49"/>
      <c r="AL318" s="49"/>
      <c r="AM318" s="49"/>
      <c r="AN318" s="49"/>
      <c r="AO318" s="49"/>
      <c r="AP318" s="49"/>
      <c r="AQ318" s="49"/>
      <c r="AR318" s="49"/>
      <c r="AS318" s="49"/>
      <c r="AT318" s="49"/>
      <c r="AU318" s="49"/>
      <c r="AV318" s="49"/>
      <c r="AW318" s="49"/>
      <c r="AX318" s="49">
        <v>1300.7362000000001</v>
      </c>
      <c r="AY318" s="49"/>
      <c r="AZ318" s="49"/>
      <c r="BA318" s="49"/>
      <c r="BB318" s="49"/>
      <c r="BC318" s="49"/>
      <c r="BD318" s="49"/>
      <c r="BE318" s="49"/>
      <c r="BF318" s="49"/>
      <c r="BG318" s="49"/>
      <c r="BH318" s="49"/>
      <c r="BI318" s="49"/>
      <c r="BJ318" s="49"/>
      <c r="BK318" s="49">
        <v>1425.9209000000001</v>
      </c>
      <c r="BL318" s="49"/>
      <c r="BM318" s="49"/>
      <c r="BN318" s="49"/>
      <c r="BO318" s="49"/>
      <c r="BP318" s="49"/>
      <c r="BQ318" s="49"/>
      <c r="BR318" s="49"/>
      <c r="BS318" s="49"/>
      <c r="BT318" s="49"/>
      <c r="BU318" s="49"/>
      <c r="BV318" s="49"/>
      <c r="BW318" s="49"/>
      <c r="BX318" s="49"/>
      <c r="BY318" s="49"/>
      <c r="BZ318" s="49"/>
      <c r="CA318" s="49"/>
      <c r="CB318" s="49">
        <v>203.56</v>
      </c>
      <c r="CC318" s="231">
        <f t="shared" si="848"/>
        <v>26900</v>
      </c>
    </row>
    <row r="319" spans="2:81" s="3" customFormat="1" ht="15.75" thickBot="1" x14ac:dyDescent="0.3">
      <c r="B319" s="158">
        <v>26950</v>
      </c>
      <c r="C319" s="144">
        <f t="shared" si="829"/>
        <v>0</v>
      </c>
      <c r="D319" s="144">
        <f t="shared" si="830"/>
        <v>1279.4366</v>
      </c>
      <c r="E319" s="144">
        <f t="shared" si="841"/>
        <v>0</v>
      </c>
      <c r="F319" s="144">
        <f t="shared" si="831"/>
        <v>1831.42</v>
      </c>
      <c r="G319" s="144">
        <f t="shared" si="842"/>
        <v>0</v>
      </c>
      <c r="H319" s="144">
        <f t="shared" si="843"/>
        <v>0</v>
      </c>
      <c r="I319" s="144">
        <f t="shared" si="844"/>
        <v>0</v>
      </c>
      <c r="J319" s="159">
        <f t="shared" si="845"/>
        <v>0</v>
      </c>
      <c r="K319" s="160">
        <f t="shared" si="846"/>
        <v>228.84</v>
      </c>
      <c r="L319" s="152">
        <f t="shared" si="914"/>
        <v>0</v>
      </c>
      <c r="M319" s="144">
        <f t="shared" si="915"/>
        <v>2390</v>
      </c>
      <c r="N319" s="144"/>
      <c r="O319" s="144">
        <f t="shared" si="769"/>
        <v>3017</v>
      </c>
      <c r="P319" s="144">
        <f t="shared" si="916"/>
        <v>0</v>
      </c>
      <c r="Q319" s="144">
        <f t="shared" si="917"/>
        <v>0</v>
      </c>
      <c r="R319" s="144">
        <f t="shared" si="918"/>
        <v>0</v>
      </c>
      <c r="S319" s="144">
        <f t="shared" si="919"/>
        <v>0</v>
      </c>
      <c r="T319" s="144">
        <f t="shared" si="849"/>
        <v>1202</v>
      </c>
      <c r="V319" s="150">
        <f>L317+L318+L319</f>
        <v>0</v>
      </c>
      <c r="W319" s="150">
        <f t="shared" ref="W319" si="927">M317+M318+M319</f>
        <v>7521</v>
      </c>
      <c r="X319" s="150"/>
      <c r="Y319" s="150">
        <f t="shared" ref="Y319" si="928">O317+O318+O319</f>
        <v>7760</v>
      </c>
      <c r="Z319" s="150">
        <f t="shared" ref="Z319" si="929">P317+P318+P319</f>
        <v>0</v>
      </c>
      <c r="AA319" s="150">
        <f t="shared" ref="AA319" si="930">Q317+Q318+Q319</f>
        <v>0</v>
      </c>
      <c r="AB319" s="150">
        <f t="shared" ref="AB319" si="931">R317+R318+R319</f>
        <v>0</v>
      </c>
      <c r="AC319" s="150">
        <f t="shared" ref="AC319" si="932">S317+S318+S319</f>
        <v>0</v>
      </c>
      <c r="AD319" s="150">
        <f t="shared" ref="AD319" si="933">T317+T318+T319</f>
        <v>3294</v>
      </c>
      <c r="AF319" s="158">
        <f t="shared" si="847"/>
        <v>26950</v>
      </c>
      <c r="AG319" s="149"/>
      <c r="AH319" s="149"/>
      <c r="AI319" s="149"/>
      <c r="AJ319" s="149"/>
      <c r="AK319" s="149"/>
      <c r="AL319" s="149"/>
      <c r="AM319" s="149"/>
      <c r="AN319" s="149"/>
      <c r="AO319" s="149"/>
      <c r="AP319" s="149"/>
      <c r="AQ319" s="149"/>
      <c r="AR319" s="149"/>
      <c r="AS319" s="149"/>
      <c r="AT319" s="149"/>
      <c r="AU319" s="149"/>
      <c r="AV319" s="149"/>
      <c r="AW319" s="149"/>
      <c r="AX319" s="149">
        <v>1279.4366</v>
      </c>
      <c r="AY319" s="149"/>
      <c r="AZ319" s="149"/>
      <c r="BA319" s="149"/>
      <c r="BB319" s="149"/>
      <c r="BC319" s="149"/>
      <c r="BD319" s="149"/>
      <c r="BE319" s="149"/>
      <c r="BF319" s="149"/>
      <c r="BG319" s="149"/>
      <c r="BH319" s="149"/>
      <c r="BI319" s="149"/>
      <c r="BJ319" s="149"/>
      <c r="BK319" s="149">
        <v>1831.42</v>
      </c>
      <c r="BL319" s="149"/>
      <c r="BM319" s="149"/>
      <c r="BN319" s="149"/>
      <c r="BO319" s="149"/>
      <c r="BP319" s="149"/>
      <c r="BQ319" s="149"/>
      <c r="BR319" s="149"/>
      <c r="BS319" s="149"/>
      <c r="BT319" s="149"/>
      <c r="BU319" s="149"/>
      <c r="BV319" s="149"/>
      <c r="BW319" s="149"/>
      <c r="BX319" s="149"/>
      <c r="BY319" s="149"/>
      <c r="BZ319" s="149"/>
      <c r="CA319" s="149"/>
      <c r="CB319" s="149">
        <v>228.84</v>
      </c>
      <c r="CC319" s="231">
        <f t="shared" si="848"/>
        <v>26950</v>
      </c>
    </row>
    <row r="320" spans="2:81" x14ac:dyDescent="0.25">
      <c r="B320" s="155">
        <v>27000</v>
      </c>
      <c r="C320" s="147">
        <f t="shared" si="829"/>
        <v>0</v>
      </c>
      <c r="D320" s="147">
        <f t="shared" si="830"/>
        <v>1281.9554000000001</v>
      </c>
      <c r="E320" s="147">
        <f t="shared" si="841"/>
        <v>0</v>
      </c>
      <c r="F320" s="147">
        <f t="shared" si="831"/>
        <v>2715.5236</v>
      </c>
      <c r="G320" s="147">
        <f t="shared" si="842"/>
        <v>0</v>
      </c>
      <c r="H320" s="147">
        <f t="shared" si="843"/>
        <v>0</v>
      </c>
      <c r="I320" s="147">
        <f t="shared" si="844"/>
        <v>0</v>
      </c>
      <c r="J320" s="156">
        <f t="shared" si="845"/>
        <v>0</v>
      </c>
      <c r="K320" s="157">
        <f t="shared" si="846"/>
        <v>195.33</v>
      </c>
      <c r="L320" s="151">
        <f t="shared" si="914"/>
        <v>0</v>
      </c>
      <c r="M320" s="147">
        <f t="shared" si="915"/>
        <v>2372</v>
      </c>
      <c r="N320" s="147"/>
      <c r="O320" s="147">
        <f t="shared" ref="O320:O376" si="934">ROUNDUP(((F319+F320)*0.5)*(B320-B319)/27,0)</f>
        <v>4211</v>
      </c>
      <c r="P320" s="147">
        <f t="shared" si="916"/>
        <v>0</v>
      </c>
      <c r="Q320" s="147">
        <f t="shared" si="917"/>
        <v>0</v>
      </c>
      <c r="R320" s="147">
        <f t="shared" si="918"/>
        <v>0</v>
      </c>
      <c r="S320" s="147">
        <f t="shared" si="919"/>
        <v>0</v>
      </c>
      <c r="T320" s="147">
        <f t="shared" si="849"/>
        <v>1179</v>
      </c>
      <c r="V320" s="146"/>
      <c r="W320" s="147"/>
      <c r="X320" s="147"/>
      <c r="Y320" s="147"/>
      <c r="Z320" s="147"/>
      <c r="AA320" s="147"/>
      <c r="AB320" s="147"/>
      <c r="AC320" s="147"/>
      <c r="AD320" s="148"/>
      <c r="AF320" s="155">
        <f t="shared" si="847"/>
        <v>27000</v>
      </c>
      <c r="AG320" s="78"/>
      <c r="AH320" s="78"/>
      <c r="AI320" s="78"/>
      <c r="AJ320" s="78"/>
      <c r="AK320" s="78"/>
      <c r="AL320" s="78"/>
      <c r="AM320" s="78"/>
      <c r="AN320" s="78"/>
      <c r="AO320" s="78"/>
      <c r="AP320" s="78"/>
      <c r="AQ320" s="78"/>
      <c r="AR320" s="78"/>
      <c r="AS320" s="78"/>
      <c r="AT320" s="78"/>
      <c r="AU320" s="78"/>
      <c r="AV320" s="78"/>
      <c r="AW320" s="78"/>
      <c r="AX320" s="78">
        <v>1281.9554000000001</v>
      </c>
      <c r="AY320" s="78"/>
      <c r="AZ320" s="78"/>
      <c r="BA320" s="78"/>
      <c r="BB320" s="78"/>
      <c r="BC320" s="78"/>
      <c r="BD320" s="78"/>
      <c r="BE320" s="78"/>
      <c r="BF320" s="78"/>
      <c r="BG320" s="78"/>
      <c r="BH320" s="78"/>
      <c r="BI320" s="78"/>
      <c r="BJ320" s="78"/>
      <c r="BK320" s="78">
        <v>2715.5236</v>
      </c>
      <c r="BL320" s="78"/>
      <c r="BM320" s="78"/>
      <c r="BN320" s="78"/>
      <c r="BO320" s="78"/>
      <c r="BP320" s="78"/>
      <c r="BQ320" s="78"/>
      <c r="BR320" s="78"/>
      <c r="BS320" s="78"/>
      <c r="BT320" s="78"/>
      <c r="BU320" s="78"/>
      <c r="BV320" s="78"/>
      <c r="BW320" s="78"/>
      <c r="BX320" s="78"/>
      <c r="BY320" s="78"/>
      <c r="BZ320" s="78"/>
      <c r="CA320" s="78"/>
      <c r="CB320" s="78">
        <v>195.33</v>
      </c>
      <c r="CC320" s="231">
        <f t="shared" si="848"/>
        <v>27000</v>
      </c>
    </row>
    <row r="321" spans="2:81" x14ac:dyDescent="0.25">
      <c r="B321" s="57">
        <v>27050</v>
      </c>
      <c r="C321" s="58">
        <f t="shared" si="829"/>
        <v>115.0378</v>
      </c>
      <c r="D321" s="58">
        <f t="shared" si="830"/>
        <v>1282.4695999999999</v>
      </c>
      <c r="E321" s="58">
        <f t="shared" si="841"/>
        <v>0</v>
      </c>
      <c r="F321" s="58">
        <f t="shared" si="831"/>
        <v>3609.6975000000002</v>
      </c>
      <c r="G321" s="58">
        <f t="shared" si="842"/>
        <v>0</v>
      </c>
      <c r="H321" s="58">
        <f t="shared" si="843"/>
        <v>0</v>
      </c>
      <c r="I321" s="58">
        <f t="shared" si="844"/>
        <v>0</v>
      </c>
      <c r="J321" s="51">
        <f t="shared" si="845"/>
        <v>0</v>
      </c>
      <c r="K321" s="99">
        <f t="shared" si="846"/>
        <v>219.29</v>
      </c>
      <c r="L321" s="105">
        <f t="shared" si="914"/>
        <v>107</v>
      </c>
      <c r="M321" s="58">
        <f t="shared" si="915"/>
        <v>2375</v>
      </c>
      <c r="N321" s="58"/>
      <c r="O321" s="58">
        <f t="shared" si="934"/>
        <v>5857</v>
      </c>
      <c r="P321" s="58">
        <f t="shared" si="916"/>
        <v>0</v>
      </c>
      <c r="Q321" s="58">
        <f t="shared" si="917"/>
        <v>0</v>
      </c>
      <c r="R321" s="58">
        <f t="shared" si="918"/>
        <v>0</v>
      </c>
      <c r="S321" s="58">
        <f t="shared" si="919"/>
        <v>0</v>
      </c>
      <c r="T321" s="58">
        <f t="shared" si="849"/>
        <v>1152</v>
      </c>
      <c r="V321" s="137"/>
      <c r="W321" s="58"/>
      <c r="X321" s="58"/>
      <c r="Y321" s="58"/>
      <c r="Z321" s="58"/>
      <c r="AA321" s="58"/>
      <c r="AB321" s="58"/>
      <c r="AC321" s="58"/>
      <c r="AD321" s="138"/>
      <c r="AF321" s="57">
        <f t="shared" si="847"/>
        <v>27050</v>
      </c>
      <c r="AG321" s="49">
        <v>115.0378</v>
      </c>
      <c r="AH321" s="49"/>
      <c r="AI321" s="49"/>
      <c r="AJ321" s="49"/>
      <c r="AK321" s="49"/>
      <c r="AL321" s="49"/>
      <c r="AM321" s="49"/>
      <c r="AN321" s="49"/>
      <c r="AO321" s="49"/>
      <c r="AP321" s="49"/>
      <c r="AQ321" s="49"/>
      <c r="AR321" s="49"/>
      <c r="AS321" s="49"/>
      <c r="AT321" s="49"/>
      <c r="AU321" s="49"/>
      <c r="AV321" s="49"/>
      <c r="AW321" s="49"/>
      <c r="AX321" s="49">
        <v>1282.4695999999999</v>
      </c>
      <c r="AY321" s="49"/>
      <c r="AZ321" s="49"/>
      <c r="BA321" s="49"/>
      <c r="BB321" s="49"/>
      <c r="BC321" s="49"/>
      <c r="BD321" s="49"/>
      <c r="BE321" s="49"/>
      <c r="BF321" s="49"/>
      <c r="BG321" s="49"/>
      <c r="BH321" s="49"/>
      <c r="BI321" s="49"/>
      <c r="BJ321" s="49"/>
      <c r="BK321" s="49">
        <v>3609.6975000000002</v>
      </c>
      <c r="BL321" s="49"/>
      <c r="BM321" s="49"/>
      <c r="BN321" s="49"/>
      <c r="BO321" s="49"/>
      <c r="BP321" s="49"/>
      <c r="BQ321" s="49"/>
      <c r="BR321" s="49"/>
      <c r="BS321" s="49"/>
      <c r="BT321" s="49"/>
      <c r="BU321" s="49"/>
      <c r="BV321" s="49"/>
      <c r="BW321" s="49"/>
      <c r="BX321" s="49"/>
      <c r="BY321" s="49"/>
      <c r="BZ321" s="49"/>
      <c r="CA321" s="49"/>
      <c r="CB321" s="49">
        <v>219.29</v>
      </c>
      <c r="CC321" s="231">
        <f t="shared" si="848"/>
        <v>27050</v>
      </c>
    </row>
    <row r="322" spans="2:81" s="3" customFormat="1" ht="15.75" thickBot="1" x14ac:dyDescent="0.3">
      <c r="B322" s="158">
        <v>27100</v>
      </c>
      <c r="C322" s="144">
        <f t="shared" si="829"/>
        <v>34.194099999999999</v>
      </c>
      <c r="D322" s="144">
        <f t="shared" si="830"/>
        <v>1313.4091000000001</v>
      </c>
      <c r="E322" s="144">
        <f t="shared" si="841"/>
        <v>0</v>
      </c>
      <c r="F322" s="144">
        <f t="shared" si="831"/>
        <v>3461.5401999999999</v>
      </c>
      <c r="G322" s="144">
        <f t="shared" si="842"/>
        <v>0</v>
      </c>
      <c r="H322" s="144">
        <f t="shared" si="843"/>
        <v>0</v>
      </c>
      <c r="I322" s="144">
        <f t="shared" si="844"/>
        <v>0</v>
      </c>
      <c r="J322" s="159">
        <f t="shared" si="845"/>
        <v>0</v>
      </c>
      <c r="K322" s="160">
        <f t="shared" si="846"/>
        <v>208.27</v>
      </c>
      <c r="L322" s="152">
        <f t="shared" si="914"/>
        <v>139</v>
      </c>
      <c r="M322" s="144">
        <f t="shared" si="915"/>
        <v>2404</v>
      </c>
      <c r="N322" s="144"/>
      <c r="O322" s="144">
        <f t="shared" si="934"/>
        <v>6548</v>
      </c>
      <c r="P322" s="144">
        <f t="shared" si="916"/>
        <v>0</v>
      </c>
      <c r="Q322" s="144">
        <f t="shared" si="917"/>
        <v>0</v>
      </c>
      <c r="R322" s="144">
        <f t="shared" si="918"/>
        <v>0</v>
      </c>
      <c r="S322" s="144">
        <f t="shared" si="919"/>
        <v>0</v>
      </c>
      <c r="T322" s="144">
        <f t="shared" si="849"/>
        <v>1188</v>
      </c>
      <c r="V322" s="150">
        <f>L320+L321+L322</f>
        <v>246</v>
      </c>
      <c r="W322" s="150">
        <f t="shared" ref="W322" si="935">M320+M321+M322</f>
        <v>7151</v>
      </c>
      <c r="X322" s="150"/>
      <c r="Y322" s="150">
        <f t="shared" ref="Y322" si="936">O320+O321+O322</f>
        <v>16616</v>
      </c>
      <c r="Z322" s="150">
        <f t="shared" ref="Z322" si="937">P320+P321+P322</f>
        <v>0</v>
      </c>
      <c r="AA322" s="150">
        <f t="shared" ref="AA322" si="938">Q320+Q321+Q322</f>
        <v>0</v>
      </c>
      <c r="AB322" s="150">
        <f t="shared" ref="AB322" si="939">R320+R321+R322</f>
        <v>0</v>
      </c>
      <c r="AC322" s="150">
        <f t="shared" ref="AC322" si="940">S320+S321+S322</f>
        <v>0</v>
      </c>
      <c r="AD322" s="150">
        <f t="shared" ref="AD322" si="941">T320+T321+T322</f>
        <v>3519</v>
      </c>
      <c r="AF322" s="158">
        <f t="shared" si="847"/>
        <v>27100</v>
      </c>
      <c r="AG322" s="149">
        <v>34.194099999999999</v>
      </c>
      <c r="AH322" s="149"/>
      <c r="AI322" s="149"/>
      <c r="AJ322" s="149"/>
      <c r="AK322" s="149"/>
      <c r="AL322" s="149"/>
      <c r="AM322" s="149"/>
      <c r="AN322" s="149"/>
      <c r="AO322" s="149"/>
      <c r="AP322" s="149"/>
      <c r="AQ322" s="149"/>
      <c r="AR322" s="149"/>
      <c r="AS322" s="149"/>
      <c r="AT322" s="149"/>
      <c r="AU322" s="149"/>
      <c r="AV322" s="149"/>
      <c r="AW322" s="149"/>
      <c r="AX322" s="149">
        <v>1313.4091000000001</v>
      </c>
      <c r="AY322" s="149"/>
      <c r="AZ322" s="149"/>
      <c r="BA322" s="149"/>
      <c r="BB322" s="149"/>
      <c r="BC322" s="149"/>
      <c r="BD322" s="149"/>
      <c r="BE322" s="149"/>
      <c r="BF322" s="149"/>
      <c r="BG322" s="149"/>
      <c r="BH322" s="149"/>
      <c r="BI322" s="149"/>
      <c r="BJ322" s="149"/>
      <c r="BK322" s="149">
        <v>3461.5401999999999</v>
      </c>
      <c r="BL322" s="149"/>
      <c r="BM322" s="149"/>
      <c r="BN322" s="149"/>
      <c r="BO322" s="149"/>
      <c r="BP322" s="149"/>
      <c r="BQ322" s="149"/>
      <c r="BR322" s="149"/>
      <c r="BS322" s="149"/>
      <c r="BT322" s="149"/>
      <c r="BU322" s="149"/>
      <c r="BV322" s="149"/>
      <c r="BW322" s="149"/>
      <c r="BX322" s="149"/>
      <c r="BY322" s="149"/>
      <c r="BZ322" s="149"/>
      <c r="CA322" s="149"/>
      <c r="CB322" s="149">
        <v>208.27</v>
      </c>
      <c r="CC322" s="231">
        <f t="shared" si="848"/>
        <v>27100</v>
      </c>
    </row>
    <row r="323" spans="2:81" x14ac:dyDescent="0.25">
      <c r="B323" s="155">
        <v>27150</v>
      </c>
      <c r="C323" s="147">
        <f t="shared" si="829"/>
        <v>0</v>
      </c>
      <c r="D323" s="147">
        <f t="shared" si="830"/>
        <v>1337.1117999999999</v>
      </c>
      <c r="E323" s="147">
        <f t="shared" si="841"/>
        <v>0</v>
      </c>
      <c r="F323" s="147">
        <f t="shared" si="831"/>
        <v>4478.1125000000002</v>
      </c>
      <c r="G323" s="147">
        <f t="shared" si="842"/>
        <v>0</v>
      </c>
      <c r="H323" s="147">
        <f t="shared" si="843"/>
        <v>0</v>
      </c>
      <c r="I323" s="147">
        <f t="shared" si="844"/>
        <v>0</v>
      </c>
      <c r="J323" s="156">
        <f t="shared" si="845"/>
        <v>0</v>
      </c>
      <c r="K323" s="157">
        <f t="shared" si="846"/>
        <v>220.69</v>
      </c>
      <c r="L323" s="151">
        <f t="shared" si="914"/>
        <v>32</v>
      </c>
      <c r="M323" s="147">
        <f t="shared" si="915"/>
        <v>2455</v>
      </c>
      <c r="N323" s="147"/>
      <c r="O323" s="147">
        <f t="shared" si="934"/>
        <v>7352</v>
      </c>
      <c r="P323" s="147">
        <f t="shared" si="916"/>
        <v>0</v>
      </c>
      <c r="Q323" s="147">
        <f t="shared" si="917"/>
        <v>0</v>
      </c>
      <c r="R323" s="147">
        <f t="shared" si="918"/>
        <v>0</v>
      </c>
      <c r="S323" s="147">
        <f t="shared" si="919"/>
        <v>0</v>
      </c>
      <c r="T323" s="147">
        <f t="shared" si="849"/>
        <v>1192</v>
      </c>
      <c r="V323" s="146"/>
      <c r="W323" s="147"/>
      <c r="X323" s="147"/>
      <c r="Y323" s="147"/>
      <c r="Z323" s="147"/>
      <c r="AA323" s="147"/>
      <c r="AB323" s="147"/>
      <c r="AC323" s="147"/>
      <c r="AD323" s="148"/>
      <c r="AF323" s="155">
        <f t="shared" si="847"/>
        <v>27150</v>
      </c>
      <c r="AG323" s="78"/>
      <c r="AH323" s="78"/>
      <c r="AI323" s="78"/>
      <c r="AJ323" s="78"/>
      <c r="AK323" s="78"/>
      <c r="AL323" s="78"/>
      <c r="AM323" s="78"/>
      <c r="AN323" s="78"/>
      <c r="AO323" s="78"/>
      <c r="AP323" s="78"/>
      <c r="AQ323" s="78"/>
      <c r="AR323" s="78"/>
      <c r="AS323" s="78"/>
      <c r="AT323" s="78"/>
      <c r="AU323" s="78"/>
      <c r="AV323" s="78"/>
      <c r="AW323" s="78"/>
      <c r="AX323" s="78">
        <v>1337.1117999999999</v>
      </c>
      <c r="AY323" s="78"/>
      <c r="AZ323" s="78"/>
      <c r="BA323" s="78"/>
      <c r="BB323" s="78"/>
      <c r="BC323" s="78"/>
      <c r="BD323" s="78"/>
      <c r="BE323" s="78"/>
      <c r="BF323" s="78"/>
      <c r="BG323" s="78"/>
      <c r="BH323" s="78"/>
      <c r="BI323" s="78"/>
      <c r="BJ323" s="78"/>
      <c r="BK323" s="78">
        <v>4478.1125000000002</v>
      </c>
      <c r="BL323" s="78"/>
      <c r="BM323" s="78"/>
      <c r="BN323" s="78"/>
      <c r="BO323" s="78"/>
      <c r="BP323" s="78"/>
      <c r="BQ323" s="78"/>
      <c r="BR323" s="78"/>
      <c r="BS323" s="78"/>
      <c r="BT323" s="78"/>
      <c r="BU323" s="78"/>
      <c r="BV323" s="78"/>
      <c r="BW323" s="78"/>
      <c r="BX323" s="78"/>
      <c r="BY323" s="78"/>
      <c r="BZ323" s="78"/>
      <c r="CA323" s="78"/>
      <c r="CB323" s="78">
        <v>220.69</v>
      </c>
      <c r="CC323" s="231">
        <f t="shared" si="848"/>
        <v>27150</v>
      </c>
    </row>
    <row r="324" spans="2:81" x14ac:dyDescent="0.25">
      <c r="B324" s="57">
        <v>27200</v>
      </c>
      <c r="C324" s="58">
        <f t="shared" si="829"/>
        <v>0</v>
      </c>
      <c r="D324" s="58">
        <f t="shared" si="830"/>
        <v>1940.1575</v>
      </c>
      <c r="E324" s="58">
        <f t="shared" si="841"/>
        <v>0</v>
      </c>
      <c r="F324" s="58">
        <f t="shared" si="831"/>
        <v>5327.1839</v>
      </c>
      <c r="G324" s="58">
        <f t="shared" si="842"/>
        <v>0</v>
      </c>
      <c r="H324" s="58">
        <f t="shared" si="843"/>
        <v>0</v>
      </c>
      <c r="I324" s="58">
        <f t="shared" si="844"/>
        <v>0</v>
      </c>
      <c r="J324" s="51">
        <f t="shared" si="845"/>
        <v>0</v>
      </c>
      <c r="K324" s="99">
        <f t="shared" si="846"/>
        <v>279.77</v>
      </c>
      <c r="L324" s="105">
        <f t="shared" si="914"/>
        <v>0</v>
      </c>
      <c r="M324" s="58">
        <f t="shared" si="915"/>
        <v>3035</v>
      </c>
      <c r="N324" s="58"/>
      <c r="O324" s="58">
        <f t="shared" si="934"/>
        <v>9079</v>
      </c>
      <c r="P324" s="58">
        <f t="shared" si="916"/>
        <v>0</v>
      </c>
      <c r="Q324" s="58">
        <f t="shared" si="917"/>
        <v>0</v>
      </c>
      <c r="R324" s="58">
        <f t="shared" si="918"/>
        <v>0</v>
      </c>
      <c r="S324" s="58">
        <f t="shared" si="919"/>
        <v>0</v>
      </c>
      <c r="T324" s="58">
        <f t="shared" si="849"/>
        <v>1391</v>
      </c>
      <c r="V324" s="137"/>
      <c r="W324" s="58"/>
      <c r="X324" s="58"/>
      <c r="Y324" s="58"/>
      <c r="Z324" s="58"/>
      <c r="AA324" s="58"/>
      <c r="AB324" s="58"/>
      <c r="AC324" s="58"/>
      <c r="AD324" s="138"/>
      <c r="AF324" s="57">
        <f t="shared" si="847"/>
        <v>27200</v>
      </c>
      <c r="AG324" s="49"/>
      <c r="AH324" s="49"/>
      <c r="AI324" s="49"/>
      <c r="AJ324" s="49"/>
      <c r="AK324" s="49"/>
      <c r="AL324" s="49"/>
      <c r="AM324" s="49"/>
      <c r="AN324" s="49"/>
      <c r="AO324" s="49"/>
      <c r="AP324" s="49"/>
      <c r="AQ324" s="49"/>
      <c r="AR324" s="49"/>
      <c r="AS324" s="49"/>
      <c r="AT324" s="49"/>
      <c r="AU324" s="49"/>
      <c r="AV324" s="49"/>
      <c r="AW324" s="49"/>
      <c r="AX324" s="49">
        <v>1940.1575</v>
      </c>
      <c r="AY324" s="49"/>
      <c r="AZ324" s="49"/>
      <c r="BA324" s="49"/>
      <c r="BB324" s="49"/>
      <c r="BC324" s="49"/>
      <c r="BD324" s="49"/>
      <c r="BE324" s="49"/>
      <c r="BF324" s="49"/>
      <c r="BG324" s="49"/>
      <c r="BH324" s="49"/>
      <c r="BI324" s="49"/>
      <c r="BJ324" s="49"/>
      <c r="BK324" s="49">
        <v>5327.1839</v>
      </c>
      <c r="BL324" s="49"/>
      <c r="BM324" s="49"/>
      <c r="BN324" s="49"/>
      <c r="BO324" s="49"/>
      <c r="BP324" s="49"/>
      <c r="BQ324" s="49"/>
      <c r="BR324" s="49"/>
      <c r="BS324" s="49"/>
      <c r="BT324" s="49"/>
      <c r="BU324" s="49"/>
      <c r="BV324" s="49"/>
      <c r="BW324" s="49"/>
      <c r="BX324" s="49"/>
      <c r="BY324" s="49"/>
      <c r="BZ324" s="49"/>
      <c r="CA324" s="49"/>
      <c r="CB324" s="49">
        <v>279.77</v>
      </c>
      <c r="CC324" s="231">
        <f t="shared" si="848"/>
        <v>27200</v>
      </c>
    </row>
    <row r="325" spans="2:81" s="3" customFormat="1" ht="15.75" thickBot="1" x14ac:dyDescent="0.3">
      <c r="B325" s="158">
        <v>27250</v>
      </c>
      <c r="C325" s="144">
        <f t="shared" si="829"/>
        <v>0</v>
      </c>
      <c r="D325" s="144">
        <f t="shared" si="830"/>
        <v>1622.4662000000001</v>
      </c>
      <c r="E325" s="144">
        <f t="shared" si="841"/>
        <v>0</v>
      </c>
      <c r="F325" s="144">
        <f t="shared" si="831"/>
        <v>5072.9583000000002</v>
      </c>
      <c r="G325" s="144">
        <f t="shared" si="842"/>
        <v>0</v>
      </c>
      <c r="H325" s="144">
        <f t="shared" si="843"/>
        <v>0</v>
      </c>
      <c r="I325" s="144">
        <f t="shared" si="844"/>
        <v>0</v>
      </c>
      <c r="J325" s="159">
        <f t="shared" si="845"/>
        <v>0</v>
      </c>
      <c r="K325" s="160">
        <f t="shared" si="846"/>
        <v>265.2</v>
      </c>
      <c r="L325" s="152">
        <f t="shared" si="914"/>
        <v>0</v>
      </c>
      <c r="M325" s="144">
        <f t="shared" si="915"/>
        <v>3299</v>
      </c>
      <c r="N325" s="144"/>
      <c r="O325" s="144">
        <f t="shared" si="934"/>
        <v>9630</v>
      </c>
      <c r="P325" s="144">
        <f t="shared" si="916"/>
        <v>0</v>
      </c>
      <c r="Q325" s="144">
        <f t="shared" si="917"/>
        <v>0</v>
      </c>
      <c r="R325" s="144">
        <f t="shared" si="918"/>
        <v>0</v>
      </c>
      <c r="S325" s="144">
        <f t="shared" si="919"/>
        <v>0</v>
      </c>
      <c r="T325" s="144">
        <f t="shared" si="849"/>
        <v>1514</v>
      </c>
      <c r="V325" s="150">
        <f>L323+L324+L325</f>
        <v>32</v>
      </c>
      <c r="W325" s="150">
        <f t="shared" ref="W325" si="942">M323+M324+M325</f>
        <v>8789</v>
      </c>
      <c r="X325" s="150"/>
      <c r="Y325" s="150">
        <f>O323+O324+O325</f>
        <v>26061</v>
      </c>
      <c r="Z325" s="150">
        <f t="shared" ref="Z325" si="943">P323+P324+P325</f>
        <v>0</v>
      </c>
      <c r="AA325" s="150">
        <f t="shared" ref="AA325" si="944">Q323+Q324+Q325</f>
        <v>0</v>
      </c>
      <c r="AB325" s="150">
        <f t="shared" ref="AB325" si="945">R323+R324+R325</f>
        <v>0</v>
      </c>
      <c r="AC325" s="150">
        <f t="shared" ref="AC325" si="946">S323+S324+S325</f>
        <v>0</v>
      </c>
      <c r="AD325" s="150">
        <f t="shared" ref="AD325" si="947">T323+T324+T325</f>
        <v>4097</v>
      </c>
      <c r="AF325" s="158">
        <f t="shared" si="847"/>
        <v>27250</v>
      </c>
      <c r="AG325" s="149"/>
      <c r="AH325" s="149"/>
      <c r="AI325" s="149"/>
      <c r="AJ325" s="149"/>
      <c r="AK325" s="149"/>
      <c r="AL325" s="149"/>
      <c r="AM325" s="149"/>
      <c r="AN325" s="149"/>
      <c r="AO325" s="149"/>
      <c r="AP325" s="149"/>
      <c r="AQ325" s="149"/>
      <c r="AR325" s="149"/>
      <c r="AS325" s="149"/>
      <c r="AT325" s="149"/>
      <c r="AU325" s="149"/>
      <c r="AV325" s="149"/>
      <c r="AW325" s="149"/>
      <c r="AX325" s="149">
        <v>1622.4662000000001</v>
      </c>
      <c r="AY325" s="149"/>
      <c r="AZ325" s="149"/>
      <c r="BA325" s="149"/>
      <c r="BB325" s="149"/>
      <c r="BC325" s="149"/>
      <c r="BD325" s="149"/>
      <c r="BE325" s="149"/>
      <c r="BF325" s="149"/>
      <c r="BG325" s="149"/>
      <c r="BH325" s="149"/>
      <c r="BI325" s="149"/>
      <c r="BJ325" s="149"/>
      <c r="BK325" s="149">
        <v>5072.9583000000002</v>
      </c>
      <c r="BL325" s="149"/>
      <c r="BM325" s="149"/>
      <c r="BN325" s="149"/>
      <c r="BO325" s="149"/>
      <c r="BP325" s="149"/>
      <c r="BQ325" s="149"/>
      <c r="BR325" s="149"/>
      <c r="BS325" s="149"/>
      <c r="BT325" s="149"/>
      <c r="BU325" s="149"/>
      <c r="BV325" s="149"/>
      <c r="BW325" s="149"/>
      <c r="BX325" s="149"/>
      <c r="BY325" s="149"/>
      <c r="BZ325" s="149"/>
      <c r="CA325" s="149"/>
      <c r="CB325" s="149">
        <v>265.2</v>
      </c>
      <c r="CC325" s="231">
        <f t="shared" si="848"/>
        <v>27250</v>
      </c>
    </row>
    <row r="326" spans="2:81" x14ac:dyDescent="0.25">
      <c r="B326" s="155">
        <v>27300</v>
      </c>
      <c r="C326" s="147">
        <f t="shared" si="829"/>
        <v>313.0745</v>
      </c>
      <c r="D326" s="147">
        <f t="shared" si="830"/>
        <v>1251.4208000000001</v>
      </c>
      <c r="E326" s="147">
        <f t="shared" si="841"/>
        <v>0</v>
      </c>
      <c r="F326" s="147">
        <f t="shared" si="831"/>
        <v>4338.8391000000001</v>
      </c>
      <c r="G326" s="147">
        <f t="shared" si="842"/>
        <v>0</v>
      </c>
      <c r="H326" s="147">
        <f t="shared" si="843"/>
        <v>0</v>
      </c>
      <c r="I326" s="147">
        <f t="shared" si="844"/>
        <v>0</v>
      </c>
      <c r="J326" s="156">
        <f t="shared" si="845"/>
        <v>0</v>
      </c>
      <c r="K326" s="157">
        <f t="shared" si="846"/>
        <v>263.47000000000003</v>
      </c>
      <c r="L326" s="151">
        <f t="shared" si="914"/>
        <v>290</v>
      </c>
      <c r="M326" s="147">
        <f t="shared" si="915"/>
        <v>2662</v>
      </c>
      <c r="N326" s="147"/>
      <c r="O326" s="147">
        <f t="shared" si="934"/>
        <v>8715</v>
      </c>
      <c r="P326" s="147">
        <f t="shared" si="916"/>
        <v>0</v>
      </c>
      <c r="Q326" s="147">
        <f t="shared" si="917"/>
        <v>0</v>
      </c>
      <c r="R326" s="147">
        <f t="shared" si="918"/>
        <v>0</v>
      </c>
      <c r="S326" s="147">
        <f t="shared" si="919"/>
        <v>0</v>
      </c>
      <c r="T326" s="147">
        <f t="shared" si="849"/>
        <v>1469</v>
      </c>
      <c r="V326" s="146"/>
      <c r="W326" s="147"/>
      <c r="X326" s="147"/>
      <c r="Y326" s="147"/>
      <c r="Z326" s="147"/>
      <c r="AA326" s="147"/>
      <c r="AB326" s="147"/>
      <c r="AC326" s="147"/>
      <c r="AD326" s="148"/>
      <c r="AF326" s="155">
        <f t="shared" si="847"/>
        <v>27300</v>
      </c>
      <c r="AG326" s="185">
        <v>289.0061</v>
      </c>
      <c r="AH326" s="78">
        <v>24.0684</v>
      </c>
      <c r="AI326" s="78"/>
      <c r="AJ326" s="78"/>
      <c r="AK326" s="78"/>
      <c r="AL326" s="78"/>
      <c r="AM326" s="78"/>
      <c r="AN326" s="78"/>
      <c r="AO326" s="78"/>
      <c r="AP326" s="78"/>
      <c r="AQ326" s="78"/>
      <c r="AR326" s="78"/>
      <c r="AS326" s="78"/>
      <c r="AT326" s="78"/>
      <c r="AU326" s="78"/>
      <c r="AV326" s="78"/>
      <c r="AW326" s="78"/>
      <c r="AX326" s="185"/>
      <c r="AY326" s="78">
        <v>77.540599999999998</v>
      </c>
      <c r="AZ326" s="78">
        <v>1173.8802000000001</v>
      </c>
      <c r="BA326" s="78"/>
      <c r="BB326" s="78"/>
      <c r="BC326" s="78"/>
      <c r="BD326" s="78"/>
      <c r="BE326" s="78"/>
      <c r="BF326" s="78"/>
      <c r="BG326" s="78"/>
      <c r="BH326" s="78"/>
      <c r="BI326" s="78"/>
      <c r="BJ326" s="78"/>
      <c r="BK326" s="185">
        <v>289.0061</v>
      </c>
      <c r="BL326" s="78">
        <v>4049.8330000000001</v>
      </c>
      <c r="BM326" s="78"/>
      <c r="BN326" s="78"/>
      <c r="BO326" s="78"/>
      <c r="BP326" s="78"/>
      <c r="BQ326" s="78"/>
      <c r="BR326" s="78"/>
      <c r="BS326" s="78"/>
      <c r="BT326" s="78"/>
      <c r="BU326" s="78"/>
      <c r="BV326" s="78"/>
      <c r="BW326" s="78"/>
      <c r="BX326" s="78"/>
      <c r="BY326" s="78"/>
      <c r="BZ326" s="78"/>
      <c r="CA326" s="78"/>
      <c r="CB326" s="78">
        <v>263.47000000000003</v>
      </c>
      <c r="CC326" s="231">
        <f t="shared" si="848"/>
        <v>27300</v>
      </c>
    </row>
    <row r="327" spans="2:81" x14ac:dyDescent="0.25">
      <c r="B327" s="57">
        <v>27350</v>
      </c>
      <c r="C327" s="58">
        <f t="shared" si="829"/>
        <v>33.991199999999999</v>
      </c>
      <c r="D327" s="58">
        <f t="shared" si="830"/>
        <v>1260.1561999999999</v>
      </c>
      <c r="E327" s="58">
        <f t="shared" si="841"/>
        <v>0</v>
      </c>
      <c r="F327" s="58">
        <f t="shared" si="831"/>
        <v>3002.3588</v>
      </c>
      <c r="G327" s="58">
        <f t="shared" si="842"/>
        <v>0</v>
      </c>
      <c r="H327" s="58">
        <f t="shared" si="843"/>
        <v>0</v>
      </c>
      <c r="I327" s="58">
        <f t="shared" si="844"/>
        <v>0</v>
      </c>
      <c r="J327" s="51">
        <f t="shared" si="845"/>
        <v>0</v>
      </c>
      <c r="K327" s="99">
        <f t="shared" si="846"/>
        <v>170.01</v>
      </c>
      <c r="L327" s="105">
        <f t="shared" si="914"/>
        <v>322</v>
      </c>
      <c r="M327" s="58">
        <f t="shared" si="915"/>
        <v>2326</v>
      </c>
      <c r="N327" s="58"/>
      <c r="O327" s="58">
        <f t="shared" si="934"/>
        <v>6798</v>
      </c>
      <c r="P327" s="58">
        <f t="shared" si="916"/>
        <v>0</v>
      </c>
      <c r="Q327" s="58">
        <f t="shared" si="917"/>
        <v>0</v>
      </c>
      <c r="R327" s="58">
        <f t="shared" si="918"/>
        <v>0</v>
      </c>
      <c r="S327" s="58">
        <f t="shared" si="919"/>
        <v>0</v>
      </c>
      <c r="T327" s="58">
        <f t="shared" si="849"/>
        <v>1205</v>
      </c>
      <c r="V327" s="137"/>
      <c r="W327" s="58"/>
      <c r="X327" s="58"/>
      <c r="Y327" s="58"/>
      <c r="Z327" s="58"/>
      <c r="AA327" s="58"/>
      <c r="AB327" s="58"/>
      <c r="AC327" s="58"/>
      <c r="AD327" s="138"/>
      <c r="AF327" s="57">
        <f t="shared" si="847"/>
        <v>27350</v>
      </c>
      <c r="AG327" s="115">
        <v>33.991199999999999</v>
      </c>
      <c r="AH327" s="49"/>
      <c r="AI327" s="49"/>
      <c r="AJ327" s="49"/>
      <c r="AK327" s="49"/>
      <c r="AL327" s="49"/>
      <c r="AM327" s="49"/>
      <c r="AN327" s="49"/>
      <c r="AO327" s="49"/>
      <c r="AP327" s="49"/>
      <c r="AQ327" s="49"/>
      <c r="AR327" s="49"/>
      <c r="AS327" s="49"/>
      <c r="AT327" s="49"/>
      <c r="AU327" s="49"/>
      <c r="AV327" s="49"/>
      <c r="AW327" s="49"/>
      <c r="AX327" s="115"/>
      <c r="AY327" s="49">
        <v>1260.1561999999999</v>
      </c>
      <c r="AZ327" s="49"/>
      <c r="BA327" s="49"/>
      <c r="BB327" s="49"/>
      <c r="BC327" s="49"/>
      <c r="BD327" s="49"/>
      <c r="BE327" s="49"/>
      <c r="BF327" s="49"/>
      <c r="BG327" s="49"/>
      <c r="BH327" s="49"/>
      <c r="BI327" s="49"/>
      <c r="BJ327" s="49"/>
      <c r="BK327" s="115">
        <v>33.991199999999999</v>
      </c>
      <c r="BL327" s="49">
        <v>2968.3676</v>
      </c>
      <c r="BM327" s="49"/>
      <c r="BN327" s="49"/>
      <c r="BO327" s="49"/>
      <c r="BP327" s="49"/>
      <c r="BQ327" s="49"/>
      <c r="BR327" s="49"/>
      <c r="BS327" s="49"/>
      <c r="BT327" s="49"/>
      <c r="BU327" s="49"/>
      <c r="BV327" s="49"/>
      <c r="BW327" s="49"/>
      <c r="BX327" s="49"/>
      <c r="BY327" s="49"/>
      <c r="BZ327" s="49"/>
      <c r="CA327" s="49"/>
      <c r="CB327" s="49">
        <v>170.01</v>
      </c>
      <c r="CC327" s="231">
        <f t="shared" si="848"/>
        <v>27350</v>
      </c>
    </row>
    <row r="328" spans="2:81" s="3" customFormat="1" ht="15.75" thickBot="1" x14ac:dyDescent="0.3">
      <c r="B328" s="158">
        <v>27400</v>
      </c>
      <c r="C328" s="144">
        <f t="shared" si="829"/>
        <v>655.18550000000005</v>
      </c>
      <c r="D328" s="144">
        <f t="shared" si="830"/>
        <v>1368.4095</v>
      </c>
      <c r="E328" s="144">
        <f t="shared" si="841"/>
        <v>0</v>
      </c>
      <c r="F328" s="144">
        <f t="shared" si="831"/>
        <v>2874.8094000000001</v>
      </c>
      <c r="G328" s="144">
        <f t="shared" si="842"/>
        <v>0</v>
      </c>
      <c r="H328" s="144">
        <f t="shared" si="843"/>
        <v>0</v>
      </c>
      <c r="I328" s="144">
        <f t="shared" si="844"/>
        <v>0</v>
      </c>
      <c r="J328" s="159">
        <f t="shared" si="845"/>
        <v>0</v>
      </c>
      <c r="K328" s="160">
        <f t="shared" si="846"/>
        <v>163.75</v>
      </c>
      <c r="L328" s="152">
        <f t="shared" si="914"/>
        <v>639</v>
      </c>
      <c r="M328" s="144">
        <f t="shared" si="915"/>
        <v>2434</v>
      </c>
      <c r="N328" s="144"/>
      <c r="O328" s="144">
        <f t="shared" si="934"/>
        <v>5442</v>
      </c>
      <c r="P328" s="144">
        <f t="shared" si="916"/>
        <v>0</v>
      </c>
      <c r="Q328" s="144">
        <f t="shared" si="917"/>
        <v>0</v>
      </c>
      <c r="R328" s="144">
        <f t="shared" si="918"/>
        <v>0</v>
      </c>
      <c r="S328" s="144">
        <f t="shared" si="919"/>
        <v>0</v>
      </c>
      <c r="T328" s="144">
        <f t="shared" si="849"/>
        <v>928</v>
      </c>
      <c r="V328" s="150">
        <f>L326+L327+L328</f>
        <v>1251</v>
      </c>
      <c r="W328" s="150">
        <f t="shared" ref="W328" si="948">M326+M327+M328</f>
        <v>7422</v>
      </c>
      <c r="X328" s="150"/>
      <c r="Y328" s="150">
        <f t="shared" ref="Y328" si="949">O326+O327+O328</f>
        <v>20955</v>
      </c>
      <c r="Z328" s="150">
        <f t="shared" ref="Z328" si="950">P326+P327+P328</f>
        <v>0</v>
      </c>
      <c r="AA328" s="150">
        <f t="shared" ref="AA328" si="951">Q326+Q327+Q328</f>
        <v>0</v>
      </c>
      <c r="AB328" s="150">
        <f t="shared" ref="AB328" si="952">R326+R327+R328</f>
        <v>0</v>
      </c>
      <c r="AC328" s="150">
        <f t="shared" ref="AC328" si="953">S326+S327+S328</f>
        <v>0</v>
      </c>
      <c r="AD328" s="150">
        <f t="shared" ref="AD328" si="954">T326+T327+T328</f>
        <v>3602</v>
      </c>
      <c r="AF328" s="158">
        <f t="shared" si="847"/>
        <v>27400</v>
      </c>
      <c r="AG328" s="186">
        <v>655.18550000000005</v>
      </c>
      <c r="AH328" s="149"/>
      <c r="AI328" s="149"/>
      <c r="AJ328" s="149"/>
      <c r="AK328" s="149"/>
      <c r="AL328" s="149"/>
      <c r="AM328" s="149"/>
      <c r="AN328" s="149"/>
      <c r="AO328" s="149"/>
      <c r="AP328" s="149"/>
      <c r="AQ328" s="149"/>
      <c r="AR328" s="149"/>
      <c r="AS328" s="149"/>
      <c r="AT328" s="149"/>
      <c r="AU328" s="149"/>
      <c r="AV328" s="149"/>
      <c r="AW328" s="149"/>
      <c r="AX328" s="186"/>
      <c r="AY328" s="149">
        <v>1368.4095</v>
      </c>
      <c r="AZ328" s="149"/>
      <c r="BA328" s="149"/>
      <c r="BB328" s="149"/>
      <c r="BC328" s="149"/>
      <c r="BD328" s="149"/>
      <c r="BE328" s="149"/>
      <c r="BF328" s="149"/>
      <c r="BG328" s="149"/>
      <c r="BH328" s="149"/>
      <c r="BI328" s="149"/>
      <c r="BJ328" s="149"/>
      <c r="BK328" s="186">
        <v>655.18550000000005</v>
      </c>
      <c r="BL328" s="149">
        <v>2219.6239</v>
      </c>
      <c r="BM328" s="149"/>
      <c r="BN328" s="149"/>
      <c r="BO328" s="149"/>
      <c r="BP328" s="149"/>
      <c r="BQ328" s="149"/>
      <c r="BR328" s="149"/>
      <c r="BS328" s="149"/>
      <c r="BT328" s="149"/>
      <c r="BU328" s="149"/>
      <c r="BV328" s="149"/>
      <c r="BW328" s="149"/>
      <c r="BX328" s="149"/>
      <c r="BY328" s="149"/>
      <c r="BZ328" s="149"/>
      <c r="CA328" s="149"/>
      <c r="CB328" s="149">
        <v>163.75</v>
      </c>
      <c r="CC328" s="231">
        <f t="shared" si="848"/>
        <v>27400</v>
      </c>
    </row>
    <row r="329" spans="2:81" x14ac:dyDescent="0.25">
      <c r="B329" s="155">
        <v>27450</v>
      </c>
      <c r="C329" s="147">
        <f t="shared" si="829"/>
        <v>1131.6497999999999</v>
      </c>
      <c r="D329" s="147">
        <f t="shared" si="830"/>
        <v>1306.6315999999999</v>
      </c>
      <c r="E329" s="147">
        <f t="shared" si="841"/>
        <v>0</v>
      </c>
      <c r="F329" s="147">
        <f>BK329+BL329+BM329</f>
        <v>2158.1115</v>
      </c>
      <c r="G329" s="147">
        <f t="shared" si="842"/>
        <v>0</v>
      </c>
      <c r="H329" s="147">
        <f t="shared" si="843"/>
        <v>0</v>
      </c>
      <c r="I329" s="147">
        <f t="shared" si="844"/>
        <v>0</v>
      </c>
      <c r="J329" s="156">
        <f t="shared" si="845"/>
        <v>0</v>
      </c>
      <c r="K329" s="157">
        <f t="shared" si="846"/>
        <v>154.44</v>
      </c>
      <c r="L329" s="151">
        <f t="shared" si="914"/>
        <v>1655</v>
      </c>
      <c r="M329" s="147">
        <f t="shared" si="915"/>
        <v>2477</v>
      </c>
      <c r="N329" s="147"/>
      <c r="O329" s="147">
        <f>ROUNDUP(((F328+F329)*0.5)*(B329-B328)/27,0)</f>
        <v>4661</v>
      </c>
      <c r="P329" s="147">
        <f t="shared" si="916"/>
        <v>0</v>
      </c>
      <c r="Q329" s="147">
        <f t="shared" si="917"/>
        <v>0</v>
      </c>
      <c r="R329" s="147">
        <f t="shared" si="918"/>
        <v>0</v>
      </c>
      <c r="S329" s="147">
        <f t="shared" si="919"/>
        <v>0</v>
      </c>
      <c r="T329" s="147">
        <f t="shared" si="849"/>
        <v>884</v>
      </c>
      <c r="V329" s="146"/>
      <c r="W329" s="147"/>
      <c r="X329" s="147"/>
      <c r="Y329" s="147"/>
      <c r="Z329" s="147"/>
      <c r="AA329" s="147"/>
      <c r="AB329" s="147"/>
      <c r="AC329" s="147"/>
      <c r="AD329" s="148"/>
      <c r="AF329" s="155">
        <f t="shared" si="847"/>
        <v>27450</v>
      </c>
      <c r="AG329" s="185">
        <v>1131.6497999999999</v>
      </c>
      <c r="AH329" s="78"/>
      <c r="AI329" s="78"/>
      <c r="AJ329" s="78"/>
      <c r="AK329" s="78"/>
      <c r="AL329" s="78"/>
      <c r="AM329" s="78"/>
      <c r="AN329" s="78"/>
      <c r="AO329" s="78"/>
      <c r="AP329" s="78"/>
      <c r="AQ329" s="78"/>
      <c r="AR329" s="78"/>
      <c r="AS329" s="78"/>
      <c r="AT329" s="78"/>
      <c r="AU329" s="78"/>
      <c r="AV329" s="78"/>
      <c r="AW329" s="78"/>
      <c r="AX329" s="78">
        <v>1306.6315999999999</v>
      </c>
      <c r="AY329" s="78"/>
      <c r="AZ329" s="78"/>
      <c r="BA329" s="78"/>
      <c r="BB329" s="78"/>
      <c r="BC329" s="78"/>
      <c r="BD329" s="78"/>
      <c r="BE329" s="78"/>
      <c r="BF329" s="78"/>
      <c r="BG329" s="78"/>
      <c r="BH329" s="78"/>
      <c r="BI329" s="78"/>
      <c r="BJ329" s="78"/>
      <c r="BK329" s="78">
        <v>1068.5997</v>
      </c>
      <c r="BL329" s="78">
        <v>1089.5118</v>
      </c>
      <c r="BM329" s="78"/>
      <c r="BN329" s="78"/>
      <c r="BO329" s="78"/>
      <c r="BP329" s="78"/>
      <c r="BQ329" s="78"/>
      <c r="BR329" s="78"/>
      <c r="BS329" s="78"/>
      <c r="BT329" s="78"/>
      <c r="BU329" s="78"/>
      <c r="BV329" s="78"/>
      <c r="BW329" s="78"/>
      <c r="BX329" s="78"/>
      <c r="BY329" s="78"/>
      <c r="BZ329" s="78"/>
      <c r="CA329" s="78"/>
      <c r="CB329" s="78">
        <v>154.44</v>
      </c>
      <c r="CC329" s="231">
        <f t="shared" si="848"/>
        <v>27450</v>
      </c>
    </row>
    <row r="330" spans="2:81" x14ac:dyDescent="0.25">
      <c r="B330" s="57">
        <v>27500</v>
      </c>
      <c r="C330" s="58">
        <f t="shared" si="829"/>
        <v>533.76970000000006</v>
      </c>
      <c r="D330" s="58">
        <f t="shared" si="830"/>
        <v>1676.172</v>
      </c>
      <c r="E330" s="58">
        <f t="shared" si="841"/>
        <v>0</v>
      </c>
      <c r="F330" s="58">
        <f>BK330+BL330+BM330</f>
        <v>1929.3314</v>
      </c>
      <c r="G330" s="58">
        <f t="shared" si="842"/>
        <v>0</v>
      </c>
      <c r="H330" s="58">
        <f t="shared" si="843"/>
        <v>0</v>
      </c>
      <c r="I330" s="58">
        <f t="shared" si="844"/>
        <v>0</v>
      </c>
      <c r="J330" s="51">
        <f t="shared" si="845"/>
        <v>0</v>
      </c>
      <c r="K330" s="99">
        <f t="shared" si="846"/>
        <v>188.58</v>
      </c>
      <c r="L330" s="105">
        <f t="shared" si="914"/>
        <v>1543</v>
      </c>
      <c r="M330" s="58">
        <f t="shared" si="915"/>
        <v>2762</v>
      </c>
      <c r="N330" s="58"/>
      <c r="O330" s="58">
        <f t="shared" si="934"/>
        <v>3785</v>
      </c>
      <c r="P330" s="58">
        <f t="shared" si="916"/>
        <v>0</v>
      </c>
      <c r="Q330" s="58">
        <f t="shared" si="917"/>
        <v>0</v>
      </c>
      <c r="R330" s="58">
        <f t="shared" si="918"/>
        <v>0</v>
      </c>
      <c r="S330" s="58">
        <f t="shared" si="919"/>
        <v>0</v>
      </c>
      <c r="T330" s="58">
        <f t="shared" si="849"/>
        <v>953</v>
      </c>
      <c r="V330" s="137"/>
      <c r="W330" s="58"/>
      <c r="X330" s="58"/>
      <c r="Y330" s="58"/>
      <c r="Z330" s="58"/>
      <c r="AA330" s="58"/>
      <c r="AB330" s="58"/>
      <c r="AC330" s="58"/>
      <c r="AD330" s="138"/>
      <c r="AF330" s="57">
        <f t="shared" si="847"/>
        <v>27500</v>
      </c>
      <c r="AG330" s="115">
        <v>278.43860000000001</v>
      </c>
      <c r="AH330" s="115">
        <v>157.6985</v>
      </c>
      <c r="AI330" s="115">
        <v>97.632599999999996</v>
      </c>
      <c r="AJ330" s="49"/>
      <c r="AK330" s="49"/>
      <c r="AL330" s="49"/>
      <c r="AM330" s="49"/>
      <c r="AN330" s="49"/>
      <c r="AO330" s="49"/>
      <c r="AP330" s="49"/>
      <c r="AQ330" s="49"/>
      <c r="AR330" s="49"/>
      <c r="AS330" s="49"/>
      <c r="AT330" s="49"/>
      <c r="AU330" s="49"/>
      <c r="AV330" s="49"/>
      <c r="AW330" s="49"/>
      <c r="AX330" s="49">
        <v>1676.172</v>
      </c>
      <c r="AY330" s="49"/>
      <c r="AZ330" s="49"/>
      <c r="BA330" s="49"/>
      <c r="BB330" s="49"/>
      <c r="BC330" s="49"/>
      <c r="BD330" s="49"/>
      <c r="BE330" s="49"/>
      <c r="BF330" s="49"/>
      <c r="BG330" s="49"/>
      <c r="BH330" s="49"/>
      <c r="BI330" s="49"/>
      <c r="BJ330" s="49"/>
      <c r="BK330" s="49">
        <v>1419.6768</v>
      </c>
      <c r="BL330" s="49">
        <v>254.3235</v>
      </c>
      <c r="BM330" s="78">
        <f>AH330+AI330</f>
        <v>255.33109999999999</v>
      </c>
      <c r="BN330" s="49"/>
      <c r="BO330" s="49"/>
      <c r="BP330" s="49"/>
      <c r="BQ330" s="49"/>
      <c r="BR330" s="49"/>
      <c r="BS330" s="49"/>
      <c r="BT330" s="49"/>
      <c r="BU330" s="49"/>
      <c r="BV330" s="49"/>
      <c r="BW330" s="49"/>
      <c r="BX330" s="49"/>
      <c r="BY330" s="49"/>
      <c r="BZ330" s="49"/>
      <c r="CA330" s="49"/>
      <c r="CB330" s="49">
        <v>188.58</v>
      </c>
      <c r="CC330" s="231">
        <f t="shared" si="848"/>
        <v>27500</v>
      </c>
    </row>
    <row r="331" spans="2:81" s="3" customFormat="1" ht="15.75" thickBot="1" x14ac:dyDescent="0.3">
      <c r="B331" s="158">
        <v>27550</v>
      </c>
      <c r="C331" s="144">
        <f t="shared" si="829"/>
        <v>833.32180000000005</v>
      </c>
      <c r="D331" s="144">
        <f t="shared" si="830"/>
        <v>2006.0172</v>
      </c>
      <c r="E331" s="144">
        <f t="shared" si="841"/>
        <v>0</v>
      </c>
      <c r="F331" s="144">
        <f t="shared" si="831"/>
        <v>1918.1287000000002</v>
      </c>
      <c r="G331" s="144">
        <f t="shared" si="842"/>
        <v>0</v>
      </c>
      <c r="H331" s="144">
        <f t="shared" si="843"/>
        <v>0</v>
      </c>
      <c r="I331" s="144">
        <f t="shared" si="844"/>
        <v>0</v>
      </c>
      <c r="J331" s="159">
        <f t="shared" si="845"/>
        <v>0</v>
      </c>
      <c r="K331" s="160">
        <f t="shared" si="846"/>
        <v>196.73</v>
      </c>
      <c r="L331" s="152">
        <f t="shared" si="914"/>
        <v>1266</v>
      </c>
      <c r="M331" s="144">
        <f t="shared" si="915"/>
        <v>3410</v>
      </c>
      <c r="N331" s="144"/>
      <c r="O331" s="144">
        <f t="shared" si="934"/>
        <v>3563</v>
      </c>
      <c r="P331" s="144">
        <f t="shared" si="916"/>
        <v>0</v>
      </c>
      <c r="Q331" s="144">
        <f t="shared" si="917"/>
        <v>0</v>
      </c>
      <c r="R331" s="144">
        <f t="shared" si="918"/>
        <v>0</v>
      </c>
      <c r="S331" s="144">
        <f t="shared" si="919"/>
        <v>0</v>
      </c>
      <c r="T331" s="144">
        <f t="shared" si="849"/>
        <v>1071</v>
      </c>
      <c r="V331" s="150">
        <f>L329+L330+L331</f>
        <v>4464</v>
      </c>
      <c r="W331" s="150">
        <f t="shared" ref="W331" si="955">M329+M330+M331</f>
        <v>8649</v>
      </c>
      <c r="X331" s="150"/>
      <c r="Y331" s="150">
        <f t="shared" ref="Y331" si="956">O329+O330+O331</f>
        <v>12009</v>
      </c>
      <c r="Z331" s="150">
        <f t="shared" ref="Z331" si="957">P329+P330+P331</f>
        <v>0</v>
      </c>
      <c r="AA331" s="150">
        <f t="shared" ref="AA331" si="958">Q329+Q330+Q331</f>
        <v>0</v>
      </c>
      <c r="AB331" s="150">
        <f t="shared" ref="AB331" si="959">R329+R330+R331</f>
        <v>0</v>
      </c>
      <c r="AC331" s="150">
        <f t="shared" ref="AC331" si="960">S329+S330+S331</f>
        <v>0</v>
      </c>
      <c r="AD331" s="150">
        <f t="shared" ref="AD331" si="961">T329+T330+T331</f>
        <v>2908</v>
      </c>
      <c r="AF331" s="158">
        <f t="shared" si="847"/>
        <v>27550</v>
      </c>
      <c r="AG331" s="186">
        <v>107.45310000000001</v>
      </c>
      <c r="AH331" s="186">
        <v>340.32749999999999</v>
      </c>
      <c r="AI331" s="186">
        <v>305.87689999999998</v>
      </c>
      <c r="AJ331" s="186">
        <v>79.664299999999997</v>
      </c>
      <c r="AK331" s="149"/>
      <c r="AL331" s="149"/>
      <c r="AM331" s="149"/>
      <c r="AN331" s="149"/>
      <c r="AO331" s="149"/>
      <c r="AP331" s="149"/>
      <c r="AQ331" s="149"/>
      <c r="AR331" s="149"/>
      <c r="AS331" s="149"/>
      <c r="AT331" s="149"/>
      <c r="AU331" s="149"/>
      <c r="AV331" s="149"/>
      <c r="AW331" s="149"/>
      <c r="AX331" s="149">
        <v>2006.0172</v>
      </c>
      <c r="AY331" s="149"/>
      <c r="AZ331" s="149"/>
      <c r="BA331" s="149"/>
      <c r="BB331" s="149"/>
      <c r="BC331" s="149"/>
      <c r="BD331" s="149"/>
      <c r="BE331" s="149"/>
      <c r="BF331" s="149"/>
      <c r="BG331" s="149"/>
      <c r="BH331" s="149"/>
      <c r="BI331" s="149"/>
      <c r="BJ331" s="149"/>
      <c r="BK331" s="149">
        <v>1227.9190000000001</v>
      </c>
      <c r="BL331" s="149">
        <v>304.66849999999999</v>
      </c>
      <c r="BM331" s="149">
        <f>AI331+AJ331</f>
        <v>385.5412</v>
      </c>
      <c r="BN331" s="149"/>
      <c r="BO331" s="149"/>
      <c r="BP331" s="149"/>
      <c r="BQ331" s="149"/>
      <c r="BR331" s="149"/>
      <c r="BS331" s="149"/>
      <c r="BT331" s="149"/>
      <c r="BU331" s="149"/>
      <c r="BV331" s="149"/>
      <c r="BW331" s="149"/>
      <c r="BX331" s="149"/>
      <c r="BY331" s="149"/>
      <c r="BZ331" s="149"/>
      <c r="CA331" s="149"/>
      <c r="CB331" s="149">
        <v>196.73</v>
      </c>
      <c r="CC331" s="231">
        <f t="shared" si="848"/>
        <v>27550</v>
      </c>
    </row>
    <row r="332" spans="2:81" x14ac:dyDescent="0.25">
      <c r="B332" s="155">
        <v>27600</v>
      </c>
      <c r="C332" s="147">
        <f t="shared" si="829"/>
        <v>795.15480000000002</v>
      </c>
      <c r="D332" s="147">
        <f t="shared" si="830"/>
        <v>2179.5754999999999</v>
      </c>
      <c r="E332" s="147">
        <f t="shared" si="841"/>
        <v>0</v>
      </c>
      <c r="F332" s="147">
        <f t="shared" si="831"/>
        <v>1748.8050999999998</v>
      </c>
      <c r="G332" s="147">
        <f t="shared" si="842"/>
        <v>0</v>
      </c>
      <c r="H332" s="147">
        <f t="shared" si="843"/>
        <v>0</v>
      </c>
      <c r="I332" s="147">
        <f t="shared" si="844"/>
        <v>0</v>
      </c>
      <c r="J332" s="156">
        <f t="shared" si="845"/>
        <v>0</v>
      </c>
      <c r="K332" s="157">
        <f t="shared" si="846"/>
        <v>173.08</v>
      </c>
      <c r="L332" s="151">
        <f t="shared" si="914"/>
        <v>1508</v>
      </c>
      <c r="M332" s="147">
        <f t="shared" si="915"/>
        <v>3876</v>
      </c>
      <c r="N332" s="147"/>
      <c r="O332" s="147">
        <f t="shared" si="934"/>
        <v>3396</v>
      </c>
      <c r="P332" s="147">
        <f t="shared" si="916"/>
        <v>0</v>
      </c>
      <c r="Q332" s="147">
        <f t="shared" si="917"/>
        <v>0</v>
      </c>
      <c r="R332" s="147">
        <f t="shared" si="918"/>
        <v>0</v>
      </c>
      <c r="S332" s="147">
        <f t="shared" si="919"/>
        <v>0</v>
      </c>
      <c r="T332" s="147">
        <f t="shared" si="849"/>
        <v>1028</v>
      </c>
      <c r="V332" s="146"/>
      <c r="W332" s="147"/>
      <c r="X332" s="147"/>
      <c r="Y332" s="147"/>
      <c r="Z332" s="147"/>
      <c r="AA332" s="147"/>
      <c r="AB332" s="147"/>
      <c r="AC332" s="147"/>
      <c r="AD332" s="148"/>
      <c r="AF332" s="155">
        <f t="shared" si="847"/>
        <v>27600</v>
      </c>
      <c r="AG332" s="185">
        <v>114.17789999999999</v>
      </c>
      <c r="AH332" s="185">
        <v>193.0692</v>
      </c>
      <c r="AI332" s="185">
        <v>487.90769999999998</v>
      </c>
      <c r="AJ332" s="78"/>
      <c r="AK332" s="78"/>
      <c r="AL332" s="78"/>
      <c r="AM332" s="78"/>
      <c r="AN332" s="78"/>
      <c r="AO332" s="78"/>
      <c r="AP332" s="78"/>
      <c r="AQ332" s="78"/>
      <c r="AR332" s="78"/>
      <c r="AS332" s="78"/>
      <c r="AT332" s="78"/>
      <c r="AU332" s="78"/>
      <c r="AV332" s="78"/>
      <c r="AW332" s="78"/>
      <c r="AX332" s="78">
        <v>2179.5754999999999</v>
      </c>
      <c r="AY332" s="78"/>
      <c r="AZ332" s="78"/>
      <c r="BA332" s="78"/>
      <c r="BB332" s="78"/>
      <c r="BC332" s="78"/>
      <c r="BD332" s="78"/>
      <c r="BE332" s="78"/>
      <c r="BF332" s="78"/>
      <c r="BG332" s="78"/>
      <c r="BH332" s="78"/>
      <c r="BI332" s="78"/>
      <c r="BJ332" s="78"/>
      <c r="BK332" s="78">
        <v>1081.8925999999999</v>
      </c>
      <c r="BL332" s="78">
        <v>179.00479999999999</v>
      </c>
      <c r="BM332" s="78">
        <v>487.90769999999998</v>
      </c>
      <c r="BN332" s="78"/>
      <c r="BO332" s="78"/>
      <c r="BP332" s="78"/>
      <c r="BQ332" s="78"/>
      <c r="BR332" s="78"/>
      <c r="BS332" s="78"/>
      <c r="BT332" s="78"/>
      <c r="BU332" s="78"/>
      <c r="BV332" s="78"/>
      <c r="BW332" s="78"/>
      <c r="BX332" s="78"/>
      <c r="BY332" s="78"/>
      <c r="BZ332" s="78"/>
      <c r="CA332" s="78"/>
      <c r="CB332" s="78">
        <v>173.08</v>
      </c>
      <c r="CC332" s="231">
        <f t="shared" si="848"/>
        <v>27600</v>
      </c>
    </row>
    <row r="333" spans="2:81" x14ac:dyDescent="0.25">
      <c r="B333" s="57">
        <v>27650</v>
      </c>
      <c r="C333" s="58">
        <f t="shared" si="829"/>
        <v>343.8329</v>
      </c>
      <c r="D333" s="58">
        <f t="shared" si="830"/>
        <v>2364.1619999999998</v>
      </c>
      <c r="E333" s="58">
        <f t="shared" si="841"/>
        <v>0</v>
      </c>
      <c r="F333" s="58">
        <f t="shared" si="831"/>
        <v>1290.6795</v>
      </c>
      <c r="G333" s="58">
        <f t="shared" si="842"/>
        <v>0</v>
      </c>
      <c r="H333" s="58">
        <f t="shared" si="843"/>
        <v>0</v>
      </c>
      <c r="I333" s="58">
        <f t="shared" si="844"/>
        <v>0</v>
      </c>
      <c r="J333" s="51">
        <f t="shared" si="845"/>
        <v>0</v>
      </c>
      <c r="K333" s="99">
        <f t="shared" si="846"/>
        <v>166.8</v>
      </c>
      <c r="L333" s="105">
        <f t="shared" si="914"/>
        <v>1055</v>
      </c>
      <c r="M333" s="58">
        <f t="shared" si="915"/>
        <v>4208</v>
      </c>
      <c r="N333" s="58"/>
      <c r="O333" s="58">
        <f>ROUNDUP(((F332+F333)*0.5)*(B333-B332)/27,0)</f>
        <v>2815</v>
      </c>
      <c r="P333" s="58">
        <f t="shared" si="916"/>
        <v>0</v>
      </c>
      <c r="Q333" s="58">
        <f t="shared" si="917"/>
        <v>0</v>
      </c>
      <c r="R333" s="58">
        <f t="shared" si="918"/>
        <v>0</v>
      </c>
      <c r="S333" s="58">
        <f t="shared" si="919"/>
        <v>0</v>
      </c>
      <c r="T333" s="58">
        <f t="shared" si="849"/>
        <v>945</v>
      </c>
      <c r="V333" s="137"/>
      <c r="W333" s="58"/>
      <c r="X333" s="58"/>
      <c r="Y333" s="58"/>
      <c r="Z333" s="58"/>
      <c r="AA333" s="58"/>
      <c r="AB333" s="58"/>
      <c r="AC333" s="58"/>
      <c r="AD333" s="138"/>
      <c r="AF333" s="57">
        <f t="shared" si="847"/>
        <v>27650</v>
      </c>
      <c r="AG333" s="115">
        <v>94.678299999999993</v>
      </c>
      <c r="AH333" s="115">
        <v>179.8511</v>
      </c>
      <c r="AI333" s="115">
        <v>69.3035</v>
      </c>
      <c r="AJ333" s="49"/>
      <c r="AK333" s="49"/>
      <c r="AL333" s="49"/>
      <c r="AM333" s="49"/>
      <c r="AN333" s="49"/>
      <c r="AO333" s="49"/>
      <c r="AP333" s="49"/>
      <c r="AQ333" s="49"/>
      <c r="AR333" s="49"/>
      <c r="AS333" s="49"/>
      <c r="AT333" s="49"/>
      <c r="AU333" s="49"/>
      <c r="AV333" s="49"/>
      <c r="AW333" s="49"/>
      <c r="AX333" s="49">
        <v>2364.1619999999998</v>
      </c>
      <c r="AY333" s="49"/>
      <c r="AZ333" s="49"/>
      <c r="BA333" s="49"/>
      <c r="BB333" s="49"/>
      <c r="BC333" s="49"/>
      <c r="BD333" s="49"/>
      <c r="BE333" s="49"/>
      <c r="BF333" s="49"/>
      <c r="BG333" s="49"/>
      <c r="BH333" s="49"/>
      <c r="BI333" s="49"/>
      <c r="BJ333" s="49"/>
      <c r="BK333" s="49">
        <v>1060.3634</v>
      </c>
      <c r="BL333" s="49">
        <v>161.01259999999999</v>
      </c>
      <c r="BM333" s="49">
        <v>69.3035</v>
      </c>
      <c r="BN333" s="49"/>
      <c r="BO333" s="49"/>
      <c r="BP333" s="49"/>
      <c r="BQ333" s="49"/>
      <c r="BR333" s="49"/>
      <c r="BS333" s="49"/>
      <c r="BT333" s="49"/>
      <c r="BU333" s="49"/>
      <c r="BV333" s="49"/>
      <c r="BW333" s="49"/>
      <c r="BX333" s="49"/>
      <c r="BY333" s="49"/>
      <c r="BZ333" s="49"/>
      <c r="CA333" s="49"/>
      <c r="CB333" s="49">
        <v>166.8</v>
      </c>
      <c r="CC333" s="231">
        <f t="shared" si="848"/>
        <v>27650</v>
      </c>
    </row>
    <row r="334" spans="2:81" s="3" customFormat="1" ht="15.75" thickBot="1" x14ac:dyDescent="0.3">
      <c r="B334" s="158">
        <v>27700</v>
      </c>
      <c r="C334" s="144">
        <f t="shared" si="829"/>
        <v>468.65500000000003</v>
      </c>
      <c r="D334" s="144">
        <f t="shared" si="830"/>
        <v>2406.3751000000002</v>
      </c>
      <c r="E334" s="144">
        <f t="shared" si="841"/>
        <v>0</v>
      </c>
      <c r="F334" s="144">
        <f>BK334+BL334+BM334</f>
        <v>1246.9840999999999</v>
      </c>
      <c r="G334" s="144">
        <f t="shared" si="842"/>
        <v>0</v>
      </c>
      <c r="H334" s="144">
        <f t="shared" si="843"/>
        <v>0</v>
      </c>
      <c r="I334" s="144">
        <f t="shared" si="844"/>
        <v>0</v>
      </c>
      <c r="J334" s="159">
        <f t="shared" si="845"/>
        <v>0</v>
      </c>
      <c r="K334" s="160">
        <f t="shared" si="846"/>
        <v>167.18</v>
      </c>
      <c r="L334" s="152">
        <f t="shared" si="914"/>
        <v>753</v>
      </c>
      <c r="M334" s="144">
        <f t="shared" si="915"/>
        <v>4418</v>
      </c>
      <c r="N334" s="144"/>
      <c r="O334" s="144">
        <f t="shared" si="934"/>
        <v>2350</v>
      </c>
      <c r="P334" s="144">
        <f t="shared" si="916"/>
        <v>0</v>
      </c>
      <c r="Q334" s="144">
        <f t="shared" si="917"/>
        <v>0</v>
      </c>
      <c r="R334" s="144">
        <f t="shared" si="918"/>
        <v>0</v>
      </c>
      <c r="S334" s="144">
        <f t="shared" si="919"/>
        <v>0</v>
      </c>
      <c r="T334" s="144">
        <f t="shared" si="849"/>
        <v>928</v>
      </c>
      <c r="V334" s="150">
        <f>L332+L333+L334</f>
        <v>3316</v>
      </c>
      <c r="W334" s="150">
        <f t="shared" ref="W334" si="962">M332+M333+M334</f>
        <v>12502</v>
      </c>
      <c r="X334" s="150"/>
      <c r="Y334" s="150">
        <f>O332+O333+O334</f>
        <v>8561</v>
      </c>
      <c r="Z334" s="150">
        <f t="shared" ref="Z334" si="963">P332+P333+P334</f>
        <v>0</v>
      </c>
      <c r="AA334" s="150">
        <f t="shared" ref="AA334" si="964">Q332+Q333+Q334</f>
        <v>0</v>
      </c>
      <c r="AB334" s="150">
        <f t="shared" ref="AB334" si="965">R332+R333+R334</f>
        <v>0</v>
      </c>
      <c r="AC334" s="150">
        <f t="shared" ref="AC334" si="966">S332+S333+S334</f>
        <v>0</v>
      </c>
      <c r="AD334" s="150">
        <f t="shared" ref="AD334" si="967">T332+T333+T334</f>
        <v>2901</v>
      </c>
      <c r="AF334" s="158">
        <f t="shared" si="847"/>
        <v>27700</v>
      </c>
      <c r="AG334" s="186">
        <v>46.228299999999997</v>
      </c>
      <c r="AH334" s="186">
        <v>97.331400000000002</v>
      </c>
      <c r="AI334" s="186">
        <v>170.56700000000001</v>
      </c>
      <c r="AJ334" s="186">
        <v>154.5283</v>
      </c>
      <c r="AK334" s="149"/>
      <c r="AL334" s="149"/>
      <c r="AM334" s="149"/>
      <c r="AN334" s="149"/>
      <c r="AO334" s="149"/>
      <c r="AP334" s="149"/>
      <c r="AQ334" s="149"/>
      <c r="AR334" s="149"/>
      <c r="AS334" s="149"/>
      <c r="AT334" s="149"/>
      <c r="AU334" s="149"/>
      <c r="AV334" s="149"/>
      <c r="AW334" s="149"/>
      <c r="AX334" s="149">
        <v>2406.3751000000002</v>
      </c>
      <c r="AY334" s="149"/>
      <c r="AZ334" s="149"/>
      <c r="BA334" s="149"/>
      <c r="BB334" s="149"/>
      <c r="BC334" s="149"/>
      <c r="BD334" s="149"/>
      <c r="BE334" s="149"/>
      <c r="BF334" s="149"/>
      <c r="BG334" s="149"/>
      <c r="BH334" s="149"/>
      <c r="BI334" s="149"/>
      <c r="BJ334" s="149"/>
      <c r="BK334" s="149">
        <v>930.06569999999999</v>
      </c>
      <c r="BL334" s="149">
        <v>162.39009999999999</v>
      </c>
      <c r="BM334" s="149">
        <v>154.5283</v>
      </c>
      <c r="BN334" s="149"/>
      <c r="BO334" s="149"/>
      <c r="BP334" s="149"/>
      <c r="BQ334" s="149"/>
      <c r="BR334" s="149"/>
      <c r="BS334" s="149"/>
      <c r="BT334" s="149"/>
      <c r="BU334" s="149"/>
      <c r="BV334" s="149"/>
      <c r="BW334" s="149"/>
      <c r="BX334" s="149"/>
      <c r="BY334" s="149"/>
      <c r="BZ334" s="149"/>
      <c r="CA334" s="149"/>
      <c r="CB334" s="149">
        <v>167.18</v>
      </c>
      <c r="CC334" s="231">
        <f t="shared" si="848"/>
        <v>27700</v>
      </c>
    </row>
    <row r="335" spans="2:81" x14ac:dyDescent="0.25">
      <c r="B335" s="155">
        <v>27750</v>
      </c>
      <c r="C335" s="147">
        <f t="shared" si="829"/>
        <v>623.22160000000008</v>
      </c>
      <c r="D335" s="147">
        <f t="shared" si="830"/>
        <v>2430.7909</v>
      </c>
      <c r="E335" s="147">
        <f t="shared" si="841"/>
        <v>0</v>
      </c>
      <c r="F335" s="147">
        <f t="shared" si="831"/>
        <v>945.23950000000002</v>
      </c>
      <c r="G335" s="147">
        <f t="shared" si="842"/>
        <v>0</v>
      </c>
      <c r="H335" s="147">
        <f t="shared" si="843"/>
        <v>0</v>
      </c>
      <c r="I335" s="147">
        <f t="shared" si="844"/>
        <v>0</v>
      </c>
      <c r="J335" s="156">
        <f t="shared" si="845"/>
        <v>0</v>
      </c>
      <c r="K335" s="157">
        <f t="shared" si="846"/>
        <v>173.94</v>
      </c>
      <c r="L335" s="151">
        <f t="shared" si="914"/>
        <v>1011</v>
      </c>
      <c r="M335" s="147">
        <f t="shared" si="915"/>
        <v>4479</v>
      </c>
      <c r="N335" s="147"/>
      <c r="O335" s="147">
        <f t="shared" si="934"/>
        <v>2030</v>
      </c>
      <c r="P335" s="147">
        <f t="shared" si="916"/>
        <v>0</v>
      </c>
      <c r="Q335" s="147">
        <f t="shared" si="917"/>
        <v>0</v>
      </c>
      <c r="R335" s="147">
        <f t="shared" si="918"/>
        <v>0</v>
      </c>
      <c r="S335" s="147">
        <f t="shared" si="919"/>
        <v>0</v>
      </c>
      <c r="T335" s="147">
        <f t="shared" si="849"/>
        <v>948</v>
      </c>
      <c r="V335" s="146"/>
      <c r="W335" s="147"/>
      <c r="X335" s="147"/>
      <c r="Y335" s="147"/>
      <c r="Z335" s="147"/>
      <c r="AA335" s="147"/>
      <c r="AB335" s="147"/>
      <c r="AC335" s="147"/>
      <c r="AD335" s="148"/>
      <c r="AF335" s="155">
        <f t="shared" si="847"/>
        <v>27750</v>
      </c>
      <c r="AG335" s="185">
        <v>132.96789999999999</v>
      </c>
      <c r="AH335" s="185">
        <v>204.86160000000001</v>
      </c>
      <c r="AI335" s="185">
        <v>118.206</v>
      </c>
      <c r="AJ335" s="185">
        <v>167.18610000000001</v>
      </c>
      <c r="AK335" s="78"/>
      <c r="AL335" s="78"/>
      <c r="AM335" s="78"/>
      <c r="AN335" s="78"/>
      <c r="AO335" s="78"/>
      <c r="AP335" s="78"/>
      <c r="AQ335" s="78"/>
      <c r="AR335" s="78"/>
      <c r="AS335" s="78"/>
      <c r="AT335" s="78"/>
      <c r="AU335" s="78"/>
      <c r="AV335" s="78"/>
      <c r="AW335" s="78"/>
      <c r="AX335" s="78">
        <v>2430.7909</v>
      </c>
      <c r="AY335" s="78"/>
      <c r="AZ335" s="78"/>
      <c r="BA335" s="78"/>
      <c r="BB335" s="78"/>
      <c r="BC335" s="78"/>
      <c r="BD335" s="78"/>
      <c r="BE335" s="78"/>
      <c r="BF335" s="78"/>
      <c r="BG335" s="78"/>
      <c r="BH335" s="78"/>
      <c r="BI335" s="78"/>
      <c r="BJ335" s="78"/>
      <c r="BK335" s="78">
        <v>945.23950000000002</v>
      </c>
      <c r="BL335" s="78"/>
      <c r="BM335" s="78"/>
      <c r="BN335" s="78"/>
      <c r="BO335" s="78"/>
      <c r="BP335" s="78"/>
      <c r="BQ335" s="78"/>
      <c r="BR335" s="78"/>
      <c r="BS335" s="78"/>
      <c r="BT335" s="78"/>
      <c r="BU335" s="78"/>
      <c r="BV335" s="78"/>
      <c r="BW335" s="78"/>
      <c r="BX335" s="78"/>
      <c r="BY335" s="78"/>
      <c r="BZ335" s="78"/>
      <c r="CA335" s="78"/>
      <c r="CB335" s="78">
        <v>173.94</v>
      </c>
      <c r="CC335" s="231">
        <f t="shared" si="848"/>
        <v>27750</v>
      </c>
    </row>
    <row r="336" spans="2:81" x14ac:dyDescent="0.25">
      <c r="B336" s="57">
        <v>27800</v>
      </c>
      <c r="C336" s="58">
        <f t="shared" si="829"/>
        <v>733.14739999999995</v>
      </c>
      <c r="D336" s="58">
        <f t="shared" si="830"/>
        <v>3314.8207000000002</v>
      </c>
      <c r="E336" s="58">
        <f t="shared" si="841"/>
        <v>0</v>
      </c>
      <c r="F336" s="58">
        <f t="shared" si="831"/>
        <v>830.09349999999995</v>
      </c>
      <c r="G336" s="58">
        <f t="shared" si="842"/>
        <v>0</v>
      </c>
      <c r="H336" s="58">
        <f t="shared" si="843"/>
        <v>0</v>
      </c>
      <c r="I336" s="58">
        <f t="shared" si="844"/>
        <v>0</v>
      </c>
      <c r="J336" s="51">
        <f t="shared" si="845"/>
        <v>0</v>
      </c>
      <c r="K336" s="99">
        <f t="shared" si="846"/>
        <v>227.67</v>
      </c>
      <c r="L336" s="105">
        <f t="shared" si="914"/>
        <v>1256</v>
      </c>
      <c r="M336" s="58">
        <f t="shared" si="915"/>
        <v>5321</v>
      </c>
      <c r="N336" s="58"/>
      <c r="O336" s="58">
        <f t="shared" si="934"/>
        <v>1644</v>
      </c>
      <c r="P336" s="58">
        <f t="shared" si="916"/>
        <v>0</v>
      </c>
      <c r="Q336" s="58">
        <f t="shared" si="917"/>
        <v>0</v>
      </c>
      <c r="R336" s="58">
        <f t="shared" si="918"/>
        <v>0</v>
      </c>
      <c r="S336" s="58">
        <f t="shared" si="919"/>
        <v>0</v>
      </c>
      <c r="T336" s="58">
        <f t="shared" si="849"/>
        <v>1116</v>
      </c>
      <c r="V336" s="137"/>
      <c r="W336" s="58"/>
      <c r="X336" s="58"/>
      <c r="Y336" s="58"/>
      <c r="Z336" s="58"/>
      <c r="AA336" s="58"/>
      <c r="AB336" s="58"/>
      <c r="AC336" s="58"/>
      <c r="AD336" s="138"/>
      <c r="AF336" s="57">
        <f t="shared" si="847"/>
        <v>27800</v>
      </c>
      <c r="AG336" s="115">
        <v>118.962</v>
      </c>
      <c r="AH336" s="115">
        <v>330.81319999999999</v>
      </c>
      <c r="AI336" s="115">
        <v>139.7362</v>
      </c>
      <c r="AJ336" s="115">
        <v>143.636</v>
      </c>
      <c r="AK336" s="49"/>
      <c r="AL336" s="49"/>
      <c r="AM336" s="49"/>
      <c r="AN336" s="49"/>
      <c r="AO336" s="49"/>
      <c r="AP336" s="49"/>
      <c r="AQ336" s="49"/>
      <c r="AR336" s="49"/>
      <c r="AS336" s="49"/>
      <c r="AT336" s="49"/>
      <c r="AU336" s="49"/>
      <c r="AV336" s="49"/>
      <c r="AW336" s="49"/>
      <c r="AX336" s="49">
        <v>3314.8207000000002</v>
      </c>
      <c r="AY336" s="49"/>
      <c r="AZ336" s="49"/>
      <c r="BA336" s="49"/>
      <c r="BB336" s="49"/>
      <c r="BC336" s="49"/>
      <c r="BD336" s="49"/>
      <c r="BE336" s="49"/>
      <c r="BF336" s="49"/>
      <c r="BG336" s="49"/>
      <c r="BH336" s="49"/>
      <c r="BI336" s="49"/>
      <c r="BJ336" s="49"/>
      <c r="BK336" s="49">
        <v>830.09349999999995</v>
      </c>
      <c r="BL336" s="49"/>
      <c r="BM336" s="49"/>
      <c r="BN336" s="49"/>
      <c r="BO336" s="49"/>
      <c r="BP336" s="49"/>
      <c r="BQ336" s="49"/>
      <c r="BR336" s="49"/>
      <c r="BS336" s="49"/>
      <c r="BT336" s="49"/>
      <c r="BU336" s="49"/>
      <c r="BV336" s="49"/>
      <c r="BW336" s="49"/>
      <c r="BX336" s="49"/>
      <c r="BY336" s="49"/>
      <c r="BZ336" s="49"/>
      <c r="CA336" s="49"/>
      <c r="CB336" s="49">
        <v>227.67</v>
      </c>
      <c r="CC336" s="231">
        <f t="shared" si="848"/>
        <v>27800</v>
      </c>
    </row>
    <row r="337" spans="2:81" s="3" customFormat="1" ht="15.75" thickBot="1" x14ac:dyDescent="0.3">
      <c r="B337" s="158">
        <v>27850</v>
      </c>
      <c r="C337" s="144">
        <f t="shared" si="829"/>
        <v>185.29039999999998</v>
      </c>
      <c r="D337" s="144">
        <f t="shared" si="830"/>
        <v>3699.4758999999999</v>
      </c>
      <c r="E337" s="144">
        <f t="shared" si="841"/>
        <v>0</v>
      </c>
      <c r="F337" s="144">
        <f t="shared" si="831"/>
        <v>568.51599999999996</v>
      </c>
      <c r="G337" s="144">
        <f t="shared" si="842"/>
        <v>0</v>
      </c>
      <c r="H337" s="144">
        <f t="shared" si="843"/>
        <v>0</v>
      </c>
      <c r="I337" s="144">
        <f t="shared" si="844"/>
        <v>0</v>
      </c>
      <c r="J337" s="159">
        <f t="shared" si="845"/>
        <v>0</v>
      </c>
      <c r="K337" s="160">
        <f t="shared" si="846"/>
        <v>213.11</v>
      </c>
      <c r="L337" s="152">
        <f t="shared" si="914"/>
        <v>851</v>
      </c>
      <c r="M337" s="144">
        <f t="shared" si="915"/>
        <v>6495</v>
      </c>
      <c r="N337" s="144"/>
      <c r="O337" s="144">
        <f t="shared" si="934"/>
        <v>1296</v>
      </c>
      <c r="P337" s="144">
        <f t="shared" si="916"/>
        <v>0</v>
      </c>
      <c r="Q337" s="144">
        <f t="shared" si="917"/>
        <v>0</v>
      </c>
      <c r="R337" s="144">
        <f t="shared" si="918"/>
        <v>0</v>
      </c>
      <c r="S337" s="144">
        <f t="shared" si="919"/>
        <v>0</v>
      </c>
      <c r="T337" s="144">
        <f t="shared" si="849"/>
        <v>1225</v>
      </c>
      <c r="V337" s="150">
        <f>L335+L336+L337</f>
        <v>3118</v>
      </c>
      <c r="W337" s="150">
        <f t="shared" ref="W337" si="968">M335+M336+M337</f>
        <v>16295</v>
      </c>
      <c r="X337" s="150"/>
      <c r="Y337" s="150">
        <f t="shared" ref="Y337" si="969">O335+O336+O337</f>
        <v>4970</v>
      </c>
      <c r="Z337" s="150">
        <f t="shared" ref="Z337" si="970">P335+P336+P337</f>
        <v>0</v>
      </c>
      <c r="AA337" s="150">
        <f t="shared" ref="AA337" si="971">Q335+Q336+Q337</f>
        <v>0</v>
      </c>
      <c r="AB337" s="150">
        <f t="shared" ref="AB337" si="972">R335+R336+R337</f>
        <v>0</v>
      </c>
      <c r="AC337" s="150">
        <f t="shared" ref="AC337" si="973">S335+S336+S337</f>
        <v>0</v>
      </c>
      <c r="AD337" s="150">
        <f t="shared" ref="AD337" si="974">T335+T336+T337</f>
        <v>3289</v>
      </c>
      <c r="AF337" s="158">
        <f t="shared" si="847"/>
        <v>27850</v>
      </c>
      <c r="AG337" s="186">
        <v>90.649699999999996</v>
      </c>
      <c r="AH337" s="186">
        <v>94.640699999999995</v>
      </c>
      <c r="AI337" s="149"/>
      <c r="AJ337" s="149"/>
      <c r="AK337" s="149"/>
      <c r="AL337" s="149"/>
      <c r="AM337" s="149"/>
      <c r="AN337" s="149"/>
      <c r="AO337" s="149"/>
      <c r="AP337" s="149"/>
      <c r="AQ337" s="149"/>
      <c r="AR337" s="149"/>
      <c r="AS337" s="149"/>
      <c r="AT337" s="149"/>
      <c r="AU337" s="149"/>
      <c r="AV337" s="149"/>
      <c r="AW337" s="149"/>
      <c r="AX337" s="186">
        <v>90.649699999999996</v>
      </c>
      <c r="AY337" s="186">
        <v>94.640699999999995</v>
      </c>
      <c r="AZ337" s="149">
        <v>3514.1855</v>
      </c>
      <c r="BA337" s="149"/>
      <c r="BB337" s="149"/>
      <c r="BC337" s="149"/>
      <c r="BD337" s="149"/>
      <c r="BE337" s="149"/>
      <c r="BF337" s="149"/>
      <c r="BG337" s="149"/>
      <c r="BH337" s="149"/>
      <c r="BI337" s="149"/>
      <c r="BJ337" s="149"/>
      <c r="BK337" s="149">
        <v>568.51599999999996</v>
      </c>
      <c r="BL337" s="149"/>
      <c r="BM337" s="149"/>
      <c r="BN337" s="149"/>
      <c r="BO337" s="149"/>
      <c r="BP337" s="149"/>
      <c r="BQ337" s="149"/>
      <c r="BR337" s="149"/>
      <c r="BS337" s="149"/>
      <c r="BT337" s="149"/>
      <c r="BU337" s="149"/>
      <c r="BV337" s="149"/>
      <c r="BW337" s="149"/>
      <c r="BX337" s="149"/>
      <c r="BY337" s="149"/>
      <c r="BZ337" s="149"/>
      <c r="CA337" s="149"/>
      <c r="CB337" s="149">
        <v>213.11</v>
      </c>
      <c r="CC337" s="231">
        <f t="shared" si="848"/>
        <v>27850</v>
      </c>
    </row>
    <row r="338" spans="2:81" x14ac:dyDescent="0.25">
      <c r="B338" s="155">
        <v>27900</v>
      </c>
      <c r="C338" s="147">
        <f t="shared" si="829"/>
        <v>0</v>
      </c>
      <c r="D338" s="147">
        <f t="shared" si="830"/>
        <v>3577.8123999999998</v>
      </c>
      <c r="E338" s="147">
        <f t="shared" si="841"/>
        <v>0</v>
      </c>
      <c r="F338" s="147">
        <f t="shared" si="831"/>
        <v>0</v>
      </c>
      <c r="G338" s="147">
        <f t="shared" si="842"/>
        <v>0</v>
      </c>
      <c r="H338" s="147">
        <f t="shared" si="843"/>
        <v>0</v>
      </c>
      <c r="I338" s="147">
        <f t="shared" si="844"/>
        <v>0</v>
      </c>
      <c r="J338" s="156">
        <f t="shared" si="845"/>
        <v>0</v>
      </c>
      <c r="K338" s="157">
        <f t="shared" si="846"/>
        <v>165.74</v>
      </c>
      <c r="L338" s="151">
        <f t="shared" si="914"/>
        <v>172</v>
      </c>
      <c r="M338" s="147">
        <f t="shared" si="915"/>
        <v>6739</v>
      </c>
      <c r="N338" s="147"/>
      <c r="O338" s="147">
        <f t="shared" si="934"/>
        <v>527</v>
      </c>
      <c r="P338" s="147">
        <f t="shared" si="916"/>
        <v>0</v>
      </c>
      <c r="Q338" s="147">
        <f t="shared" si="917"/>
        <v>0</v>
      </c>
      <c r="R338" s="147">
        <f t="shared" si="918"/>
        <v>0</v>
      </c>
      <c r="S338" s="147">
        <f t="shared" si="919"/>
        <v>0</v>
      </c>
      <c r="T338" s="147">
        <f t="shared" si="849"/>
        <v>1053</v>
      </c>
      <c r="V338" s="146"/>
      <c r="W338" s="147"/>
      <c r="X338" s="147"/>
      <c r="Y338" s="147"/>
      <c r="Z338" s="147"/>
      <c r="AA338" s="147"/>
      <c r="AB338" s="147"/>
      <c r="AC338" s="147"/>
      <c r="AD338" s="148"/>
      <c r="AF338" s="155">
        <f t="shared" si="847"/>
        <v>27900</v>
      </c>
      <c r="AG338" s="78"/>
      <c r="AH338" s="78"/>
      <c r="AI338" s="78"/>
      <c r="AJ338" s="78"/>
      <c r="AK338" s="78"/>
      <c r="AL338" s="78"/>
      <c r="AM338" s="78"/>
      <c r="AN338" s="78"/>
      <c r="AO338" s="78"/>
      <c r="AP338" s="78"/>
      <c r="AQ338" s="78"/>
      <c r="AR338" s="78"/>
      <c r="AS338" s="78"/>
      <c r="AT338" s="78"/>
      <c r="AU338" s="78"/>
      <c r="AV338" s="78"/>
      <c r="AW338" s="78"/>
      <c r="AX338" s="78">
        <v>3577.8123999999998</v>
      </c>
      <c r="AY338" s="78"/>
      <c r="AZ338" s="78"/>
      <c r="BA338" s="78"/>
      <c r="BB338" s="78"/>
      <c r="BC338" s="78"/>
      <c r="BD338" s="78"/>
      <c r="BE338" s="78"/>
      <c r="BF338" s="78"/>
      <c r="BG338" s="78"/>
      <c r="BH338" s="78"/>
      <c r="BI338" s="78"/>
      <c r="BJ338" s="78"/>
      <c r="BK338" s="78"/>
      <c r="BL338" s="78"/>
      <c r="BM338" s="78"/>
      <c r="BN338" s="78"/>
      <c r="BO338" s="78"/>
      <c r="BP338" s="78"/>
      <c r="BQ338" s="78"/>
      <c r="BR338" s="78"/>
      <c r="BS338" s="78"/>
      <c r="BT338" s="78"/>
      <c r="BU338" s="78"/>
      <c r="BV338" s="78"/>
      <c r="BW338" s="78"/>
      <c r="BX338" s="78"/>
      <c r="BY338" s="78"/>
      <c r="BZ338" s="78"/>
      <c r="CA338" s="78"/>
      <c r="CB338" s="78">
        <v>165.74</v>
      </c>
      <c r="CC338" s="231">
        <f t="shared" si="848"/>
        <v>27900</v>
      </c>
    </row>
    <row r="339" spans="2:81" x14ac:dyDescent="0.25">
      <c r="B339" s="57">
        <v>27950</v>
      </c>
      <c r="C339" s="58">
        <f t="shared" si="829"/>
        <v>0</v>
      </c>
      <c r="D339" s="58">
        <f t="shared" si="830"/>
        <v>2253.7831000000001</v>
      </c>
      <c r="E339" s="58">
        <f t="shared" si="841"/>
        <v>0</v>
      </c>
      <c r="F339" s="58">
        <f t="shared" si="831"/>
        <v>0</v>
      </c>
      <c r="G339" s="58">
        <f t="shared" si="842"/>
        <v>0</v>
      </c>
      <c r="H339" s="58">
        <f t="shared" si="843"/>
        <v>0</v>
      </c>
      <c r="I339" s="58">
        <f t="shared" si="844"/>
        <v>0</v>
      </c>
      <c r="J339" s="51">
        <f t="shared" si="845"/>
        <v>0</v>
      </c>
      <c r="K339" s="99">
        <f t="shared" si="846"/>
        <v>125.03</v>
      </c>
      <c r="L339" s="105">
        <f t="shared" si="914"/>
        <v>0</v>
      </c>
      <c r="M339" s="58">
        <f t="shared" si="915"/>
        <v>5400</v>
      </c>
      <c r="N339" s="58"/>
      <c r="O339" s="58">
        <f t="shared" si="934"/>
        <v>0</v>
      </c>
      <c r="P339" s="58">
        <f t="shared" si="916"/>
        <v>0</v>
      </c>
      <c r="Q339" s="58">
        <f t="shared" si="917"/>
        <v>0</v>
      </c>
      <c r="R339" s="58">
        <f t="shared" si="918"/>
        <v>0</v>
      </c>
      <c r="S339" s="58">
        <f t="shared" si="919"/>
        <v>0</v>
      </c>
      <c r="T339" s="58">
        <f t="shared" si="849"/>
        <v>808</v>
      </c>
      <c r="V339" s="137"/>
      <c r="W339" s="58"/>
      <c r="X339" s="58"/>
      <c r="Y339" s="58"/>
      <c r="Z339" s="58"/>
      <c r="AA339" s="58"/>
      <c r="AB339" s="58"/>
      <c r="AC339" s="58"/>
      <c r="AD339" s="138"/>
      <c r="AF339" s="57">
        <f t="shared" si="847"/>
        <v>27950</v>
      </c>
      <c r="AG339" s="49"/>
      <c r="AH339" s="49"/>
      <c r="AI339" s="49"/>
      <c r="AJ339" s="49"/>
      <c r="AK339" s="49"/>
      <c r="AL339" s="49"/>
      <c r="AM339" s="49"/>
      <c r="AN339" s="49"/>
      <c r="AO339" s="49"/>
      <c r="AP339" s="49"/>
      <c r="AQ339" s="49"/>
      <c r="AR339" s="49"/>
      <c r="AS339" s="49"/>
      <c r="AT339" s="49"/>
      <c r="AU339" s="49"/>
      <c r="AV339" s="49"/>
      <c r="AW339" s="49"/>
      <c r="AX339" s="49">
        <v>2253.7831000000001</v>
      </c>
      <c r="AY339" s="49"/>
      <c r="AZ339" s="49"/>
      <c r="BA339" s="49"/>
      <c r="BB339" s="49"/>
      <c r="BC339" s="49"/>
      <c r="BD339" s="49"/>
      <c r="BE339" s="49"/>
      <c r="BF339" s="49"/>
      <c r="BG339" s="49"/>
      <c r="BH339" s="49"/>
      <c r="BI339" s="49"/>
      <c r="BJ339" s="49"/>
      <c r="BK339" s="49"/>
      <c r="BL339" s="49"/>
      <c r="BM339" s="49"/>
      <c r="BN339" s="49"/>
      <c r="BO339" s="49"/>
      <c r="BP339" s="49"/>
      <c r="BQ339" s="49"/>
      <c r="BR339" s="49"/>
      <c r="BS339" s="49"/>
      <c r="BT339" s="49"/>
      <c r="BU339" s="49"/>
      <c r="BV339" s="49"/>
      <c r="BW339" s="49"/>
      <c r="BX339" s="49"/>
      <c r="BY339" s="49"/>
      <c r="BZ339" s="49"/>
      <c r="CA339" s="49"/>
      <c r="CB339" s="49">
        <v>125.03</v>
      </c>
      <c r="CC339" s="231">
        <f t="shared" si="848"/>
        <v>27950</v>
      </c>
    </row>
    <row r="340" spans="2:81" s="3" customFormat="1" ht="15.75" thickBot="1" x14ac:dyDescent="0.3">
      <c r="B340" s="158">
        <v>28000</v>
      </c>
      <c r="C340" s="144">
        <f t="shared" si="829"/>
        <v>0</v>
      </c>
      <c r="D340" s="144">
        <f t="shared" si="830"/>
        <v>2380.2426</v>
      </c>
      <c r="E340" s="144">
        <f t="shared" si="841"/>
        <v>0</v>
      </c>
      <c r="F340" s="144">
        <f t="shared" si="831"/>
        <v>0</v>
      </c>
      <c r="G340" s="144">
        <f t="shared" si="842"/>
        <v>0</v>
      </c>
      <c r="H340" s="144">
        <f t="shared" si="843"/>
        <v>0</v>
      </c>
      <c r="I340" s="144">
        <f t="shared" si="844"/>
        <v>0</v>
      </c>
      <c r="J340" s="159">
        <f t="shared" si="845"/>
        <v>0</v>
      </c>
      <c r="K340" s="160">
        <f t="shared" si="846"/>
        <v>168.98</v>
      </c>
      <c r="L340" s="152">
        <f t="shared" si="914"/>
        <v>0</v>
      </c>
      <c r="M340" s="144">
        <f t="shared" si="915"/>
        <v>4291</v>
      </c>
      <c r="N340" s="144"/>
      <c r="O340" s="144">
        <f t="shared" si="934"/>
        <v>0</v>
      </c>
      <c r="P340" s="144">
        <f t="shared" si="916"/>
        <v>0</v>
      </c>
      <c r="Q340" s="144">
        <f t="shared" si="917"/>
        <v>0</v>
      </c>
      <c r="R340" s="144">
        <f t="shared" si="918"/>
        <v>0</v>
      </c>
      <c r="S340" s="144">
        <f t="shared" si="919"/>
        <v>0</v>
      </c>
      <c r="T340" s="144">
        <f t="shared" si="849"/>
        <v>817</v>
      </c>
      <c r="V340" s="150">
        <f>L338+L339+L340</f>
        <v>172</v>
      </c>
      <c r="W340" s="150">
        <f t="shared" ref="W340" si="975">M338+M339+M340</f>
        <v>16430</v>
      </c>
      <c r="X340" s="150"/>
      <c r="Y340" s="150">
        <f t="shared" ref="Y340" si="976">O338+O339+O340</f>
        <v>527</v>
      </c>
      <c r="Z340" s="150">
        <f t="shared" ref="Z340" si="977">P338+P339+P340</f>
        <v>0</v>
      </c>
      <c r="AA340" s="150">
        <f t="shared" ref="AA340" si="978">Q338+Q339+Q340</f>
        <v>0</v>
      </c>
      <c r="AB340" s="150">
        <f t="shared" ref="AB340" si="979">R338+R339+R340</f>
        <v>0</v>
      </c>
      <c r="AC340" s="150">
        <f t="shared" ref="AC340" si="980">S338+S339+S340</f>
        <v>0</v>
      </c>
      <c r="AD340" s="150">
        <f t="shared" ref="AD340" si="981">T338+T339+T340</f>
        <v>2678</v>
      </c>
      <c r="AF340" s="158">
        <f t="shared" si="847"/>
        <v>28000</v>
      </c>
      <c r="AG340" s="149"/>
      <c r="AH340" s="149"/>
      <c r="AI340" s="149"/>
      <c r="AJ340" s="149"/>
      <c r="AK340" s="149"/>
      <c r="AL340" s="149"/>
      <c r="AM340" s="149"/>
      <c r="AN340" s="149"/>
      <c r="AO340" s="149"/>
      <c r="AP340" s="149"/>
      <c r="AQ340" s="149"/>
      <c r="AR340" s="149"/>
      <c r="AS340" s="149"/>
      <c r="AT340" s="149"/>
      <c r="AU340" s="149"/>
      <c r="AV340" s="149"/>
      <c r="AW340" s="149"/>
      <c r="AX340" s="149">
        <v>2380.2426</v>
      </c>
      <c r="AY340" s="149"/>
      <c r="AZ340" s="149"/>
      <c r="BA340" s="149"/>
      <c r="BB340" s="149"/>
      <c r="BC340" s="149"/>
      <c r="BD340" s="149"/>
      <c r="BE340" s="149"/>
      <c r="BF340" s="149"/>
      <c r="BG340" s="149"/>
      <c r="BH340" s="149"/>
      <c r="BI340" s="149"/>
      <c r="BJ340" s="149"/>
      <c r="BK340" s="149"/>
      <c r="BL340" s="149"/>
      <c r="BM340" s="149"/>
      <c r="BN340" s="149"/>
      <c r="BO340" s="149"/>
      <c r="BP340" s="149"/>
      <c r="BQ340" s="149"/>
      <c r="BR340" s="149"/>
      <c r="BS340" s="149"/>
      <c r="BT340" s="149"/>
      <c r="BU340" s="149"/>
      <c r="BV340" s="149"/>
      <c r="BW340" s="149"/>
      <c r="BX340" s="149"/>
      <c r="BY340" s="149"/>
      <c r="BZ340" s="149"/>
      <c r="CA340" s="149"/>
      <c r="CB340" s="149">
        <v>168.98</v>
      </c>
      <c r="CC340" s="231">
        <f t="shared" si="848"/>
        <v>28000</v>
      </c>
    </row>
    <row r="341" spans="2:81" x14ac:dyDescent="0.25">
      <c r="B341" s="155">
        <v>28050</v>
      </c>
      <c r="C341" s="147">
        <f t="shared" si="829"/>
        <v>193.93289999999999</v>
      </c>
      <c r="D341" s="147">
        <f t="shared" si="830"/>
        <v>2613.6448999999998</v>
      </c>
      <c r="E341" s="147">
        <f t="shared" si="841"/>
        <v>0</v>
      </c>
      <c r="F341" s="147">
        <f t="shared" si="831"/>
        <v>0</v>
      </c>
      <c r="G341" s="147">
        <f t="shared" si="842"/>
        <v>0</v>
      </c>
      <c r="H341" s="147">
        <f t="shared" si="843"/>
        <v>0</v>
      </c>
      <c r="I341" s="147">
        <f t="shared" si="844"/>
        <v>0</v>
      </c>
      <c r="J341" s="156">
        <f t="shared" si="845"/>
        <v>0</v>
      </c>
      <c r="K341" s="157">
        <f t="shared" si="846"/>
        <v>226.97</v>
      </c>
      <c r="L341" s="151">
        <f t="shared" si="914"/>
        <v>180</v>
      </c>
      <c r="M341" s="147">
        <f t="shared" si="915"/>
        <v>4624</v>
      </c>
      <c r="N341" s="147"/>
      <c r="O341" s="147">
        <f t="shared" si="934"/>
        <v>0</v>
      </c>
      <c r="P341" s="147">
        <f t="shared" si="916"/>
        <v>0</v>
      </c>
      <c r="Q341" s="147">
        <f t="shared" si="917"/>
        <v>0</v>
      </c>
      <c r="R341" s="147">
        <f t="shared" si="918"/>
        <v>0</v>
      </c>
      <c r="S341" s="147">
        <f t="shared" si="919"/>
        <v>0</v>
      </c>
      <c r="T341" s="147">
        <f t="shared" si="849"/>
        <v>1100</v>
      </c>
      <c r="V341" s="146"/>
      <c r="W341" s="147"/>
      <c r="X341" s="147"/>
      <c r="Y341" s="147"/>
      <c r="Z341" s="147"/>
      <c r="AA341" s="147"/>
      <c r="AB341" s="147"/>
      <c r="AC341" s="147"/>
      <c r="AD341" s="148"/>
      <c r="AF341" s="155">
        <f t="shared" si="847"/>
        <v>28050</v>
      </c>
      <c r="AG341" s="78">
        <v>193.93289999999999</v>
      </c>
      <c r="AH341" s="78"/>
      <c r="AI341" s="78"/>
      <c r="AJ341" s="78"/>
      <c r="AK341" s="78"/>
      <c r="AL341" s="78"/>
      <c r="AM341" s="78"/>
      <c r="AN341" s="78"/>
      <c r="AO341" s="78"/>
      <c r="AP341" s="78"/>
      <c r="AQ341" s="78"/>
      <c r="AR341" s="78"/>
      <c r="AS341" s="78"/>
      <c r="AT341" s="78"/>
      <c r="AU341" s="78"/>
      <c r="AV341" s="78"/>
      <c r="AW341" s="78"/>
      <c r="AX341" s="78">
        <v>2613.6448999999998</v>
      </c>
      <c r="AY341" s="78"/>
      <c r="AZ341" s="78"/>
      <c r="BA341" s="78"/>
      <c r="BB341" s="78"/>
      <c r="BC341" s="78"/>
      <c r="BD341" s="78"/>
      <c r="BE341" s="78"/>
      <c r="BF341" s="78"/>
      <c r="BG341" s="78"/>
      <c r="BH341" s="78"/>
      <c r="BI341" s="78"/>
      <c r="BJ341" s="78"/>
      <c r="BK341" s="78"/>
      <c r="BL341" s="78"/>
      <c r="BM341" s="78"/>
      <c r="BN341" s="78"/>
      <c r="BO341" s="78"/>
      <c r="BP341" s="78"/>
      <c r="BQ341" s="78"/>
      <c r="BR341" s="78"/>
      <c r="BS341" s="78"/>
      <c r="BT341" s="78"/>
      <c r="BU341" s="78"/>
      <c r="BV341" s="78"/>
      <c r="BW341" s="78"/>
      <c r="BX341" s="78"/>
      <c r="BY341" s="78"/>
      <c r="BZ341" s="78"/>
      <c r="CA341" s="78"/>
      <c r="CB341" s="78">
        <v>226.97</v>
      </c>
      <c r="CC341" s="231">
        <f t="shared" si="848"/>
        <v>28050</v>
      </c>
    </row>
    <row r="342" spans="2:81" x14ac:dyDescent="0.25">
      <c r="B342" s="57">
        <v>28100</v>
      </c>
      <c r="C342" s="58">
        <f t="shared" si="829"/>
        <v>187.67089999999999</v>
      </c>
      <c r="D342" s="58">
        <f t="shared" si="830"/>
        <v>3380.0455000000002</v>
      </c>
      <c r="E342" s="58">
        <f t="shared" si="841"/>
        <v>0</v>
      </c>
      <c r="F342" s="58">
        <f t="shared" si="831"/>
        <v>99.787000000000006</v>
      </c>
      <c r="G342" s="58">
        <f t="shared" si="842"/>
        <v>0</v>
      </c>
      <c r="H342" s="58">
        <f t="shared" si="843"/>
        <v>0</v>
      </c>
      <c r="I342" s="58">
        <f t="shared" si="844"/>
        <v>0</v>
      </c>
      <c r="J342" s="51">
        <f t="shared" si="845"/>
        <v>0</v>
      </c>
      <c r="K342" s="99">
        <f t="shared" si="846"/>
        <v>245.56</v>
      </c>
      <c r="L342" s="105">
        <f t="shared" si="914"/>
        <v>354</v>
      </c>
      <c r="M342" s="58">
        <f t="shared" si="915"/>
        <v>5550</v>
      </c>
      <c r="N342" s="58"/>
      <c r="O342" s="58">
        <f t="shared" si="934"/>
        <v>93</v>
      </c>
      <c r="P342" s="58">
        <f t="shared" si="916"/>
        <v>0</v>
      </c>
      <c r="Q342" s="58">
        <f t="shared" si="917"/>
        <v>0</v>
      </c>
      <c r="R342" s="58">
        <f t="shared" si="918"/>
        <v>0</v>
      </c>
      <c r="S342" s="58">
        <f t="shared" si="919"/>
        <v>0</v>
      </c>
      <c r="T342" s="58">
        <f t="shared" si="849"/>
        <v>1313</v>
      </c>
      <c r="V342" s="137"/>
      <c r="W342" s="58"/>
      <c r="X342" s="58"/>
      <c r="Y342" s="58"/>
      <c r="Z342" s="58"/>
      <c r="AA342" s="58"/>
      <c r="AB342" s="58"/>
      <c r="AC342" s="58"/>
      <c r="AD342" s="138"/>
      <c r="AF342" s="57">
        <f t="shared" si="847"/>
        <v>28100</v>
      </c>
      <c r="AG342" s="49">
        <v>187.67089999999999</v>
      </c>
      <c r="AH342" s="49"/>
      <c r="AI342" s="49"/>
      <c r="AJ342" s="49"/>
      <c r="AK342" s="49"/>
      <c r="AL342" s="49"/>
      <c r="AM342" s="49"/>
      <c r="AN342" s="49"/>
      <c r="AO342" s="49"/>
      <c r="AP342" s="49"/>
      <c r="AQ342" s="49"/>
      <c r="AR342" s="49"/>
      <c r="AS342" s="49"/>
      <c r="AT342" s="49"/>
      <c r="AU342" s="49"/>
      <c r="AV342" s="49"/>
      <c r="AW342" s="49"/>
      <c r="AX342" s="49">
        <v>3380.0455000000002</v>
      </c>
      <c r="AY342" s="49"/>
      <c r="AZ342" s="49"/>
      <c r="BA342" s="49"/>
      <c r="BB342" s="49"/>
      <c r="BC342" s="49"/>
      <c r="BD342" s="49"/>
      <c r="BE342" s="49"/>
      <c r="BF342" s="49"/>
      <c r="BG342" s="49"/>
      <c r="BH342" s="49"/>
      <c r="BI342" s="49"/>
      <c r="BJ342" s="49"/>
      <c r="BK342" s="49">
        <v>99.787000000000006</v>
      </c>
      <c r="BL342" s="49"/>
      <c r="BM342" s="49"/>
      <c r="BN342" s="49"/>
      <c r="BO342" s="49"/>
      <c r="BP342" s="49"/>
      <c r="BQ342" s="49"/>
      <c r="BR342" s="49"/>
      <c r="BS342" s="49"/>
      <c r="BT342" s="49"/>
      <c r="BU342" s="49"/>
      <c r="BV342" s="49"/>
      <c r="BW342" s="49"/>
      <c r="BX342" s="49"/>
      <c r="BY342" s="49"/>
      <c r="BZ342" s="49"/>
      <c r="CA342" s="49"/>
      <c r="CB342" s="49">
        <v>245.56</v>
      </c>
      <c r="CC342" s="231">
        <f t="shared" si="848"/>
        <v>28100</v>
      </c>
    </row>
    <row r="343" spans="2:81" s="3" customFormat="1" ht="15.75" thickBot="1" x14ac:dyDescent="0.3">
      <c r="B343" s="158">
        <v>28150</v>
      </c>
      <c r="C343" s="144">
        <f t="shared" si="829"/>
        <v>112.5838</v>
      </c>
      <c r="D343" s="144">
        <f t="shared" si="830"/>
        <v>3362.9744000000001</v>
      </c>
      <c r="E343" s="144">
        <f t="shared" si="841"/>
        <v>0</v>
      </c>
      <c r="F343" s="144">
        <f t="shared" si="831"/>
        <v>107.48909999999999</v>
      </c>
      <c r="G343" s="144">
        <f t="shared" si="842"/>
        <v>0</v>
      </c>
      <c r="H343" s="144">
        <f t="shared" si="843"/>
        <v>0</v>
      </c>
      <c r="I343" s="144">
        <f t="shared" si="844"/>
        <v>0</v>
      </c>
      <c r="J343" s="159">
        <f t="shared" si="845"/>
        <v>0</v>
      </c>
      <c r="K343" s="160">
        <f t="shared" si="846"/>
        <v>238.99</v>
      </c>
      <c r="L343" s="152">
        <f t="shared" si="914"/>
        <v>279</v>
      </c>
      <c r="M343" s="144">
        <f t="shared" si="915"/>
        <v>6244</v>
      </c>
      <c r="N343" s="144"/>
      <c r="O343" s="144">
        <f t="shared" si="934"/>
        <v>192</v>
      </c>
      <c r="P343" s="144">
        <f t="shared" si="916"/>
        <v>0</v>
      </c>
      <c r="Q343" s="144">
        <f t="shared" si="917"/>
        <v>0</v>
      </c>
      <c r="R343" s="144">
        <f t="shared" si="918"/>
        <v>0</v>
      </c>
      <c r="S343" s="144">
        <f t="shared" si="919"/>
        <v>0</v>
      </c>
      <c r="T343" s="144">
        <f t="shared" si="849"/>
        <v>1346</v>
      </c>
      <c r="V343" s="150">
        <f>L341+L342+L343</f>
        <v>813</v>
      </c>
      <c r="W343" s="150">
        <f t="shared" ref="W343" si="982">M341+M342+M343</f>
        <v>16418</v>
      </c>
      <c r="X343" s="150"/>
      <c r="Y343" s="150">
        <f t="shared" ref="Y343" si="983">O341+O342+O343</f>
        <v>285</v>
      </c>
      <c r="Z343" s="150">
        <f t="shared" ref="Z343" si="984">P341+P342+P343</f>
        <v>0</v>
      </c>
      <c r="AA343" s="150">
        <f t="shared" ref="AA343" si="985">Q341+Q342+Q343</f>
        <v>0</v>
      </c>
      <c r="AB343" s="150">
        <f t="shared" ref="AB343" si="986">R341+R342+R343</f>
        <v>0</v>
      </c>
      <c r="AC343" s="150">
        <f t="shared" ref="AC343" si="987">S341+S342+S343</f>
        <v>0</v>
      </c>
      <c r="AD343" s="150">
        <f t="shared" ref="AD343" si="988">T341+T342+T343</f>
        <v>3759</v>
      </c>
      <c r="AF343" s="158">
        <f t="shared" si="847"/>
        <v>28150</v>
      </c>
      <c r="AG343" s="149">
        <v>112.5838</v>
      </c>
      <c r="AH343" s="149"/>
      <c r="AI343" s="149"/>
      <c r="AJ343" s="149"/>
      <c r="AK343" s="149"/>
      <c r="AL343" s="149"/>
      <c r="AM343" s="149"/>
      <c r="AN343" s="149"/>
      <c r="AO343" s="149"/>
      <c r="AP343" s="149"/>
      <c r="AQ343" s="149"/>
      <c r="AR343" s="149"/>
      <c r="AS343" s="149"/>
      <c r="AT343" s="149"/>
      <c r="AU343" s="149"/>
      <c r="AV343" s="149"/>
      <c r="AW343" s="149"/>
      <c r="AX343" s="149">
        <v>3362.9744000000001</v>
      </c>
      <c r="AY343" s="149"/>
      <c r="AZ343" s="149"/>
      <c r="BA343" s="149"/>
      <c r="BB343" s="149"/>
      <c r="BC343" s="149"/>
      <c r="BD343" s="149"/>
      <c r="BE343" s="149"/>
      <c r="BF343" s="149"/>
      <c r="BG343" s="149"/>
      <c r="BH343" s="149"/>
      <c r="BI343" s="149"/>
      <c r="BJ343" s="149"/>
      <c r="BK343" s="149">
        <v>107.48909999999999</v>
      </c>
      <c r="BL343" s="149"/>
      <c r="BM343" s="149"/>
      <c r="BN343" s="149"/>
      <c r="BO343" s="149"/>
      <c r="BP343" s="149"/>
      <c r="BQ343" s="149"/>
      <c r="BR343" s="149"/>
      <c r="BS343" s="149"/>
      <c r="BT343" s="149"/>
      <c r="BU343" s="149"/>
      <c r="BV343" s="149"/>
      <c r="BW343" s="149"/>
      <c r="BX343" s="149"/>
      <c r="BY343" s="149"/>
      <c r="BZ343" s="149"/>
      <c r="CA343" s="149"/>
      <c r="CB343" s="149">
        <v>238.99</v>
      </c>
      <c r="CC343" s="231">
        <f t="shared" si="848"/>
        <v>28150</v>
      </c>
    </row>
    <row r="344" spans="2:81" x14ac:dyDescent="0.25">
      <c r="B344" s="155">
        <v>28200</v>
      </c>
      <c r="C344" s="147">
        <f t="shared" ref="C344:C408" si="989">AG344+AH344+AI344+AJ344+AK344+AL344+AM344+AN344+AO344+AP344</f>
        <v>17.1754</v>
      </c>
      <c r="D344" s="147">
        <f t="shared" ref="D344:D408" si="990">AX344+AY344+AZ344+BA344+BB344+BC344+BD344+BE344+BF344+BG344</f>
        <v>3262.1073999999999</v>
      </c>
      <c r="E344" s="147">
        <f t="shared" si="841"/>
        <v>0</v>
      </c>
      <c r="F344" s="147">
        <f t="shared" si="831"/>
        <v>10.805999999999999</v>
      </c>
      <c r="G344" s="147">
        <f t="shared" si="842"/>
        <v>0</v>
      </c>
      <c r="H344" s="147">
        <f t="shared" si="843"/>
        <v>0</v>
      </c>
      <c r="I344" s="147">
        <f t="shared" si="844"/>
        <v>0</v>
      </c>
      <c r="J344" s="156">
        <f t="shared" si="845"/>
        <v>0</v>
      </c>
      <c r="K344" s="157">
        <f t="shared" si="846"/>
        <v>217.86</v>
      </c>
      <c r="L344" s="151">
        <f t="shared" si="914"/>
        <v>121</v>
      </c>
      <c r="M344" s="147">
        <f t="shared" si="915"/>
        <v>6135</v>
      </c>
      <c r="N344" s="147"/>
      <c r="O344" s="147">
        <f t="shared" si="934"/>
        <v>110</v>
      </c>
      <c r="P344" s="147">
        <f t="shared" si="916"/>
        <v>0</v>
      </c>
      <c r="Q344" s="147">
        <f t="shared" si="917"/>
        <v>0</v>
      </c>
      <c r="R344" s="147">
        <f t="shared" si="918"/>
        <v>0</v>
      </c>
      <c r="S344" s="147">
        <f t="shared" si="919"/>
        <v>0</v>
      </c>
      <c r="T344" s="147">
        <f t="shared" si="849"/>
        <v>1270</v>
      </c>
      <c r="V344" s="146"/>
      <c r="W344" s="147"/>
      <c r="X344" s="147"/>
      <c r="Y344" s="147"/>
      <c r="Z344" s="147"/>
      <c r="AA344" s="147"/>
      <c r="AB344" s="147"/>
      <c r="AC344" s="147"/>
      <c r="AD344" s="148"/>
      <c r="AF344" s="155">
        <f t="shared" si="847"/>
        <v>28200</v>
      </c>
      <c r="AG344" s="78">
        <v>17.1754</v>
      </c>
      <c r="AH344" s="78"/>
      <c r="AI344" s="78"/>
      <c r="AJ344" s="78"/>
      <c r="AK344" s="78"/>
      <c r="AL344" s="78"/>
      <c r="AM344" s="78"/>
      <c r="AN344" s="78"/>
      <c r="AO344" s="78"/>
      <c r="AP344" s="78"/>
      <c r="AQ344" s="78"/>
      <c r="AR344" s="78"/>
      <c r="AS344" s="78"/>
      <c r="AT344" s="78"/>
      <c r="AU344" s="78"/>
      <c r="AV344" s="78"/>
      <c r="AW344" s="78"/>
      <c r="AX344" s="78">
        <v>3262.1073999999999</v>
      </c>
      <c r="AY344" s="78"/>
      <c r="AZ344" s="78"/>
      <c r="BA344" s="78"/>
      <c r="BB344" s="78"/>
      <c r="BC344" s="78"/>
      <c r="BD344" s="78"/>
      <c r="BE344" s="78"/>
      <c r="BF344" s="78"/>
      <c r="BG344" s="78"/>
      <c r="BH344" s="78"/>
      <c r="BI344" s="78"/>
      <c r="BJ344" s="78"/>
      <c r="BK344" s="78">
        <v>10.805999999999999</v>
      </c>
      <c r="BL344" s="78"/>
      <c r="BM344" s="78"/>
      <c r="BN344" s="78"/>
      <c r="BO344" s="78"/>
      <c r="BP344" s="78"/>
      <c r="BQ344" s="78"/>
      <c r="BR344" s="78"/>
      <c r="BS344" s="78"/>
      <c r="BT344" s="78"/>
      <c r="BU344" s="78"/>
      <c r="BV344" s="78"/>
      <c r="BW344" s="78"/>
      <c r="BX344" s="78"/>
      <c r="BY344" s="78"/>
      <c r="BZ344" s="78"/>
      <c r="CA344" s="78"/>
      <c r="CB344" s="78">
        <v>217.86</v>
      </c>
      <c r="CC344" s="231">
        <f t="shared" si="848"/>
        <v>28200</v>
      </c>
    </row>
    <row r="345" spans="2:81" x14ac:dyDescent="0.25">
      <c r="B345" s="57">
        <v>28250</v>
      </c>
      <c r="C345" s="58">
        <f t="shared" si="989"/>
        <v>0</v>
      </c>
      <c r="D345" s="58">
        <f t="shared" si="990"/>
        <v>3783.8588</v>
      </c>
      <c r="E345" s="58">
        <f t="shared" si="841"/>
        <v>0</v>
      </c>
      <c r="F345" s="58">
        <f t="shared" ref="F345:F409" si="991">BK345+BL345+BM345</f>
        <v>0</v>
      </c>
      <c r="G345" s="58">
        <f t="shared" si="842"/>
        <v>0</v>
      </c>
      <c r="H345" s="58">
        <f t="shared" si="843"/>
        <v>0</v>
      </c>
      <c r="I345" s="58">
        <f t="shared" si="844"/>
        <v>0</v>
      </c>
      <c r="J345" s="51">
        <f t="shared" si="845"/>
        <v>0</v>
      </c>
      <c r="K345" s="99">
        <f t="shared" si="846"/>
        <v>201.45</v>
      </c>
      <c r="L345" s="105">
        <f t="shared" si="914"/>
        <v>16</v>
      </c>
      <c r="M345" s="58">
        <f t="shared" si="915"/>
        <v>6525</v>
      </c>
      <c r="N345" s="58"/>
      <c r="O345" s="58">
        <f t="shared" si="934"/>
        <v>11</v>
      </c>
      <c r="P345" s="58">
        <f t="shared" si="916"/>
        <v>0</v>
      </c>
      <c r="Q345" s="58">
        <f t="shared" si="917"/>
        <v>0</v>
      </c>
      <c r="R345" s="58">
        <f t="shared" si="918"/>
        <v>0</v>
      </c>
      <c r="S345" s="58">
        <f t="shared" si="919"/>
        <v>0</v>
      </c>
      <c r="T345" s="58">
        <f t="shared" si="849"/>
        <v>1165</v>
      </c>
      <c r="V345" s="137"/>
      <c r="W345" s="58"/>
      <c r="X345" s="58"/>
      <c r="Y345" s="58"/>
      <c r="Z345" s="58"/>
      <c r="AA345" s="58"/>
      <c r="AB345" s="58"/>
      <c r="AC345" s="58"/>
      <c r="AD345" s="138"/>
      <c r="AF345" s="57">
        <f t="shared" si="847"/>
        <v>28250</v>
      </c>
      <c r="AG345" s="49"/>
      <c r="AH345" s="49"/>
      <c r="AI345" s="49"/>
      <c r="AJ345" s="49"/>
      <c r="AK345" s="49"/>
      <c r="AL345" s="49"/>
      <c r="AM345" s="49"/>
      <c r="AN345" s="49"/>
      <c r="AO345" s="49"/>
      <c r="AP345" s="49"/>
      <c r="AQ345" s="49"/>
      <c r="AR345" s="49"/>
      <c r="AS345" s="49"/>
      <c r="AT345" s="49"/>
      <c r="AU345" s="49"/>
      <c r="AV345" s="49"/>
      <c r="AW345" s="49"/>
      <c r="AX345" s="49">
        <v>3763.5522999999998</v>
      </c>
      <c r="AY345" s="49">
        <v>20.3065</v>
      </c>
      <c r="AZ345" s="49"/>
      <c r="BA345" s="49"/>
      <c r="BB345" s="49"/>
      <c r="BC345" s="49"/>
      <c r="BD345" s="49"/>
      <c r="BE345" s="49"/>
      <c r="BF345" s="49"/>
      <c r="BG345" s="49"/>
      <c r="BH345" s="49"/>
      <c r="BI345" s="49"/>
      <c r="BJ345" s="49"/>
      <c r="BK345" s="49"/>
      <c r="BL345" s="49"/>
      <c r="BM345" s="49"/>
      <c r="BN345" s="49"/>
      <c r="BO345" s="49"/>
      <c r="BP345" s="49"/>
      <c r="BQ345" s="49"/>
      <c r="BR345" s="49"/>
      <c r="BS345" s="49"/>
      <c r="BT345" s="49"/>
      <c r="BU345" s="49"/>
      <c r="BV345" s="49"/>
      <c r="BW345" s="49"/>
      <c r="BX345" s="49"/>
      <c r="BY345" s="49"/>
      <c r="BZ345" s="49"/>
      <c r="CA345" s="49"/>
      <c r="CB345" s="49">
        <v>201.45</v>
      </c>
      <c r="CC345" s="231">
        <f t="shared" si="848"/>
        <v>28250</v>
      </c>
    </row>
    <row r="346" spans="2:81" s="3" customFormat="1" ht="15.75" thickBot="1" x14ac:dyDescent="0.3">
      <c r="B346" s="158">
        <v>28300</v>
      </c>
      <c r="C346" s="144">
        <f t="shared" si="989"/>
        <v>0</v>
      </c>
      <c r="D346" s="144">
        <f t="shared" si="990"/>
        <v>4811.5396000000001</v>
      </c>
      <c r="E346" s="144">
        <f t="shared" si="841"/>
        <v>0</v>
      </c>
      <c r="F346" s="144">
        <f t="shared" si="991"/>
        <v>44.381500000000003</v>
      </c>
      <c r="G346" s="144">
        <f t="shared" si="842"/>
        <v>0</v>
      </c>
      <c r="H346" s="144">
        <f t="shared" si="843"/>
        <v>0</v>
      </c>
      <c r="I346" s="144">
        <f t="shared" si="844"/>
        <v>0</v>
      </c>
      <c r="J346" s="159">
        <f t="shared" si="845"/>
        <v>0</v>
      </c>
      <c r="K346" s="160">
        <f t="shared" si="846"/>
        <v>231.96</v>
      </c>
      <c r="L346" s="152">
        <f t="shared" si="914"/>
        <v>0</v>
      </c>
      <c r="M346" s="144">
        <f t="shared" si="915"/>
        <v>7959</v>
      </c>
      <c r="N346" s="144"/>
      <c r="O346" s="144">
        <f t="shared" si="934"/>
        <v>42</v>
      </c>
      <c r="P346" s="144">
        <f t="shared" si="916"/>
        <v>0</v>
      </c>
      <c r="Q346" s="144">
        <f t="shared" si="917"/>
        <v>0</v>
      </c>
      <c r="R346" s="144">
        <f t="shared" si="918"/>
        <v>0</v>
      </c>
      <c r="S346" s="144">
        <f t="shared" si="919"/>
        <v>0</v>
      </c>
      <c r="T346" s="144">
        <f t="shared" si="849"/>
        <v>1204</v>
      </c>
      <c r="V346" s="150">
        <f>L344+L345+L346</f>
        <v>137</v>
      </c>
      <c r="W346" s="150">
        <f t="shared" ref="W346" si="992">M344+M345+M346</f>
        <v>20619</v>
      </c>
      <c r="X346" s="150"/>
      <c r="Y346" s="150">
        <f t="shared" ref="Y346" si="993">O344+O345+O346</f>
        <v>163</v>
      </c>
      <c r="Z346" s="150">
        <f t="shared" ref="Z346" si="994">P344+P345+P346</f>
        <v>0</v>
      </c>
      <c r="AA346" s="150">
        <f t="shared" ref="AA346" si="995">Q344+Q345+Q346</f>
        <v>0</v>
      </c>
      <c r="AB346" s="150">
        <f t="shared" ref="AB346" si="996">R344+R345+R346</f>
        <v>0</v>
      </c>
      <c r="AC346" s="150">
        <f t="shared" ref="AC346" si="997">S344+S345+S346</f>
        <v>0</v>
      </c>
      <c r="AD346" s="150">
        <f t="shared" ref="AD346" si="998">T344+T345+T346</f>
        <v>3639</v>
      </c>
      <c r="AF346" s="158">
        <f t="shared" si="847"/>
        <v>28300</v>
      </c>
      <c r="AG346" s="149"/>
      <c r="AH346" s="149"/>
      <c r="AI346" s="149"/>
      <c r="AJ346" s="149"/>
      <c r="AK346" s="149"/>
      <c r="AL346" s="149"/>
      <c r="AM346" s="149"/>
      <c r="AN346" s="149"/>
      <c r="AO346" s="149"/>
      <c r="AP346" s="149"/>
      <c r="AQ346" s="149"/>
      <c r="AR346" s="149"/>
      <c r="AS346" s="149"/>
      <c r="AT346" s="149"/>
      <c r="AU346" s="149"/>
      <c r="AV346" s="149"/>
      <c r="AW346" s="149"/>
      <c r="AX346" s="149">
        <v>4791.3597</v>
      </c>
      <c r="AY346" s="149">
        <v>20.1799</v>
      </c>
      <c r="AZ346" s="149"/>
      <c r="BA346" s="149"/>
      <c r="BB346" s="149"/>
      <c r="BC346" s="149"/>
      <c r="BD346" s="149"/>
      <c r="BE346" s="149"/>
      <c r="BF346" s="149"/>
      <c r="BG346" s="149"/>
      <c r="BH346" s="149"/>
      <c r="BI346" s="149"/>
      <c r="BJ346" s="149"/>
      <c r="BK346" s="149">
        <v>44.381500000000003</v>
      </c>
      <c r="BL346" s="149"/>
      <c r="BM346" s="149"/>
      <c r="BN346" s="149"/>
      <c r="BO346" s="149"/>
      <c r="BP346" s="149"/>
      <c r="BQ346" s="149"/>
      <c r="BR346" s="149"/>
      <c r="BS346" s="149"/>
      <c r="BT346" s="149"/>
      <c r="BU346" s="149"/>
      <c r="BV346" s="149"/>
      <c r="BW346" s="149"/>
      <c r="BX346" s="149"/>
      <c r="BY346" s="149"/>
      <c r="BZ346" s="149"/>
      <c r="CA346" s="149"/>
      <c r="CB346" s="149">
        <v>231.96</v>
      </c>
      <c r="CC346" s="231">
        <f t="shared" si="848"/>
        <v>28300</v>
      </c>
    </row>
    <row r="347" spans="2:81" x14ac:dyDescent="0.25">
      <c r="B347" s="155">
        <v>28350</v>
      </c>
      <c r="C347" s="147">
        <f t="shared" si="989"/>
        <v>0</v>
      </c>
      <c r="D347" s="147">
        <f t="shared" si="990"/>
        <v>67.203299999999999</v>
      </c>
      <c r="E347" s="147">
        <f t="shared" si="841"/>
        <v>0</v>
      </c>
      <c r="F347" s="147">
        <f t="shared" si="991"/>
        <v>0</v>
      </c>
      <c r="G347" s="147">
        <f t="shared" si="842"/>
        <v>0</v>
      </c>
      <c r="H347" s="147">
        <f t="shared" si="843"/>
        <v>0</v>
      </c>
      <c r="I347" s="147">
        <f t="shared" si="844"/>
        <v>0</v>
      </c>
      <c r="J347" s="156">
        <f t="shared" si="845"/>
        <v>0</v>
      </c>
      <c r="K347" s="157">
        <f t="shared" si="846"/>
        <v>206.65</v>
      </c>
      <c r="L347" s="151">
        <f t="shared" si="914"/>
        <v>0</v>
      </c>
      <c r="M347" s="147">
        <f t="shared" si="915"/>
        <v>4518</v>
      </c>
      <c r="N347" s="147"/>
      <c r="O347" s="147">
        <f t="shared" si="934"/>
        <v>42</v>
      </c>
      <c r="P347" s="147">
        <f t="shared" si="916"/>
        <v>0</v>
      </c>
      <c r="Q347" s="147">
        <f t="shared" si="917"/>
        <v>0</v>
      </c>
      <c r="R347" s="147">
        <f t="shared" si="918"/>
        <v>0</v>
      </c>
      <c r="S347" s="147">
        <f t="shared" si="919"/>
        <v>0</v>
      </c>
      <c r="T347" s="147">
        <f t="shared" si="849"/>
        <v>1219</v>
      </c>
      <c r="V347" s="146"/>
      <c r="W347" s="147"/>
      <c r="X347" s="147"/>
      <c r="Y347" s="147"/>
      <c r="Z347" s="147"/>
      <c r="AA347" s="147"/>
      <c r="AB347" s="147"/>
      <c r="AC347" s="147"/>
      <c r="AD347" s="148"/>
      <c r="AF347" s="155">
        <f t="shared" ref="AF347:AF411" si="999">B347</f>
        <v>28350</v>
      </c>
      <c r="AG347" s="78"/>
      <c r="AH347" s="78"/>
      <c r="AI347" s="78"/>
      <c r="AJ347" s="78"/>
      <c r="AK347" s="78"/>
      <c r="AL347" s="78"/>
      <c r="AM347" s="78"/>
      <c r="AN347" s="78"/>
      <c r="AO347" s="78"/>
      <c r="AP347" s="78"/>
      <c r="AQ347" s="78"/>
      <c r="AR347" s="78"/>
      <c r="AS347" s="78"/>
      <c r="AT347" s="78"/>
      <c r="AU347" s="78"/>
      <c r="AV347" s="78"/>
      <c r="AW347" s="78"/>
      <c r="AX347" s="78">
        <v>44.381500000000003</v>
      </c>
      <c r="AY347" s="78">
        <v>22.8218</v>
      </c>
      <c r="AZ347" s="78"/>
      <c r="BA347" s="78"/>
      <c r="BB347" s="78"/>
      <c r="BC347" s="78"/>
      <c r="BD347" s="78"/>
      <c r="BE347" s="78"/>
      <c r="BF347" s="78"/>
      <c r="BG347" s="78"/>
      <c r="BH347" s="78"/>
      <c r="BI347" s="78"/>
      <c r="BJ347" s="78"/>
      <c r="BK347" s="78"/>
      <c r="BL347" s="78"/>
      <c r="BM347" s="78"/>
      <c r="BN347" s="78"/>
      <c r="BO347" s="78"/>
      <c r="BP347" s="78"/>
      <c r="BQ347" s="78"/>
      <c r="BR347" s="78"/>
      <c r="BS347" s="78"/>
      <c r="BT347" s="78"/>
      <c r="BU347" s="78"/>
      <c r="BV347" s="78"/>
      <c r="BW347" s="78"/>
      <c r="BX347" s="78"/>
      <c r="BY347" s="78"/>
      <c r="BZ347" s="78"/>
      <c r="CA347" s="78"/>
      <c r="CB347" s="78">
        <v>206.65</v>
      </c>
      <c r="CC347" s="231">
        <f t="shared" si="848"/>
        <v>28350</v>
      </c>
    </row>
    <row r="348" spans="2:81" x14ac:dyDescent="0.25">
      <c r="B348" s="57">
        <v>28400</v>
      </c>
      <c r="C348" s="58">
        <f t="shared" si="989"/>
        <v>0</v>
      </c>
      <c r="D348" s="58">
        <f t="shared" si="990"/>
        <v>4054.4546</v>
      </c>
      <c r="E348" s="58">
        <f t="shared" si="841"/>
        <v>0</v>
      </c>
      <c r="F348" s="58">
        <f t="shared" si="991"/>
        <v>0</v>
      </c>
      <c r="G348" s="58">
        <f t="shared" si="842"/>
        <v>0</v>
      </c>
      <c r="H348" s="58">
        <f t="shared" si="843"/>
        <v>0</v>
      </c>
      <c r="I348" s="58">
        <f t="shared" si="844"/>
        <v>0</v>
      </c>
      <c r="J348" s="51">
        <f t="shared" si="845"/>
        <v>0</v>
      </c>
      <c r="K348" s="99">
        <f t="shared" si="846"/>
        <v>193.31</v>
      </c>
      <c r="L348" s="105">
        <f t="shared" si="914"/>
        <v>0</v>
      </c>
      <c r="M348" s="58">
        <f t="shared" si="915"/>
        <v>3817</v>
      </c>
      <c r="N348" s="58"/>
      <c r="O348" s="58">
        <f t="shared" si="934"/>
        <v>0</v>
      </c>
      <c r="P348" s="58">
        <f t="shared" si="916"/>
        <v>0</v>
      </c>
      <c r="Q348" s="58">
        <f t="shared" si="917"/>
        <v>0</v>
      </c>
      <c r="R348" s="58">
        <f t="shared" si="918"/>
        <v>0</v>
      </c>
      <c r="S348" s="58">
        <f t="shared" si="919"/>
        <v>0</v>
      </c>
      <c r="T348" s="58">
        <f t="shared" si="849"/>
        <v>1111</v>
      </c>
      <c r="V348" s="137"/>
      <c r="W348" s="58"/>
      <c r="X348" s="58"/>
      <c r="Y348" s="58"/>
      <c r="Z348" s="58"/>
      <c r="AA348" s="58"/>
      <c r="AB348" s="58"/>
      <c r="AC348" s="58"/>
      <c r="AD348" s="138"/>
      <c r="AF348" s="57">
        <f t="shared" si="999"/>
        <v>28400</v>
      </c>
      <c r="AG348" s="49"/>
      <c r="AH348" s="49"/>
      <c r="AI348" s="49"/>
      <c r="AJ348" s="49"/>
      <c r="AK348" s="49"/>
      <c r="AL348" s="49"/>
      <c r="AM348" s="49"/>
      <c r="AN348" s="49"/>
      <c r="AO348" s="49"/>
      <c r="AP348" s="49"/>
      <c r="AQ348" s="49"/>
      <c r="AR348" s="49"/>
      <c r="AS348" s="49"/>
      <c r="AT348" s="49"/>
      <c r="AU348" s="49"/>
      <c r="AV348" s="49"/>
      <c r="AW348" s="49"/>
      <c r="AX348" s="49">
        <v>3972.6334999999999</v>
      </c>
      <c r="AY348" s="49">
        <v>81.821100000000001</v>
      </c>
      <c r="AZ348" s="49"/>
      <c r="BA348" s="49"/>
      <c r="BB348" s="49"/>
      <c r="BC348" s="49"/>
      <c r="BD348" s="49"/>
      <c r="BE348" s="49"/>
      <c r="BF348" s="49"/>
      <c r="BG348" s="49"/>
      <c r="BH348" s="49"/>
      <c r="BI348" s="49"/>
      <c r="BJ348" s="49"/>
      <c r="BK348" s="49"/>
      <c r="BL348" s="49"/>
      <c r="BM348" s="49"/>
      <c r="BN348" s="49"/>
      <c r="BO348" s="49"/>
      <c r="BP348" s="49"/>
      <c r="BQ348" s="49"/>
      <c r="BR348" s="49"/>
      <c r="BS348" s="49"/>
      <c r="BT348" s="49"/>
      <c r="BU348" s="49"/>
      <c r="BV348" s="49"/>
      <c r="BW348" s="49"/>
      <c r="BX348" s="49"/>
      <c r="BY348" s="49"/>
      <c r="BZ348" s="49"/>
      <c r="CA348" s="49"/>
      <c r="CB348" s="49">
        <v>193.31</v>
      </c>
      <c r="CC348" s="231">
        <f t="shared" si="848"/>
        <v>28400</v>
      </c>
    </row>
    <row r="349" spans="2:81" s="3" customFormat="1" ht="15.75" thickBot="1" x14ac:dyDescent="0.3">
      <c r="B349" s="158">
        <v>28450</v>
      </c>
      <c r="C349" s="144">
        <f t="shared" si="989"/>
        <v>614.73790000000008</v>
      </c>
      <c r="D349" s="144">
        <f t="shared" si="990"/>
        <v>4157.8011999999999</v>
      </c>
      <c r="E349" s="144">
        <f t="shared" si="841"/>
        <v>0</v>
      </c>
      <c r="F349" s="144">
        <f t="shared" si="991"/>
        <v>0</v>
      </c>
      <c r="G349" s="144">
        <f t="shared" si="842"/>
        <v>0</v>
      </c>
      <c r="H349" s="144">
        <f t="shared" si="843"/>
        <v>0</v>
      </c>
      <c r="I349" s="144">
        <f t="shared" si="844"/>
        <v>0</v>
      </c>
      <c r="J349" s="159">
        <f t="shared" si="845"/>
        <v>0</v>
      </c>
      <c r="K349" s="160">
        <f t="shared" si="846"/>
        <v>267.29000000000002</v>
      </c>
      <c r="L349" s="152">
        <f t="shared" si="914"/>
        <v>570</v>
      </c>
      <c r="M349" s="144">
        <f t="shared" si="915"/>
        <v>7604</v>
      </c>
      <c r="N349" s="144"/>
      <c r="O349" s="144">
        <f t="shared" si="934"/>
        <v>0</v>
      </c>
      <c r="P349" s="144">
        <f t="shared" si="916"/>
        <v>0</v>
      </c>
      <c r="Q349" s="144">
        <f t="shared" si="917"/>
        <v>0</v>
      </c>
      <c r="R349" s="144">
        <f t="shared" si="918"/>
        <v>0</v>
      </c>
      <c r="S349" s="144">
        <f t="shared" si="919"/>
        <v>0</v>
      </c>
      <c r="T349" s="144">
        <f t="shared" si="849"/>
        <v>1280</v>
      </c>
      <c r="V349" s="150">
        <f>L347+L348+L349</f>
        <v>570</v>
      </c>
      <c r="W349" s="150">
        <f t="shared" ref="W349" si="1000">M347+M348+M349</f>
        <v>15939</v>
      </c>
      <c r="X349" s="150"/>
      <c r="Y349" s="150">
        <f t="shared" ref="Y349" si="1001">O347+O348+O349</f>
        <v>42</v>
      </c>
      <c r="Z349" s="150">
        <f t="shared" ref="Z349" si="1002">P347+P348+P349</f>
        <v>0</v>
      </c>
      <c r="AA349" s="150">
        <f t="shared" ref="AA349" si="1003">Q347+Q348+Q349</f>
        <v>0</v>
      </c>
      <c r="AB349" s="150">
        <f t="shared" ref="AB349" si="1004">R347+R348+R349</f>
        <v>0</v>
      </c>
      <c r="AC349" s="150">
        <f t="shared" ref="AC349" si="1005">S347+S348+S349</f>
        <v>0</v>
      </c>
      <c r="AD349" s="150">
        <f t="shared" ref="AD349" si="1006">T347+T348+T349</f>
        <v>3610</v>
      </c>
      <c r="AF349" s="158">
        <f t="shared" si="999"/>
        <v>28450</v>
      </c>
      <c r="AG349" s="149">
        <v>322.37180000000001</v>
      </c>
      <c r="AH349" s="186">
        <v>152.87970000000001</v>
      </c>
      <c r="AI349" s="186">
        <v>139.4864</v>
      </c>
      <c r="AJ349" s="149"/>
      <c r="AK349" s="149"/>
      <c r="AL349" s="149"/>
      <c r="AM349" s="149"/>
      <c r="AN349" s="149"/>
      <c r="AO349" s="149"/>
      <c r="AP349" s="149"/>
      <c r="AQ349" s="149"/>
      <c r="AR349" s="149"/>
      <c r="AS349" s="149"/>
      <c r="AT349" s="149"/>
      <c r="AU349" s="149"/>
      <c r="AV349" s="149"/>
      <c r="AW349" s="149"/>
      <c r="AX349" s="186">
        <v>152.87970000000001</v>
      </c>
      <c r="AY349" s="186">
        <v>139.4864</v>
      </c>
      <c r="AZ349" s="149">
        <v>3845.2784000000001</v>
      </c>
      <c r="BA349" s="149">
        <v>20.156700000000001</v>
      </c>
      <c r="BB349" s="149"/>
      <c r="BC349" s="149"/>
      <c r="BD349" s="149"/>
      <c r="BE349" s="149"/>
      <c r="BF349" s="149"/>
      <c r="BG349" s="149"/>
      <c r="BH349" s="149"/>
      <c r="BI349" s="149"/>
      <c r="BJ349" s="149"/>
      <c r="BK349" s="149"/>
      <c r="BL349" s="149"/>
      <c r="BM349" s="149"/>
      <c r="BN349" s="149"/>
      <c r="BO349" s="149"/>
      <c r="BP349" s="149"/>
      <c r="BQ349" s="149"/>
      <c r="BR349" s="149"/>
      <c r="BS349" s="149"/>
      <c r="BT349" s="149"/>
      <c r="BU349" s="149"/>
      <c r="BV349" s="149"/>
      <c r="BW349" s="149"/>
      <c r="BX349" s="149"/>
      <c r="BY349" s="149"/>
      <c r="BZ349" s="149"/>
      <c r="CA349" s="149"/>
      <c r="CB349" s="149">
        <v>267.29000000000002</v>
      </c>
      <c r="CC349" s="231">
        <f t="shared" si="848"/>
        <v>28450</v>
      </c>
    </row>
    <row r="350" spans="2:81" x14ac:dyDescent="0.25">
      <c r="B350" s="155">
        <v>28500</v>
      </c>
      <c r="C350" s="147">
        <f t="shared" si="989"/>
        <v>377.71390000000002</v>
      </c>
      <c r="D350" s="147">
        <f t="shared" si="990"/>
        <v>4293.5725000000002</v>
      </c>
      <c r="E350" s="147">
        <f t="shared" ref="E350:E414" si="1007">BH350+BJ350+BI350</f>
        <v>0</v>
      </c>
      <c r="F350" s="147">
        <f t="shared" si="991"/>
        <v>0</v>
      </c>
      <c r="G350" s="147">
        <f t="shared" ref="G350:G414" si="1008">BN350+BO350+BP350</f>
        <v>0</v>
      </c>
      <c r="H350" s="147">
        <f t="shared" ref="H350:H414" si="1009">BQ350+BR350+BS350</f>
        <v>0</v>
      </c>
      <c r="I350" s="147">
        <f t="shared" ref="I350:I414" si="1010">BT350+BU350+BV350</f>
        <v>0</v>
      </c>
      <c r="J350" s="156">
        <f t="shared" ref="J350:J414" si="1011">BW350+BX350+BY350</f>
        <v>0</v>
      </c>
      <c r="K350" s="157">
        <f t="shared" ref="K350:K414" si="1012">BZ350+CA350+CB350</f>
        <v>220.4</v>
      </c>
      <c r="L350" s="151">
        <f t="shared" si="914"/>
        <v>919</v>
      </c>
      <c r="M350" s="147">
        <f t="shared" si="915"/>
        <v>7826</v>
      </c>
      <c r="N350" s="147"/>
      <c r="O350" s="147">
        <f t="shared" si="934"/>
        <v>0</v>
      </c>
      <c r="P350" s="147">
        <f t="shared" si="916"/>
        <v>0</v>
      </c>
      <c r="Q350" s="147">
        <f t="shared" si="917"/>
        <v>0</v>
      </c>
      <c r="R350" s="147">
        <f t="shared" si="918"/>
        <v>0</v>
      </c>
      <c r="S350" s="147">
        <f t="shared" si="919"/>
        <v>0</v>
      </c>
      <c r="T350" s="147">
        <f t="shared" si="849"/>
        <v>1355</v>
      </c>
      <c r="V350" s="146"/>
      <c r="W350" s="147"/>
      <c r="X350" s="147"/>
      <c r="Y350" s="147"/>
      <c r="Z350" s="147"/>
      <c r="AA350" s="147"/>
      <c r="AB350" s="147"/>
      <c r="AC350" s="147"/>
      <c r="AD350" s="148"/>
      <c r="AF350" s="155">
        <f t="shared" si="999"/>
        <v>28500</v>
      </c>
      <c r="AG350" s="78">
        <v>144.99350000000001</v>
      </c>
      <c r="AH350" s="185">
        <v>108.7272</v>
      </c>
      <c r="AI350" s="185">
        <v>123.9932</v>
      </c>
      <c r="AJ350" s="78"/>
      <c r="AK350" s="78"/>
      <c r="AL350" s="78"/>
      <c r="AM350" s="78"/>
      <c r="AN350" s="78"/>
      <c r="AO350" s="78"/>
      <c r="AP350" s="78"/>
      <c r="AQ350" s="78"/>
      <c r="AR350" s="78"/>
      <c r="AS350" s="78"/>
      <c r="AT350" s="78"/>
      <c r="AU350" s="78"/>
      <c r="AV350" s="78"/>
      <c r="AW350" s="78"/>
      <c r="AX350" s="185">
        <v>108.7272</v>
      </c>
      <c r="AY350" s="185">
        <v>123.9932</v>
      </c>
      <c r="AZ350" s="78">
        <v>4060.8521000000001</v>
      </c>
      <c r="BA350" s="78"/>
      <c r="BB350" s="78"/>
      <c r="BC350" s="78"/>
      <c r="BD350" s="78"/>
      <c r="BE350" s="78"/>
      <c r="BF350" s="78"/>
      <c r="BG350" s="78"/>
      <c r="BH350" s="78"/>
      <c r="BI350" s="78"/>
      <c r="BJ350" s="78"/>
      <c r="BK350" s="78"/>
      <c r="BL350" s="78"/>
      <c r="BM350" s="78"/>
      <c r="BN350" s="78"/>
      <c r="BO350" s="78"/>
      <c r="BP350" s="78"/>
      <c r="BQ350" s="78"/>
      <c r="BR350" s="78"/>
      <c r="BS350" s="78"/>
      <c r="BT350" s="78"/>
      <c r="BU350" s="78"/>
      <c r="BV350" s="78"/>
      <c r="BW350" s="78"/>
      <c r="BX350" s="78"/>
      <c r="BY350" s="78"/>
      <c r="BZ350" s="78"/>
      <c r="CA350" s="78"/>
      <c r="CB350" s="78">
        <v>220.4</v>
      </c>
      <c r="CC350" s="231">
        <f t="shared" ref="CC350:CC414" si="1013">B350</f>
        <v>28500</v>
      </c>
    </row>
    <row r="351" spans="2:81" x14ac:dyDescent="0.25">
      <c r="B351" s="57">
        <v>28550</v>
      </c>
      <c r="C351" s="58">
        <f t="shared" si="989"/>
        <v>1082.3843000000002</v>
      </c>
      <c r="D351" s="58">
        <f t="shared" si="990"/>
        <v>3802.1428999999998</v>
      </c>
      <c r="E351" s="58">
        <f t="shared" si="1007"/>
        <v>0</v>
      </c>
      <c r="F351" s="58">
        <f t="shared" si="991"/>
        <v>1163.4231</v>
      </c>
      <c r="G351" s="58">
        <f t="shared" si="1008"/>
        <v>0</v>
      </c>
      <c r="H351" s="58">
        <f t="shared" si="1009"/>
        <v>0</v>
      </c>
      <c r="I351" s="58">
        <f t="shared" si="1010"/>
        <v>0</v>
      </c>
      <c r="J351" s="51">
        <f t="shared" si="1011"/>
        <v>0</v>
      </c>
      <c r="K351" s="99">
        <f t="shared" si="1012"/>
        <v>286.26</v>
      </c>
      <c r="L351" s="105">
        <f t="shared" si="914"/>
        <v>1352</v>
      </c>
      <c r="M351" s="58">
        <f t="shared" si="915"/>
        <v>7497</v>
      </c>
      <c r="N351" s="58"/>
      <c r="O351" s="58">
        <f t="shared" si="934"/>
        <v>1078</v>
      </c>
      <c r="P351" s="58">
        <f t="shared" si="916"/>
        <v>0</v>
      </c>
      <c r="Q351" s="58">
        <f t="shared" si="917"/>
        <v>0</v>
      </c>
      <c r="R351" s="58">
        <f t="shared" si="918"/>
        <v>0</v>
      </c>
      <c r="S351" s="58">
        <f t="shared" si="919"/>
        <v>0</v>
      </c>
      <c r="T351" s="58">
        <f t="shared" ref="T351:T415" si="1014">ROUNDUP(((K351+K350)*0.5)*(B351-B350)/9,0)</f>
        <v>1408</v>
      </c>
      <c r="V351" s="137"/>
      <c r="W351" s="58"/>
      <c r="X351" s="58"/>
      <c r="Y351" s="58"/>
      <c r="Z351" s="58"/>
      <c r="AA351" s="58"/>
      <c r="AB351" s="58"/>
      <c r="AC351" s="58"/>
      <c r="AD351" s="138"/>
      <c r="AF351" s="57">
        <f t="shared" si="999"/>
        <v>28550</v>
      </c>
      <c r="AG351" s="49">
        <v>275.4821</v>
      </c>
      <c r="AH351" s="115">
        <v>44.270899999999997</v>
      </c>
      <c r="AI351" s="115">
        <v>142.0181</v>
      </c>
      <c r="AJ351" s="115">
        <v>133.0454</v>
      </c>
      <c r="AK351" s="115">
        <v>128.7457</v>
      </c>
      <c r="AL351" s="115">
        <v>124.7313</v>
      </c>
      <c r="AM351" s="115">
        <v>126.21559999999999</v>
      </c>
      <c r="AN351" s="115">
        <v>107.87520000000001</v>
      </c>
      <c r="AO351" s="49"/>
      <c r="AP351" s="49"/>
      <c r="AQ351" s="49"/>
      <c r="AR351" s="49"/>
      <c r="AS351" s="49"/>
      <c r="AT351" s="49"/>
      <c r="AU351" s="49"/>
      <c r="AV351" s="49"/>
      <c r="AW351" s="49"/>
      <c r="AX351" s="49">
        <v>3802.1428999999998</v>
      </c>
      <c r="AY351" s="49"/>
      <c r="AZ351" s="49"/>
      <c r="BA351" s="49"/>
      <c r="BB351" s="49"/>
      <c r="BC351" s="49"/>
      <c r="BD351" s="49"/>
      <c r="BE351" s="49"/>
      <c r="BF351" s="49"/>
      <c r="BG351" s="49"/>
      <c r="BH351" s="49"/>
      <c r="BI351" s="49"/>
      <c r="BJ351" s="49"/>
      <c r="BK351" s="49">
        <v>1163.4231</v>
      </c>
      <c r="BL351" s="49"/>
      <c r="BM351" s="49"/>
      <c r="BN351" s="49"/>
      <c r="BO351" s="49"/>
      <c r="BP351" s="49"/>
      <c r="BQ351" s="49"/>
      <c r="BR351" s="49"/>
      <c r="BS351" s="49"/>
      <c r="BT351" s="49"/>
      <c r="BU351" s="49"/>
      <c r="BV351" s="49"/>
      <c r="BW351" s="49"/>
      <c r="BX351" s="49"/>
      <c r="BY351" s="49"/>
      <c r="BZ351" s="49"/>
      <c r="CA351" s="49"/>
      <c r="CB351" s="49">
        <v>286.26</v>
      </c>
      <c r="CC351" s="231">
        <f t="shared" si="1013"/>
        <v>28550</v>
      </c>
    </row>
    <row r="352" spans="2:81" s="3" customFormat="1" ht="15.75" thickBot="1" x14ac:dyDescent="0.3">
      <c r="B352" s="158">
        <v>28600</v>
      </c>
      <c r="C352" s="144">
        <f t="shared" si="989"/>
        <v>1282.5688999999998</v>
      </c>
      <c r="D352" s="144">
        <f t="shared" si="990"/>
        <v>2907.8859000000002</v>
      </c>
      <c r="E352" s="144">
        <f t="shared" si="1007"/>
        <v>0</v>
      </c>
      <c r="F352" s="144">
        <f t="shared" si="991"/>
        <v>0</v>
      </c>
      <c r="G352" s="144">
        <f t="shared" si="1008"/>
        <v>0</v>
      </c>
      <c r="H352" s="144">
        <f t="shared" si="1009"/>
        <v>0</v>
      </c>
      <c r="I352" s="144">
        <f t="shared" si="1010"/>
        <v>0</v>
      </c>
      <c r="J352" s="159">
        <f t="shared" si="1011"/>
        <v>0</v>
      </c>
      <c r="K352" s="160">
        <f t="shared" si="1012"/>
        <v>204.63</v>
      </c>
      <c r="L352" s="152">
        <f t="shared" si="914"/>
        <v>2190</v>
      </c>
      <c r="M352" s="144">
        <f t="shared" si="915"/>
        <v>6213</v>
      </c>
      <c r="N352" s="144"/>
      <c r="O352" s="144">
        <f t="shared" si="934"/>
        <v>1078</v>
      </c>
      <c r="P352" s="144">
        <f t="shared" si="916"/>
        <v>0</v>
      </c>
      <c r="Q352" s="144">
        <f t="shared" si="917"/>
        <v>0</v>
      </c>
      <c r="R352" s="144">
        <f t="shared" si="918"/>
        <v>0</v>
      </c>
      <c r="S352" s="144">
        <f t="shared" si="919"/>
        <v>0</v>
      </c>
      <c r="T352" s="144">
        <f t="shared" si="1014"/>
        <v>1364</v>
      </c>
      <c r="V352" s="150">
        <f>L350+L351+L352</f>
        <v>4461</v>
      </c>
      <c r="W352" s="150">
        <f t="shared" ref="W352" si="1015">M350+M351+M352</f>
        <v>21536</v>
      </c>
      <c r="X352" s="150"/>
      <c r="Y352" s="150">
        <f t="shared" ref="Y352" si="1016">O350+O351+O352</f>
        <v>2156</v>
      </c>
      <c r="Z352" s="150">
        <f t="shared" ref="Z352" si="1017">P350+P351+P352</f>
        <v>0</v>
      </c>
      <c r="AA352" s="150">
        <f t="shared" ref="AA352" si="1018">Q350+Q351+Q352</f>
        <v>0</v>
      </c>
      <c r="AB352" s="150">
        <f t="shared" ref="AB352" si="1019">R350+R351+R352</f>
        <v>0</v>
      </c>
      <c r="AC352" s="150">
        <f t="shared" ref="AC352" si="1020">S350+S351+S352</f>
        <v>0</v>
      </c>
      <c r="AD352" s="150">
        <f t="shared" ref="AD352" si="1021">T350+T351+T352</f>
        <v>4127</v>
      </c>
      <c r="AF352" s="158">
        <f t="shared" si="999"/>
        <v>28600</v>
      </c>
      <c r="AG352" s="149">
        <v>588.66099999999994</v>
      </c>
      <c r="AH352" s="186">
        <v>101.8648</v>
      </c>
      <c r="AI352" s="186">
        <v>83.1935</v>
      </c>
      <c r="AJ352" s="186">
        <v>196.9239</v>
      </c>
      <c r="AK352" s="186">
        <v>311.92570000000001</v>
      </c>
      <c r="AL352" s="149"/>
      <c r="AM352" s="149"/>
      <c r="AN352" s="149"/>
      <c r="AO352" s="149"/>
      <c r="AP352" s="149"/>
      <c r="AQ352" s="149"/>
      <c r="AR352" s="149"/>
      <c r="AS352" s="149"/>
      <c r="AT352" s="149"/>
      <c r="AU352" s="149"/>
      <c r="AV352" s="149"/>
      <c r="AW352" s="149"/>
      <c r="AX352" s="186">
        <v>101.8648</v>
      </c>
      <c r="AY352" s="186">
        <v>83.1935</v>
      </c>
      <c r="AZ352" s="186">
        <v>196.9239</v>
      </c>
      <c r="BA352" s="186">
        <v>311.92570000000001</v>
      </c>
      <c r="BB352" s="149">
        <v>2213.9780000000001</v>
      </c>
      <c r="BC352" s="149"/>
      <c r="BD352" s="149"/>
      <c r="BE352" s="149"/>
      <c r="BF352" s="149"/>
      <c r="BG352" s="149"/>
      <c r="BH352" s="149"/>
      <c r="BI352" s="149"/>
      <c r="BJ352" s="149"/>
      <c r="BK352" s="149"/>
      <c r="BL352" s="149"/>
      <c r="BM352" s="149"/>
      <c r="BN352" s="149"/>
      <c r="BO352" s="149"/>
      <c r="BP352" s="149"/>
      <c r="BQ352" s="149"/>
      <c r="BR352" s="149"/>
      <c r="BS352" s="149"/>
      <c r="BT352" s="149"/>
      <c r="BU352" s="149"/>
      <c r="BV352" s="149"/>
      <c r="BW352" s="149"/>
      <c r="BX352" s="149"/>
      <c r="BY352" s="149"/>
      <c r="BZ352" s="149"/>
      <c r="CA352" s="149"/>
      <c r="CB352" s="149">
        <v>204.63</v>
      </c>
      <c r="CC352" s="231">
        <f t="shared" si="1013"/>
        <v>28600</v>
      </c>
    </row>
    <row r="353" spans="2:81" x14ac:dyDescent="0.25">
      <c r="B353" s="155">
        <v>28650</v>
      </c>
      <c r="C353" s="147">
        <f t="shared" si="989"/>
        <v>1464.7138</v>
      </c>
      <c r="D353" s="147">
        <f t="shared" si="990"/>
        <v>1927.6209999999999</v>
      </c>
      <c r="E353" s="147">
        <f t="shared" si="1007"/>
        <v>0</v>
      </c>
      <c r="F353" s="147">
        <f t="shared" si="991"/>
        <v>0</v>
      </c>
      <c r="G353" s="147">
        <f t="shared" si="1008"/>
        <v>0</v>
      </c>
      <c r="H353" s="147">
        <f t="shared" si="1009"/>
        <v>0</v>
      </c>
      <c r="I353" s="147">
        <f t="shared" si="1010"/>
        <v>0</v>
      </c>
      <c r="J353" s="156">
        <f t="shared" si="1011"/>
        <v>0</v>
      </c>
      <c r="K353" s="157">
        <f t="shared" si="1012"/>
        <v>174.48</v>
      </c>
      <c r="L353" s="151">
        <f t="shared" si="914"/>
        <v>2544</v>
      </c>
      <c r="M353" s="147">
        <f t="shared" si="915"/>
        <v>4478</v>
      </c>
      <c r="N353" s="147"/>
      <c r="O353" s="147">
        <f t="shared" si="934"/>
        <v>0</v>
      </c>
      <c r="P353" s="147">
        <f t="shared" si="916"/>
        <v>0</v>
      </c>
      <c r="Q353" s="147">
        <f t="shared" si="917"/>
        <v>0</v>
      </c>
      <c r="R353" s="147">
        <f t="shared" si="918"/>
        <v>0</v>
      </c>
      <c r="S353" s="147">
        <f t="shared" si="919"/>
        <v>0</v>
      </c>
      <c r="T353" s="147">
        <f t="shared" si="1014"/>
        <v>1054</v>
      </c>
      <c r="V353" s="146"/>
      <c r="W353" s="147"/>
      <c r="X353" s="147"/>
      <c r="Y353" s="147"/>
      <c r="Z353" s="147"/>
      <c r="AA353" s="147"/>
      <c r="AB353" s="147"/>
      <c r="AC353" s="147"/>
      <c r="AD353" s="148"/>
      <c r="AF353" s="155">
        <f t="shared" si="999"/>
        <v>28650</v>
      </c>
      <c r="AG353" s="78">
        <v>880.56140000000005</v>
      </c>
      <c r="AH353" s="185">
        <v>147.8741</v>
      </c>
      <c r="AI353" s="185">
        <v>88.327399999999997</v>
      </c>
      <c r="AJ353" s="185">
        <v>347.95089999999999</v>
      </c>
      <c r="AK353" s="78"/>
      <c r="AL353" s="78"/>
      <c r="AM353" s="78"/>
      <c r="AN353" s="78"/>
      <c r="AO353" s="78"/>
      <c r="AP353" s="78"/>
      <c r="AQ353" s="78"/>
      <c r="AR353" s="78"/>
      <c r="AS353" s="78"/>
      <c r="AT353" s="78"/>
      <c r="AU353" s="78"/>
      <c r="AV353" s="78"/>
      <c r="AW353" s="78"/>
      <c r="AX353" s="185">
        <v>147.8741</v>
      </c>
      <c r="AY353" s="185">
        <v>88.327399999999997</v>
      </c>
      <c r="AZ353" s="185">
        <v>347.95089999999999</v>
      </c>
      <c r="BA353" s="78">
        <v>1343.4685999999999</v>
      </c>
      <c r="BB353" s="78"/>
      <c r="BC353" s="78"/>
      <c r="BD353" s="78"/>
      <c r="BE353" s="78"/>
      <c r="BF353" s="78"/>
      <c r="BG353" s="78"/>
      <c r="BH353" s="78"/>
      <c r="BI353" s="78"/>
      <c r="BJ353" s="78"/>
      <c r="BK353" s="78"/>
      <c r="BL353" s="78"/>
      <c r="BM353" s="78"/>
      <c r="BN353" s="78"/>
      <c r="BO353" s="78"/>
      <c r="BP353" s="78"/>
      <c r="BQ353" s="78"/>
      <c r="BR353" s="78"/>
      <c r="BS353" s="78"/>
      <c r="BT353" s="78"/>
      <c r="BU353" s="78"/>
      <c r="BV353" s="78"/>
      <c r="BW353" s="78"/>
      <c r="BX353" s="78"/>
      <c r="BY353" s="78"/>
      <c r="BZ353" s="78"/>
      <c r="CA353" s="78"/>
      <c r="CB353" s="78">
        <v>174.48</v>
      </c>
      <c r="CC353" s="231">
        <f t="shared" si="1013"/>
        <v>28650</v>
      </c>
    </row>
    <row r="354" spans="2:81" x14ac:dyDescent="0.25">
      <c r="B354" s="57">
        <v>28700</v>
      </c>
      <c r="C354" s="58">
        <f t="shared" si="989"/>
        <v>2005.8601999999998</v>
      </c>
      <c r="D354" s="58">
        <f t="shared" si="990"/>
        <v>1661.9935</v>
      </c>
      <c r="E354" s="58">
        <f t="shared" si="1007"/>
        <v>0</v>
      </c>
      <c r="F354" s="58">
        <f t="shared" si="991"/>
        <v>442.11770000000001</v>
      </c>
      <c r="G354" s="58">
        <f t="shared" si="1008"/>
        <v>0</v>
      </c>
      <c r="H354" s="58">
        <f t="shared" si="1009"/>
        <v>0</v>
      </c>
      <c r="I354" s="58">
        <f t="shared" si="1010"/>
        <v>0</v>
      </c>
      <c r="J354" s="51">
        <f t="shared" si="1011"/>
        <v>0</v>
      </c>
      <c r="K354" s="99">
        <f t="shared" si="1012"/>
        <v>254.75</v>
      </c>
      <c r="L354" s="105">
        <f t="shared" si="914"/>
        <v>3214</v>
      </c>
      <c r="M354" s="58">
        <f t="shared" si="915"/>
        <v>3324</v>
      </c>
      <c r="N354" s="58"/>
      <c r="O354" s="58">
        <f t="shared" si="934"/>
        <v>410</v>
      </c>
      <c r="P354" s="58">
        <f t="shared" si="916"/>
        <v>0</v>
      </c>
      <c r="Q354" s="58">
        <f t="shared" si="917"/>
        <v>0</v>
      </c>
      <c r="R354" s="58">
        <f t="shared" si="918"/>
        <v>0</v>
      </c>
      <c r="S354" s="58">
        <f t="shared" si="919"/>
        <v>0</v>
      </c>
      <c r="T354" s="58">
        <f t="shared" si="1014"/>
        <v>1193</v>
      </c>
      <c r="V354" s="137"/>
      <c r="W354" s="58"/>
      <c r="X354" s="58"/>
      <c r="Y354" s="58"/>
      <c r="Z354" s="58"/>
      <c r="AA354" s="58"/>
      <c r="AB354" s="58"/>
      <c r="AC354" s="58"/>
      <c r="AD354" s="138"/>
      <c r="AF354" s="57">
        <f t="shared" si="999"/>
        <v>28700</v>
      </c>
      <c r="AG354" s="49">
        <v>1291.6447000000001</v>
      </c>
      <c r="AH354" s="115">
        <v>109.9329</v>
      </c>
      <c r="AI354" s="115">
        <v>57.564599999999999</v>
      </c>
      <c r="AJ354" s="115">
        <v>118.1934</v>
      </c>
      <c r="AK354" s="115">
        <v>109.4881</v>
      </c>
      <c r="AL354" s="115">
        <v>319.03649999999999</v>
      </c>
      <c r="AM354" s="49"/>
      <c r="AN354" s="49"/>
      <c r="AO354" s="49"/>
      <c r="AP354" s="49"/>
      <c r="AQ354" s="49"/>
      <c r="AR354" s="49"/>
      <c r="AS354" s="49"/>
      <c r="AT354" s="49"/>
      <c r="AU354" s="49"/>
      <c r="AV354" s="49"/>
      <c r="AW354" s="49"/>
      <c r="AX354" s="49">
        <v>1653.1366</v>
      </c>
      <c r="AY354" s="49">
        <v>8.8568999999999996</v>
      </c>
      <c r="AZ354" s="49"/>
      <c r="BA354" s="49"/>
      <c r="BB354" s="49"/>
      <c r="BC354" s="49"/>
      <c r="BD354" s="49"/>
      <c r="BE354" s="49"/>
      <c r="BF354" s="49"/>
      <c r="BG354" s="49"/>
      <c r="BH354" s="49"/>
      <c r="BI354" s="49"/>
      <c r="BJ354" s="49"/>
      <c r="BK354" s="49">
        <v>442.11770000000001</v>
      </c>
      <c r="BL354" s="49"/>
      <c r="BM354" s="49"/>
      <c r="BN354" s="49"/>
      <c r="BO354" s="49"/>
      <c r="BP354" s="49"/>
      <c r="BQ354" s="49"/>
      <c r="BR354" s="49"/>
      <c r="BS354" s="49"/>
      <c r="BT354" s="49"/>
      <c r="BU354" s="49"/>
      <c r="BV354" s="49"/>
      <c r="BW354" s="49"/>
      <c r="BX354" s="49"/>
      <c r="BY354" s="49"/>
      <c r="BZ354" s="49"/>
      <c r="CA354" s="49"/>
      <c r="CB354" s="49">
        <v>254.75</v>
      </c>
      <c r="CC354" s="231">
        <f t="shared" si="1013"/>
        <v>28700</v>
      </c>
    </row>
    <row r="355" spans="2:81" s="3" customFormat="1" ht="15.75" thickBot="1" x14ac:dyDescent="0.3">
      <c r="B355" s="158">
        <v>28750</v>
      </c>
      <c r="C355" s="144">
        <f t="shared" si="989"/>
        <v>2114.2889</v>
      </c>
      <c r="D355" s="144">
        <f t="shared" si="990"/>
        <v>411.89969999999994</v>
      </c>
      <c r="E355" s="144">
        <f t="shared" si="1007"/>
        <v>0</v>
      </c>
      <c r="F355" s="144">
        <f t="shared" si="991"/>
        <v>0</v>
      </c>
      <c r="G355" s="144">
        <f t="shared" si="1008"/>
        <v>0</v>
      </c>
      <c r="H355" s="144">
        <f t="shared" si="1009"/>
        <v>0</v>
      </c>
      <c r="I355" s="144">
        <f t="shared" si="1010"/>
        <v>0</v>
      </c>
      <c r="J355" s="159">
        <f t="shared" si="1011"/>
        <v>0</v>
      </c>
      <c r="K355" s="160">
        <f t="shared" si="1012"/>
        <v>145.74</v>
      </c>
      <c r="L355" s="152">
        <f t="shared" si="914"/>
        <v>3815</v>
      </c>
      <c r="M355" s="144">
        <f t="shared" si="915"/>
        <v>1921</v>
      </c>
      <c r="N355" s="144"/>
      <c r="O355" s="144">
        <f t="shared" si="934"/>
        <v>410</v>
      </c>
      <c r="P355" s="144">
        <f t="shared" si="916"/>
        <v>0</v>
      </c>
      <c r="Q355" s="144">
        <f t="shared" si="917"/>
        <v>0</v>
      </c>
      <c r="R355" s="144">
        <f t="shared" si="918"/>
        <v>0</v>
      </c>
      <c r="S355" s="144">
        <f t="shared" si="919"/>
        <v>0</v>
      </c>
      <c r="T355" s="144">
        <f t="shared" si="1014"/>
        <v>1113</v>
      </c>
      <c r="V355" s="150">
        <f>L353+L354+L355</f>
        <v>9573</v>
      </c>
      <c r="W355" s="150">
        <f t="shared" ref="W355" si="1022">M353+M354+M355</f>
        <v>9723</v>
      </c>
      <c r="X355" s="150"/>
      <c r="Y355" s="150">
        <f t="shared" ref="Y355" si="1023">O353+O354+O355</f>
        <v>820</v>
      </c>
      <c r="Z355" s="150">
        <f t="shared" ref="Z355" si="1024">P353+P354+P355</f>
        <v>0</v>
      </c>
      <c r="AA355" s="150">
        <f t="shared" ref="AA355" si="1025">Q353+Q354+Q355</f>
        <v>0</v>
      </c>
      <c r="AB355" s="150">
        <f t="shared" ref="AB355" si="1026">R353+R354+R355</f>
        <v>0</v>
      </c>
      <c r="AC355" s="150">
        <f t="shared" ref="AC355" si="1027">S353+S354+S355</f>
        <v>0</v>
      </c>
      <c r="AD355" s="150">
        <f t="shared" ref="AD355" si="1028">T353+T354+T355</f>
        <v>3360</v>
      </c>
      <c r="AF355" s="158">
        <f t="shared" si="999"/>
        <v>28750</v>
      </c>
      <c r="AG355" s="149">
        <v>2034.6683</v>
      </c>
      <c r="AH355" s="186">
        <v>79.620599999999996</v>
      </c>
      <c r="AI355" s="149"/>
      <c r="AJ355" s="149"/>
      <c r="AK355" s="149"/>
      <c r="AL355" s="149"/>
      <c r="AM355" s="149"/>
      <c r="AN355" s="149"/>
      <c r="AO355" s="149"/>
      <c r="AP355" s="149"/>
      <c r="AQ355" s="149"/>
      <c r="AR355" s="149"/>
      <c r="AS355" s="149"/>
      <c r="AT355" s="149"/>
      <c r="AU355" s="149"/>
      <c r="AV355" s="149"/>
      <c r="AW355" s="149"/>
      <c r="AX355" s="186">
        <v>79.620599999999996</v>
      </c>
      <c r="AY355" s="149">
        <v>315.65539999999999</v>
      </c>
      <c r="AZ355" s="149">
        <v>16.623699999999999</v>
      </c>
      <c r="BA355" s="149"/>
      <c r="BB355" s="149"/>
      <c r="BC355" s="149"/>
      <c r="BD355" s="149"/>
      <c r="BE355" s="149"/>
      <c r="BF355" s="149"/>
      <c r="BG355" s="149"/>
      <c r="BH355" s="149"/>
      <c r="BI355" s="149"/>
      <c r="BJ355" s="149"/>
      <c r="BK355" s="149"/>
      <c r="BL355" s="149"/>
      <c r="BM355" s="149"/>
      <c r="BN355" s="149"/>
      <c r="BO355" s="149"/>
      <c r="BP355" s="149"/>
      <c r="BQ355" s="149"/>
      <c r="BR355" s="149"/>
      <c r="BS355" s="149"/>
      <c r="BT355" s="149"/>
      <c r="BU355" s="149"/>
      <c r="BV355" s="149"/>
      <c r="BW355" s="149"/>
      <c r="BX355" s="149"/>
      <c r="BY355" s="149"/>
      <c r="BZ355" s="149"/>
      <c r="CA355" s="149"/>
      <c r="CB355" s="149">
        <v>145.74</v>
      </c>
      <c r="CC355" s="231">
        <f t="shared" si="1013"/>
        <v>28750</v>
      </c>
    </row>
    <row r="356" spans="2:81" x14ac:dyDescent="0.25">
      <c r="B356" s="155">
        <v>28800</v>
      </c>
      <c r="C356" s="147">
        <f t="shared" si="989"/>
        <v>2769.9920999999999</v>
      </c>
      <c r="D356" s="147">
        <f t="shared" si="990"/>
        <v>324.37289999999996</v>
      </c>
      <c r="E356" s="147">
        <f t="shared" si="1007"/>
        <v>0</v>
      </c>
      <c r="F356" s="147">
        <f t="shared" si="991"/>
        <v>0</v>
      </c>
      <c r="G356" s="147">
        <f t="shared" si="1008"/>
        <v>0</v>
      </c>
      <c r="H356" s="147">
        <f t="shared" si="1009"/>
        <v>0</v>
      </c>
      <c r="I356" s="147">
        <f t="shared" si="1010"/>
        <v>0</v>
      </c>
      <c r="J356" s="156">
        <f t="shared" si="1011"/>
        <v>0</v>
      </c>
      <c r="K356" s="157">
        <f t="shared" si="1012"/>
        <v>351.05</v>
      </c>
      <c r="L356" s="151">
        <f t="shared" si="914"/>
        <v>4523</v>
      </c>
      <c r="M356" s="147">
        <f t="shared" si="915"/>
        <v>682</v>
      </c>
      <c r="N356" s="147"/>
      <c r="O356" s="147">
        <f t="shared" si="934"/>
        <v>0</v>
      </c>
      <c r="P356" s="147">
        <f t="shared" si="916"/>
        <v>0</v>
      </c>
      <c r="Q356" s="147">
        <f t="shared" si="917"/>
        <v>0</v>
      </c>
      <c r="R356" s="147">
        <f t="shared" si="918"/>
        <v>0</v>
      </c>
      <c r="S356" s="147">
        <f t="shared" si="919"/>
        <v>0</v>
      </c>
      <c r="T356" s="147">
        <f t="shared" si="1014"/>
        <v>1380</v>
      </c>
      <c r="V356" s="146"/>
      <c r="W356" s="147"/>
      <c r="X356" s="147"/>
      <c r="Y356" s="147"/>
      <c r="Z356" s="147"/>
      <c r="AA356" s="147"/>
      <c r="AB356" s="147"/>
      <c r="AC356" s="147"/>
      <c r="AD356" s="148"/>
      <c r="AF356" s="155">
        <f t="shared" si="999"/>
        <v>28800</v>
      </c>
      <c r="AG356" s="78">
        <v>2720.6752000000001</v>
      </c>
      <c r="AH356" s="78">
        <v>49.316899999999997</v>
      </c>
      <c r="AI356" s="78"/>
      <c r="AJ356" s="78"/>
      <c r="AK356" s="78"/>
      <c r="AL356" s="78"/>
      <c r="AM356" s="78"/>
      <c r="AN356" s="78"/>
      <c r="AO356" s="78"/>
      <c r="AP356" s="78"/>
      <c r="AQ356" s="78"/>
      <c r="AR356" s="78"/>
      <c r="AS356" s="78"/>
      <c r="AT356" s="78"/>
      <c r="AU356" s="78"/>
      <c r="AV356" s="78"/>
      <c r="AW356" s="78"/>
      <c r="AX356" s="78">
        <v>301.31009999999998</v>
      </c>
      <c r="AY356" s="78">
        <v>23.062799999999999</v>
      </c>
      <c r="AZ356" s="78"/>
      <c r="BA356" s="78"/>
      <c r="BB356" s="78"/>
      <c r="BC356" s="78"/>
      <c r="BD356" s="78"/>
      <c r="BE356" s="78"/>
      <c r="BF356" s="78"/>
      <c r="BG356" s="78"/>
      <c r="BH356" s="78"/>
      <c r="BI356" s="78"/>
      <c r="BJ356" s="78"/>
      <c r="BK356" s="78"/>
      <c r="BL356" s="78"/>
      <c r="BM356" s="78"/>
      <c r="BN356" s="78"/>
      <c r="BO356" s="78"/>
      <c r="BP356" s="78"/>
      <c r="BQ356" s="78"/>
      <c r="BR356" s="78"/>
      <c r="BS356" s="78"/>
      <c r="BT356" s="78"/>
      <c r="BU356" s="78"/>
      <c r="BV356" s="78"/>
      <c r="BW356" s="78"/>
      <c r="BX356" s="78"/>
      <c r="BY356" s="78"/>
      <c r="BZ356" s="78"/>
      <c r="CA356" s="78"/>
      <c r="CB356" s="78">
        <v>351.05</v>
      </c>
      <c r="CC356" s="231">
        <f t="shared" si="1013"/>
        <v>28800</v>
      </c>
    </row>
    <row r="357" spans="2:81" s="3" customFormat="1" ht="15.75" thickBot="1" x14ac:dyDescent="0.3">
      <c r="B357" s="158">
        <v>28850</v>
      </c>
      <c r="C357" s="144">
        <f t="shared" si="989"/>
        <v>2296.8546999999999</v>
      </c>
      <c r="D357" s="144">
        <f t="shared" si="990"/>
        <v>2437.8308000000002</v>
      </c>
      <c r="E357" s="144">
        <f t="shared" si="1007"/>
        <v>0</v>
      </c>
      <c r="F357" s="144">
        <f t="shared" si="991"/>
        <v>1037.5734</v>
      </c>
      <c r="G357" s="144">
        <f t="shared" si="1008"/>
        <v>0</v>
      </c>
      <c r="H357" s="144">
        <f t="shared" si="1009"/>
        <v>0</v>
      </c>
      <c r="I357" s="144">
        <f t="shared" si="1010"/>
        <v>0</v>
      </c>
      <c r="J357" s="159">
        <f t="shared" si="1011"/>
        <v>0</v>
      </c>
      <c r="K357" s="160">
        <f t="shared" si="1012"/>
        <v>288.26</v>
      </c>
      <c r="L357" s="152">
        <f t="shared" si="914"/>
        <v>4692</v>
      </c>
      <c r="M357" s="144">
        <f t="shared" si="915"/>
        <v>2558</v>
      </c>
      <c r="N357" s="144"/>
      <c r="O357" s="144">
        <f t="shared" si="934"/>
        <v>961</v>
      </c>
      <c r="P357" s="144">
        <f t="shared" si="916"/>
        <v>0</v>
      </c>
      <c r="Q357" s="144">
        <f t="shared" si="917"/>
        <v>0</v>
      </c>
      <c r="R357" s="144">
        <f t="shared" si="918"/>
        <v>0</v>
      </c>
      <c r="S357" s="144">
        <f t="shared" si="919"/>
        <v>0</v>
      </c>
      <c r="T357" s="144">
        <f t="shared" si="1014"/>
        <v>1776</v>
      </c>
      <c r="V357" s="150">
        <f>L356+L357</f>
        <v>9215</v>
      </c>
      <c r="W357" s="150">
        <f t="shared" ref="W357" si="1029">M356+M357</f>
        <v>3240</v>
      </c>
      <c r="X357" s="150"/>
      <c r="Y357" s="150">
        <f t="shared" ref="Y357" si="1030">O356+O357</f>
        <v>961</v>
      </c>
      <c r="Z357" s="150">
        <f t="shared" ref="Z357" si="1031">P356+P357</f>
        <v>0</v>
      </c>
      <c r="AA357" s="150">
        <f t="shared" ref="AA357" si="1032">Q356+Q357</f>
        <v>0</v>
      </c>
      <c r="AB357" s="150">
        <f t="shared" ref="AB357" si="1033">R356+R357</f>
        <v>0</v>
      </c>
      <c r="AC357" s="150">
        <f t="shared" ref="AC357" si="1034">S356+S357</f>
        <v>0</v>
      </c>
      <c r="AD357" s="150">
        <f t="shared" ref="AD357" si="1035">T356+T357</f>
        <v>3156</v>
      </c>
      <c r="AF357" s="158">
        <f t="shared" si="999"/>
        <v>28850</v>
      </c>
      <c r="AG357" s="149">
        <v>1429.2971</v>
      </c>
      <c r="AH357" s="186">
        <v>188.06780000000001</v>
      </c>
      <c r="AI357" s="186">
        <v>86.886600000000001</v>
      </c>
      <c r="AJ357" s="186">
        <v>81.98</v>
      </c>
      <c r="AK357" s="186">
        <v>510.6232</v>
      </c>
      <c r="AL357" s="149"/>
      <c r="AM357" s="149"/>
      <c r="AN357" s="149"/>
      <c r="AO357" s="149"/>
      <c r="AP357" s="149"/>
      <c r="AQ357" s="149"/>
      <c r="AR357" s="149"/>
      <c r="AS357" s="149"/>
      <c r="AT357" s="149"/>
      <c r="AU357" s="149"/>
      <c r="AV357" s="149"/>
      <c r="AW357" s="149"/>
      <c r="AX357" s="149">
        <v>2420.8975</v>
      </c>
      <c r="AY357" s="149">
        <v>16.933299999999999</v>
      </c>
      <c r="AZ357" s="149"/>
      <c r="BA357" s="149"/>
      <c r="BB357" s="149"/>
      <c r="BC357" s="149"/>
      <c r="BD357" s="149"/>
      <c r="BE357" s="149"/>
      <c r="BF357" s="149"/>
      <c r="BG357" s="149"/>
      <c r="BH357" s="149"/>
      <c r="BI357" s="149"/>
      <c r="BJ357" s="149"/>
      <c r="BK357" s="149">
        <v>1037.5734</v>
      </c>
      <c r="BL357" s="149"/>
      <c r="BM357" s="149"/>
      <c r="BN357" s="149"/>
      <c r="BO357" s="149"/>
      <c r="BP357" s="149"/>
      <c r="BQ357" s="149"/>
      <c r="BR357" s="149"/>
      <c r="BS357" s="149"/>
      <c r="BT357" s="149"/>
      <c r="BU357" s="149"/>
      <c r="BV357" s="149"/>
      <c r="BW357" s="149"/>
      <c r="BX357" s="149"/>
      <c r="BY357" s="149"/>
      <c r="BZ357" s="149"/>
      <c r="CA357" s="149"/>
      <c r="CB357" s="149">
        <v>288.26</v>
      </c>
      <c r="CC357" s="231">
        <f t="shared" si="1013"/>
        <v>28850</v>
      </c>
    </row>
    <row r="358" spans="2:81" x14ac:dyDescent="0.25">
      <c r="B358" s="155">
        <v>28900</v>
      </c>
      <c r="C358" s="147">
        <f t="shared" si="989"/>
        <v>677.65809999999999</v>
      </c>
      <c r="D358" s="147">
        <f t="shared" si="990"/>
        <v>4038.3905</v>
      </c>
      <c r="E358" s="147">
        <f t="shared" si="1007"/>
        <v>0</v>
      </c>
      <c r="F358" s="147">
        <f t="shared" si="991"/>
        <v>1207.5788</v>
      </c>
      <c r="G358" s="147">
        <f t="shared" si="1008"/>
        <v>0</v>
      </c>
      <c r="H358" s="147">
        <f t="shared" si="1009"/>
        <v>0</v>
      </c>
      <c r="I358" s="147">
        <f t="shared" si="1010"/>
        <v>0</v>
      </c>
      <c r="J358" s="156">
        <f t="shared" si="1011"/>
        <v>0</v>
      </c>
      <c r="K358" s="157">
        <f t="shared" si="1012"/>
        <v>300.48</v>
      </c>
      <c r="L358" s="151">
        <f t="shared" si="914"/>
        <v>2755</v>
      </c>
      <c r="M358" s="147">
        <f t="shared" si="915"/>
        <v>5997</v>
      </c>
      <c r="N358" s="147"/>
      <c r="O358" s="147">
        <f t="shared" si="934"/>
        <v>2079</v>
      </c>
      <c r="P358" s="147">
        <f t="shared" si="916"/>
        <v>0</v>
      </c>
      <c r="Q358" s="147">
        <f t="shared" si="917"/>
        <v>0</v>
      </c>
      <c r="R358" s="147">
        <f t="shared" si="918"/>
        <v>0</v>
      </c>
      <c r="S358" s="147">
        <f t="shared" si="919"/>
        <v>0</v>
      </c>
      <c r="T358" s="147">
        <f t="shared" si="1014"/>
        <v>1636</v>
      </c>
      <c r="V358" s="146"/>
      <c r="W358" s="147"/>
      <c r="X358" s="147"/>
      <c r="Y358" s="147"/>
      <c r="Z358" s="147"/>
      <c r="AA358" s="147"/>
      <c r="AB358" s="147"/>
      <c r="AC358" s="147"/>
      <c r="AD358" s="148"/>
      <c r="AF358" s="155">
        <f t="shared" si="999"/>
        <v>28900</v>
      </c>
      <c r="AG358" s="78">
        <v>677.65809999999999</v>
      </c>
      <c r="AH358" s="78"/>
      <c r="AI358" s="78"/>
      <c r="AJ358" s="78"/>
      <c r="AK358" s="78"/>
      <c r="AL358" s="78"/>
      <c r="AM358" s="78"/>
      <c r="AN358" s="78"/>
      <c r="AO358" s="78"/>
      <c r="AP358" s="78"/>
      <c r="AQ358" s="78"/>
      <c r="AR358" s="78"/>
      <c r="AS358" s="78"/>
      <c r="AT358" s="78"/>
      <c r="AU358" s="78"/>
      <c r="AV358" s="78"/>
      <c r="AW358" s="78"/>
      <c r="AX358" s="78">
        <v>4015.8456000000001</v>
      </c>
      <c r="AY358" s="78">
        <v>22.544899999999998</v>
      </c>
      <c r="AZ358" s="78"/>
      <c r="BA358" s="78"/>
      <c r="BB358" s="78"/>
      <c r="BC358" s="78"/>
      <c r="BD358" s="78"/>
      <c r="BE358" s="78"/>
      <c r="BF358" s="78"/>
      <c r="BG358" s="78"/>
      <c r="BH358" s="78"/>
      <c r="BI358" s="78"/>
      <c r="BJ358" s="78"/>
      <c r="BK358" s="78">
        <v>1207.5788</v>
      </c>
      <c r="BL358" s="78"/>
      <c r="BM358" s="78"/>
      <c r="BN358" s="78"/>
      <c r="BO358" s="78"/>
      <c r="BP358" s="78"/>
      <c r="BQ358" s="78"/>
      <c r="BR358" s="78"/>
      <c r="BS358" s="78"/>
      <c r="BT358" s="78"/>
      <c r="BU358" s="78"/>
      <c r="BV358" s="78"/>
      <c r="BW358" s="78"/>
      <c r="BX358" s="78"/>
      <c r="BY358" s="78"/>
      <c r="BZ358" s="78"/>
      <c r="CA358" s="78"/>
      <c r="CB358" s="78">
        <v>300.48</v>
      </c>
      <c r="CC358" s="231">
        <f t="shared" si="1013"/>
        <v>28900</v>
      </c>
    </row>
    <row r="359" spans="2:81" x14ac:dyDescent="0.25">
      <c r="B359" s="57">
        <v>28950</v>
      </c>
      <c r="C359" s="58">
        <f t="shared" si="989"/>
        <v>0</v>
      </c>
      <c r="D359" s="58">
        <f t="shared" si="990"/>
        <v>5130.9000999999998</v>
      </c>
      <c r="E359" s="58">
        <f t="shared" si="1007"/>
        <v>0</v>
      </c>
      <c r="F359" s="58">
        <f t="shared" si="991"/>
        <v>2259.9054000000001</v>
      </c>
      <c r="G359" s="58">
        <f t="shared" si="1008"/>
        <v>0</v>
      </c>
      <c r="H359" s="58">
        <f t="shared" si="1009"/>
        <v>0</v>
      </c>
      <c r="I359" s="58">
        <f t="shared" si="1010"/>
        <v>0</v>
      </c>
      <c r="J359" s="51">
        <f t="shared" si="1011"/>
        <v>0</v>
      </c>
      <c r="K359" s="99">
        <f t="shared" si="1012"/>
        <v>305.29000000000002</v>
      </c>
      <c r="L359" s="105">
        <f t="shared" si="914"/>
        <v>628</v>
      </c>
      <c r="M359" s="58">
        <f t="shared" si="915"/>
        <v>8491</v>
      </c>
      <c r="N359" s="58"/>
      <c r="O359" s="58">
        <f t="shared" si="934"/>
        <v>3211</v>
      </c>
      <c r="P359" s="58">
        <f t="shared" si="916"/>
        <v>0</v>
      </c>
      <c r="Q359" s="58">
        <f t="shared" si="917"/>
        <v>0</v>
      </c>
      <c r="R359" s="58">
        <f t="shared" si="918"/>
        <v>0</v>
      </c>
      <c r="S359" s="58">
        <f t="shared" si="919"/>
        <v>0</v>
      </c>
      <c r="T359" s="58">
        <f t="shared" si="1014"/>
        <v>1683</v>
      </c>
      <c r="V359" s="137"/>
      <c r="W359" s="58"/>
      <c r="X359" s="58"/>
      <c r="Y359" s="58"/>
      <c r="Z359" s="58"/>
      <c r="AA359" s="58"/>
      <c r="AB359" s="58"/>
      <c r="AC359" s="58"/>
      <c r="AD359" s="138"/>
      <c r="AF359" s="57">
        <f t="shared" si="999"/>
        <v>28950</v>
      </c>
      <c r="AG359" s="49"/>
      <c r="AH359" s="49"/>
      <c r="AI359" s="49"/>
      <c r="AJ359" s="49"/>
      <c r="AK359" s="49"/>
      <c r="AL359" s="49"/>
      <c r="AM359" s="49"/>
      <c r="AN359" s="49"/>
      <c r="AO359" s="49"/>
      <c r="AP359" s="49"/>
      <c r="AQ359" s="49"/>
      <c r="AR359" s="49"/>
      <c r="AS359" s="49"/>
      <c r="AT359" s="49"/>
      <c r="AU359" s="49"/>
      <c r="AV359" s="49"/>
      <c r="AW359" s="49"/>
      <c r="AX359" s="49">
        <v>5111.2434999999996</v>
      </c>
      <c r="AY359" s="49">
        <v>19.656600000000001</v>
      </c>
      <c r="AZ359" s="49"/>
      <c r="BA359" s="49"/>
      <c r="BB359" s="49"/>
      <c r="BC359" s="49"/>
      <c r="BD359" s="49"/>
      <c r="BE359" s="49"/>
      <c r="BF359" s="49"/>
      <c r="BG359" s="49"/>
      <c r="BH359" s="49"/>
      <c r="BI359" s="49"/>
      <c r="BJ359" s="49"/>
      <c r="BK359" s="49">
        <v>2259.9054000000001</v>
      </c>
      <c r="BL359" s="49"/>
      <c r="BM359" s="49"/>
      <c r="BN359" s="49"/>
      <c r="BO359" s="49"/>
      <c r="BP359" s="49"/>
      <c r="BQ359" s="49"/>
      <c r="BR359" s="49"/>
      <c r="BS359" s="49"/>
      <c r="BT359" s="49"/>
      <c r="BU359" s="49"/>
      <c r="BV359" s="49"/>
      <c r="BW359" s="49"/>
      <c r="BX359" s="49"/>
      <c r="BY359" s="49"/>
      <c r="BZ359" s="49"/>
      <c r="CA359" s="49"/>
      <c r="CB359" s="49">
        <v>305.29000000000002</v>
      </c>
      <c r="CC359" s="231">
        <f t="shared" si="1013"/>
        <v>28950</v>
      </c>
    </row>
    <row r="360" spans="2:81" s="3" customFormat="1" ht="15.75" thickBot="1" x14ac:dyDescent="0.3">
      <c r="B360" s="158">
        <v>29000</v>
      </c>
      <c r="C360" s="144">
        <f t="shared" si="989"/>
        <v>0</v>
      </c>
      <c r="D360" s="144">
        <f t="shared" si="990"/>
        <v>5572.1832999999997</v>
      </c>
      <c r="E360" s="144">
        <f t="shared" si="1007"/>
        <v>0</v>
      </c>
      <c r="F360" s="144">
        <f t="shared" si="991"/>
        <v>3304.8323</v>
      </c>
      <c r="G360" s="144">
        <f t="shared" si="1008"/>
        <v>0</v>
      </c>
      <c r="H360" s="144">
        <f t="shared" si="1009"/>
        <v>0</v>
      </c>
      <c r="I360" s="144">
        <f t="shared" si="1010"/>
        <v>0</v>
      </c>
      <c r="J360" s="159">
        <f t="shared" si="1011"/>
        <v>0</v>
      </c>
      <c r="K360" s="160">
        <f t="shared" si="1012"/>
        <v>325.63</v>
      </c>
      <c r="L360" s="152">
        <f t="shared" si="914"/>
        <v>0</v>
      </c>
      <c r="M360" s="144">
        <f t="shared" si="915"/>
        <v>9911</v>
      </c>
      <c r="N360" s="144"/>
      <c r="O360" s="144">
        <f t="shared" si="934"/>
        <v>5153</v>
      </c>
      <c r="P360" s="144">
        <f t="shared" si="916"/>
        <v>0</v>
      </c>
      <c r="Q360" s="144">
        <f t="shared" si="917"/>
        <v>0</v>
      </c>
      <c r="R360" s="144">
        <f t="shared" si="918"/>
        <v>0</v>
      </c>
      <c r="S360" s="144">
        <f t="shared" si="919"/>
        <v>0</v>
      </c>
      <c r="T360" s="144">
        <f t="shared" si="1014"/>
        <v>1753</v>
      </c>
      <c r="V360" s="150">
        <f>L358+L359+L360</f>
        <v>3383</v>
      </c>
      <c r="W360" s="150">
        <f t="shared" ref="W360" si="1036">M358+M359+M360</f>
        <v>24399</v>
      </c>
      <c r="X360" s="150"/>
      <c r="Y360" s="150">
        <f t="shared" ref="Y360" si="1037">O358+O359+O360</f>
        <v>10443</v>
      </c>
      <c r="Z360" s="150">
        <f t="shared" ref="Z360" si="1038">P358+P359+P360</f>
        <v>0</v>
      </c>
      <c r="AA360" s="150">
        <f t="shared" ref="AA360" si="1039">Q358+Q359+Q360</f>
        <v>0</v>
      </c>
      <c r="AB360" s="150">
        <f t="shared" ref="AB360" si="1040">R358+R359+R360</f>
        <v>0</v>
      </c>
      <c r="AC360" s="150">
        <f t="shared" ref="AC360" si="1041">S358+S359+S360</f>
        <v>0</v>
      </c>
      <c r="AD360" s="150">
        <f t="shared" ref="AD360" si="1042">T358+T359+T360</f>
        <v>5072</v>
      </c>
      <c r="AF360" s="158">
        <f t="shared" si="999"/>
        <v>29000</v>
      </c>
      <c r="AG360" s="149"/>
      <c r="AH360" s="149"/>
      <c r="AI360" s="149"/>
      <c r="AJ360" s="149"/>
      <c r="AK360" s="149"/>
      <c r="AL360" s="149"/>
      <c r="AM360" s="149"/>
      <c r="AN360" s="149"/>
      <c r="AO360" s="149"/>
      <c r="AP360" s="149"/>
      <c r="AQ360" s="149"/>
      <c r="AR360" s="149"/>
      <c r="AS360" s="149"/>
      <c r="AT360" s="149"/>
      <c r="AU360" s="149"/>
      <c r="AV360" s="149"/>
      <c r="AW360" s="149"/>
      <c r="AX360" s="149">
        <v>5554.8962000000001</v>
      </c>
      <c r="AY360" s="149">
        <v>17.287099999999999</v>
      </c>
      <c r="AZ360" s="149"/>
      <c r="BA360" s="149"/>
      <c r="BB360" s="149"/>
      <c r="BC360" s="149"/>
      <c r="BD360" s="149"/>
      <c r="BE360" s="149"/>
      <c r="BF360" s="149"/>
      <c r="BG360" s="149"/>
      <c r="BH360" s="149"/>
      <c r="BI360" s="149"/>
      <c r="BJ360" s="149"/>
      <c r="BK360" s="149">
        <v>3304.8323</v>
      </c>
      <c r="BL360" s="149"/>
      <c r="BM360" s="149"/>
      <c r="BN360" s="149"/>
      <c r="BO360" s="149"/>
      <c r="BP360" s="149"/>
      <c r="BQ360" s="149"/>
      <c r="BR360" s="149"/>
      <c r="BS360" s="149"/>
      <c r="BT360" s="149"/>
      <c r="BU360" s="149"/>
      <c r="BV360" s="149"/>
      <c r="BW360" s="149"/>
      <c r="BX360" s="149"/>
      <c r="BY360" s="149"/>
      <c r="BZ360" s="149"/>
      <c r="CA360" s="149"/>
      <c r="CB360" s="149">
        <v>325.63</v>
      </c>
      <c r="CC360" s="231">
        <f t="shared" si="1013"/>
        <v>29000</v>
      </c>
    </row>
    <row r="361" spans="2:81" x14ac:dyDescent="0.25">
      <c r="B361" s="155">
        <v>29050</v>
      </c>
      <c r="C361" s="147">
        <f t="shared" si="989"/>
        <v>0</v>
      </c>
      <c r="D361" s="147">
        <f t="shared" si="990"/>
        <v>5700.0465999999997</v>
      </c>
      <c r="E361" s="147">
        <f t="shared" si="1007"/>
        <v>0</v>
      </c>
      <c r="F361" s="147">
        <f t="shared" si="991"/>
        <v>4970.9098000000004</v>
      </c>
      <c r="G361" s="147">
        <f t="shared" si="1008"/>
        <v>0</v>
      </c>
      <c r="H361" s="147">
        <f t="shared" si="1009"/>
        <v>0</v>
      </c>
      <c r="I361" s="147">
        <f t="shared" si="1010"/>
        <v>0</v>
      </c>
      <c r="J361" s="156">
        <f t="shared" si="1011"/>
        <v>0</v>
      </c>
      <c r="K361" s="157">
        <f t="shared" si="1012"/>
        <v>320.68</v>
      </c>
      <c r="L361" s="151">
        <f t="shared" si="914"/>
        <v>0</v>
      </c>
      <c r="M361" s="147">
        <f t="shared" si="915"/>
        <v>10438</v>
      </c>
      <c r="N361" s="147"/>
      <c r="O361" s="147">
        <f t="shared" si="934"/>
        <v>7663</v>
      </c>
      <c r="P361" s="147">
        <f t="shared" si="916"/>
        <v>0</v>
      </c>
      <c r="Q361" s="147">
        <f t="shared" si="917"/>
        <v>0</v>
      </c>
      <c r="R361" s="147">
        <f t="shared" si="918"/>
        <v>0</v>
      </c>
      <c r="S361" s="147">
        <f t="shared" si="919"/>
        <v>0</v>
      </c>
      <c r="T361" s="147">
        <f t="shared" si="1014"/>
        <v>1796</v>
      </c>
      <c r="V361" s="146"/>
      <c r="W361" s="147"/>
      <c r="X361" s="147"/>
      <c r="Y361" s="147"/>
      <c r="Z361" s="147"/>
      <c r="AA361" s="147"/>
      <c r="AB361" s="147"/>
      <c r="AC361" s="147"/>
      <c r="AD361" s="148"/>
      <c r="AF361" s="155">
        <f t="shared" si="999"/>
        <v>29050</v>
      </c>
      <c r="AG361" s="78"/>
      <c r="AH361" s="78"/>
      <c r="AI361" s="78"/>
      <c r="AJ361" s="78"/>
      <c r="AK361" s="78"/>
      <c r="AL361" s="78"/>
      <c r="AM361" s="78"/>
      <c r="AN361" s="78"/>
      <c r="AO361" s="78"/>
      <c r="AP361" s="78"/>
      <c r="AQ361" s="78"/>
      <c r="AR361" s="78"/>
      <c r="AS361" s="78"/>
      <c r="AT361" s="78"/>
      <c r="AU361" s="78"/>
      <c r="AV361" s="78"/>
      <c r="AW361" s="78"/>
      <c r="AX361" s="78">
        <v>5700.0465999999997</v>
      </c>
      <c r="AY361" s="78"/>
      <c r="AZ361" s="78"/>
      <c r="BA361" s="78"/>
      <c r="BB361" s="78"/>
      <c r="BC361" s="78"/>
      <c r="BD361" s="78"/>
      <c r="BE361" s="78"/>
      <c r="BF361" s="78"/>
      <c r="BG361" s="78"/>
      <c r="BH361" s="78"/>
      <c r="BI361" s="78"/>
      <c r="BJ361" s="78"/>
      <c r="BK361" s="78">
        <v>4970.9098000000004</v>
      </c>
      <c r="BL361" s="78"/>
      <c r="BM361" s="78"/>
      <c r="BN361" s="78"/>
      <c r="BO361" s="78"/>
      <c r="BP361" s="78"/>
      <c r="BQ361" s="78"/>
      <c r="BR361" s="78"/>
      <c r="BS361" s="78"/>
      <c r="BT361" s="78"/>
      <c r="BU361" s="78"/>
      <c r="BV361" s="78"/>
      <c r="BW361" s="78"/>
      <c r="BX361" s="78"/>
      <c r="BY361" s="78"/>
      <c r="BZ361" s="78"/>
      <c r="CA361" s="78"/>
      <c r="CB361" s="78">
        <v>320.68</v>
      </c>
      <c r="CC361" s="231">
        <f t="shared" si="1013"/>
        <v>29050</v>
      </c>
    </row>
    <row r="362" spans="2:81" s="3" customFormat="1" ht="15.75" thickBot="1" x14ac:dyDescent="0.3">
      <c r="B362" s="158">
        <v>29100</v>
      </c>
      <c r="C362" s="144">
        <f t="shared" si="989"/>
        <v>0</v>
      </c>
      <c r="D362" s="144">
        <f t="shared" si="990"/>
        <v>5394.1707999999999</v>
      </c>
      <c r="E362" s="144">
        <f t="shared" si="1007"/>
        <v>0</v>
      </c>
      <c r="F362" s="144">
        <f t="shared" si="991"/>
        <v>5864.0933000000005</v>
      </c>
      <c r="G362" s="144">
        <f t="shared" si="1008"/>
        <v>0</v>
      </c>
      <c r="H362" s="144">
        <f t="shared" si="1009"/>
        <v>0</v>
      </c>
      <c r="I362" s="144">
        <f t="shared" si="1010"/>
        <v>0</v>
      </c>
      <c r="J362" s="159">
        <f t="shared" si="1011"/>
        <v>0</v>
      </c>
      <c r="K362" s="160">
        <f t="shared" si="1012"/>
        <v>342.15</v>
      </c>
      <c r="L362" s="152">
        <f t="shared" si="914"/>
        <v>0</v>
      </c>
      <c r="M362" s="144">
        <f t="shared" si="915"/>
        <v>10273</v>
      </c>
      <c r="N362" s="144"/>
      <c r="O362" s="144">
        <f t="shared" si="934"/>
        <v>10033</v>
      </c>
      <c r="P362" s="144">
        <f t="shared" si="916"/>
        <v>0</v>
      </c>
      <c r="Q362" s="144">
        <f t="shared" si="917"/>
        <v>0</v>
      </c>
      <c r="R362" s="144">
        <f t="shared" si="918"/>
        <v>0</v>
      </c>
      <c r="S362" s="144">
        <f t="shared" si="919"/>
        <v>0</v>
      </c>
      <c r="T362" s="144">
        <f t="shared" si="1014"/>
        <v>1842</v>
      </c>
      <c r="V362" s="150">
        <f>L361+L362</f>
        <v>0</v>
      </c>
      <c r="W362" s="150">
        <f t="shared" ref="W362" si="1043">M361+M362</f>
        <v>20711</v>
      </c>
      <c r="X362" s="150"/>
      <c r="Y362" s="150">
        <f t="shared" ref="Y362" si="1044">O361+O362</f>
        <v>17696</v>
      </c>
      <c r="Z362" s="150">
        <f t="shared" ref="Z362" si="1045">P361+P362</f>
        <v>0</v>
      </c>
      <c r="AA362" s="150">
        <f t="shared" ref="AA362" si="1046">Q361+Q362</f>
        <v>0</v>
      </c>
      <c r="AB362" s="150">
        <f t="shared" ref="AB362" si="1047">R361+R362</f>
        <v>0</v>
      </c>
      <c r="AC362" s="150">
        <f t="shared" ref="AC362" si="1048">S361+S362</f>
        <v>0</v>
      </c>
      <c r="AD362" s="150">
        <f t="shared" ref="AD362" si="1049">T361+T362</f>
        <v>3638</v>
      </c>
      <c r="AF362" s="158">
        <f t="shared" si="999"/>
        <v>29100</v>
      </c>
      <c r="AG362" s="149"/>
      <c r="AH362" s="149"/>
      <c r="AI362" s="149"/>
      <c r="AJ362" s="149"/>
      <c r="AK362" s="149"/>
      <c r="AL362" s="149"/>
      <c r="AM362" s="149"/>
      <c r="AN362" s="149"/>
      <c r="AO362" s="149"/>
      <c r="AP362" s="149"/>
      <c r="AQ362" s="149"/>
      <c r="AR362" s="149"/>
      <c r="AS362" s="149"/>
      <c r="AT362" s="149"/>
      <c r="AU362" s="149"/>
      <c r="AV362" s="149"/>
      <c r="AW362" s="149"/>
      <c r="AX362" s="149">
        <v>5394.1707999999999</v>
      </c>
      <c r="AY362" s="149"/>
      <c r="AZ362" s="149"/>
      <c r="BA362" s="149"/>
      <c r="BB362" s="149"/>
      <c r="BC362" s="149"/>
      <c r="BD362" s="149"/>
      <c r="BE362" s="149"/>
      <c r="BF362" s="149"/>
      <c r="BG362" s="149"/>
      <c r="BH362" s="149"/>
      <c r="BI362" s="149"/>
      <c r="BJ362" s="149"/>
      <c r="BK362" s="149">
        <v>5864.0933000000005</v>
      </c>
      <c r="BL362" s="149"/>
      <c r="BM362" s="149"/>
      <c r="BN362" s="149"/>
      <c r="BO362" s="149"/>
      <c r="BP362" s="149"/>
      <c r="BQ362" s="149"/>
      <c r="BR362" s="149"/>
      <c r="BS362" s="149"/>
      <c r="BT362" s="149"/>
      <c r="BU362" s="149"/>
      <c r="BV362" s="149"/>
      <c r="BW362" s="149"/>
      <c r="BX362" s="149"/>
      <c r="BY362" s="149"/>
      <c r="BZ362" s="149"/>
      <c r="CA362" s="149"/>
      <c r="CB362" s="149">
        <v>342.15</v>
      </c>
      <c r="CC362" s="231">
        <f t="shared" si="1013"/>
        <v>29100</v>
      </c>
    </row>
    <row r="363" spans="2:81" x14ac:dyDescent="0.25">
      <c r="B363" s="155">
        <v>29150</v>
      </c>
      <c r="C363" s="147">
        <f t="shared" si="989"/>
        <v>0</v>
      </c>
      <c r="D363" s="147">
        <f t="shared" si="990"/>
        <v>4846.1376</v>
      </c>
      <c r="E363" s="147">
        <f t="shared" si="1007"/>
        <v>0</v>
      </c>
      <c r="F363" s="147">
        <f t="shared" si="991"/>
        <v>6381.3707999999997</v>
      </c>
      <c r="G363" s="147">
        <f t="shared" si="1008"/>
        <v>0</v>
      </c>
      <c r="H363" s="147">
        <f t="shared" si="1009"/>
        <v>0</v>
      </c>
      <c r="I363" s="147">
        <f t="shared" si="1010"/>
        <v>0</v>
      </c>
      <c r="J363" s="156">
        <f t="shared" si="1011"/>
        <v>0</v>
      </c>
      <c r="K363" s="157">
        <f t="shared" si="1012"/>
        <v>324.07</v>
      </c>
      <c r="L363" s="151">
        <f t="shared" si="914"/>
        <v>0</v>
      </c>
      <c r="M363" s="147">
        <f t="shared" si="915"/>
        <v>9482</v>
      </c>
      <c r="N363" s="147"/>
      <c r="O363" s="147">
        <f t="shared" si="934"/>
        <v>11339</v>
      </c>
      <c r="P363" s="147">
        <f t="shared" si="916"/>
        <v>0</v>
      </c>
      <c r="Q363" s="147">
        <f t="shared" si="917"/>
        <v>0</v>
      </c>
      <c r="R363" s="147">
        <f t="shared" si="918"/>
        <v>0</v>
      </c>
      <c r="S363" s="147">
        <f t="shared" si="919"/>
        <v>0</v>
      </c>
      <c r="T363" s="147">
        <f t="shared" si="1014"/>
        <v>1851</v>
      </c>
      <c r="V363" s="146"/>
      <c r="W363" s="147"/>
      <c r="X363" s="147"/>
      <c r="Y363" s="147"/>
      <c r="Z363" s="147"/>
      <c r="AA363" s="147"/>
      <c r="AB363" s="147"/>
      <c r="AC363" s="147"/>
      <c r="AD363" s="148"/>
      <c r="AF363" s="155">
        <f t="shared" si="999"/>
        <v>29150</v>
      </c>
      <c r="AG363" s="78"/>
      <c r="AH363" s="78"/>
      <c r="AI363" s="78"/>
      <c r="AJ363" s="78"/>
      <c r="AK363" s="78"/>
      <c r="AL363" s="78"/>
      <c r="AM363" s="78"/>
      <c r="AN363" s="78"/>
      <c r="AO363" s="78"/>
      <c r="AP363" s="78"/>
      <c r="AQ363" s="78"/>
      <c r="AR363" s="78"/>
      <c r="AS363" s="78"/>
      <c r="AT363" s="78"/>
      <c r="AU363" s="78"/>
      <c r="AV363" s="78"/>
      <c r="AW363" s="78"/>
      <c r="AX363" s="78">
        <v>4846.1376</v>
      </c>
      <c r="AY363" s="78"/>
      <c r="AZ363" s="78"/>
      <c r="BA363" s="78"/>
      <c r="BB363" s="78"/>
      <c r="BC363" s="78"/>
      <c r="BD363" s="78"/>
      <c r="BE363" s="78"/>
      <c r="BF363" s="78"/>
      <c r="BG363" s="78"/>
      <c r="BH363" s="78"/>
      <c r="BI363" s="78"/>
      <c r="BJ363" s="78"/>
      <c r="BK363" s="78">
        <v>6381.3707999999997</v>
      </c>
      <c r="BL363" s="78"/>
      <c r="BM363" s="78"/>
      <c r="BN363" s="78"/>
      <c r="BO363" s="78"/>
      <c r="BP363" s="78"/>
      <c r="BQ363" s="78"/>
      <c r="BR363" s="78"/>
      <c r="BS363" s="78"/>
      <c r="BT363" s="78"/>
      <c r="BU363" s="78"/>
      <c r="BV363" s="78"/>
      <c r="BW363" s="78"/>
      <c r="BX363" s="78"/>
      <c r="BY363" s="78"/>
      <c r="BZ363" s="78"/>
      <c r="CA363" s="78"/>
      <c r="CB363" s="78">
        <v>324.07</v>
      </c>
      <c r="CC363" s="231">
        <f t="shared" si="1013"/>
        <v>29150</v>
      </c>
    </row>
    <row r="364" spans="2:81" s="3" customFormat="1" ht="15.75" thickBot="1" x14ac:dyDescent="0.3">
      <c r="B364" s="158">
        <v>29200</v>
      </c>
      <c r="C364" s="144">
        <f t="shared" si="989"/>
        <v>0</v>
      </c>
      <c r="D364" s="144">
        <f t="shared" si="990"/>
        <v>4430.0162</v>
      </c>
      <c r="E364" s="144">
        <f t="shared" si="1007"/>
        <v>0</v>
      </c>
      <c r="F364" s="144">
        <f t="shared" si="991"/>
        <v>6415.5807999999997</v>
      </c>
      <c r="G364" s="144">
        <f t="shared" si="1008"/>
        <v>0</v>
      </c>
      <c r="H364" s="144">
        <f t="shared" si="1009"/>
        <v>0</v>
      </c>
      <c r="I364" s="144">
        <f t="shared" si="1010"/>
        <v>0</v>
      </c>
      <c r="J364" s="159">
        <f t="shared" si="1011"/>
        <v>0</v>
      </c>
      <c r="K364" s="160">
        <f t="shared" si="1012"/>
        <v>315.64</v>
      </c>
      <c r="L364" s="152">
        <f t="shared" si="914"/>
        <v>0</v>
      </c>
      <c r="M364" s="144">
        <f t="shared" si="915"/>
        <v>8590</v>
      </c>
      <c r="N364" s="144"/>
      <c r="O364" s="144">
        <f t="shared" si="934"/>
        <v>11850</v>
      </c>
      <c r="P364" s="144">
        <f t="shared" si="916"/>
        <v>0</v>
      </c>
      <c r="Q364" s="144">
        <f t="shared" si="917"/>
        <v>0</v>
      </c>
      <c r="R364" s="144">
        <f t="shared" si="918"/>
        <v>0</v>
      </c>
      <c r="S364" s="144">
        <f t="shared" si="919"/>
        <v>0</v>
      </c>
      <c r="T364" s="144">
        <f t="shared" si="1014"/>
        <v>1777</v>
      </c>
      <c r="V364" s="150">
        <f>L363+L364</f>
        <v>0</v>
      </c>
      <c r="W364" s="150">
        <f t="shared" ref="W364" si="1050">M363+M364</f>
        <v>18072</v>
      </c>
      <c r="X364" s="150"/>
      <c r="Y364" s="150">
        <f t="shared" ref="Y364" si="1051">O363+O364</f>
        <v>23189</v>
      </c>
      <c r="Z364" s="150">
        <f t="shared" ref="Z364" si="1052">P363+P364</f>
        <v>0</v>
      </c>
      <c r="AA364" s="150">
        <f t="shared" ref="AA364" si="1053">Q363+Q364</f>
        <v>0</v>
      </c>
      <c r="AB364" s="150">
        <f t="shared" ref="AB364" si="1054">R363+R364</f>
        <v>0</v>
      </c>
      <c r="AC364" s="150">
        <f t="shared" ref="AC364" si="1055">S363+S364</f>
        <v>0</v>
      </c>
      <c r="AD364" s="150">
        <f t="shared" ref="AD364" si="1056">T363+T364</f>
        <v>3628</v>
      </c>
      <c r="AF364" s="158">
        <f t="shared" si="999"/>
        <v>29200</v>
      </c>
      <c r="AG364" s="149"/>
      <c r="AH364" s="149"/>
      <c r="AI364" s="149"/>
      <c r="AJ364" s="149"/>
      <c r="AK364" s="149"/>
      <c r="AL364" s="149"/>
      <c r="AM364" s="149"/>
      <c r="AN364" s="149"/>
      <c r="AO364" s="149"/>
      <c r="AP364" s="149"/>
      <c r="AQ364" s="149"/>
      <c r="AR364" s="149"/>
      <c r="AS364" s="149"/>
      <c r="AT364" s="149"/>
      <c r="AU364" s="149"/>
      <c r="AV364" s="149"/>
      <c r="AW364" s="149"/>
      <c r="AX364" s="149">
        <v>4430.0162</v>
      </c>
      <c r="AY364" s="149"/>
      <c r="AZ364" s="149"/>
      <c r="BA364" s="149"/>
      <c r="BB364" s="149"/>
      <c r="BC364" s="149"/>
      <c r="BD364" s="149"/>
      <c r="BE364" s="149"/>
      <c r="BF364" s="149"/>
      <c r="BG364" s="149"/>
      <c r="BH364" s="149"/>
      <c r="BI364" s="149"/>
      <c r="BJ364" s="149"/>
      <c r="BK364" s="149">
        <v>6415.5807999999997</v>
      </c>
      <c r="BL364" s="149"/>
      <c r="BM364" s="149"/>
      <c r="BN364" s="149"/>
      <c r="BO364" s="149"/>
      <c r="BP364" s="149"/>
      <c r="BQ364" s="149"/>
      <c r="BR364" s="149"/>
      <c r="BS364" s="149"/>
      <c r="BT364" s="149"/>
      <c r="BU364" s="149"/>
      <c r="BV364" s="149"/>
      <c r="BW364" s="149"/>
      <c r="BX364" s="149"/>
      <c r="BY364" s="149"/>
      <c r="BZ364" s="149"/>
      <c r="CA364" s="149"/>
      <c r="CB364" s="149">
        <v>315.64</v>
      </c>
      <c r="CC364" s="231">
        <f t="shared" si="1013"/>
        <v>29200</v>
      </c>
    </row>
    <row r="365" spans="2:81" x14ac:dyDescent="0.25">
      <c r="B365" s="155">
        <v>29250</v>
      </c>
      <c r="C365" s="147">
        <f t="shared" si="989"/>
        <v>0</v>
      </c>
      <c r="D365" s="147">
        <f t="shared" si="990"/>
        <v>4009.3463000000002</v>
      </c>
      <c r="E365" s="147">
        <f t="shared" si="1007"/>
        <v>0</v>
      </c>
      <c r="F365" s="147">
        <f t="shared" si="991"/>
        <v>6340.6138000000001</v>
      </c>
      <c r="G365" s="147">
        <f t="shared" si="1008"/>
        <v>0</v>
      </c>
      <c r="H365" s="147">
        <f t="shared" si="1009"/>
        <v>0</v>
      </c>
      <c r="I365" s="147">
        <f t="shared" si="1010"/>
        <v>0</v>
      </c>
      <c r="J365" s="156">
        <f t="shared" si="1011"/>
        <v>0</v>
      </c>
      <c r="K365" s="157">
        <f t="shared" si="1012"/>
        <v>287.57</v>
      </c>
      <c r="L365" s="151">
        <f t="shared" si="914"/>
        <v>0</v>
      </c>
      <c r="M365" s="147">
        <f t="shared" si="915"/>
        <v>7815</v>
      </c>
      <c r="N365" s="147"/>
      <c r="O365" s="147">
        <f t="shared" si="934"/>
        <v>11812</v>
      </c>
      <c r="P365" s="147">
        <f t="shared" si="916"/>
        <v>0</v>
      </c>
      <c r="Q365" s="147">
        <f t="shared" si="917"/>
        <v>0</v>
      </c>
      <c r="R365" s="147">
        <f t="shared" si="918"/>
        <v>0</v>
      </c>
      <c r="S365" s="147">
        <f t="shared" si="919"/>
        <v>0</v>
      </c>
      <c r="T365" s="147">
        <f t="shared" si="1014"/>
        <v>1676</v>
      </c>
      <c r="V365" s="146"/>
      <c r="W365" s="147"/>
      <c r="X365" s="147"/>
      <c r="Y365" s="147"/>
      <c r="Z365" s="147"/>
      <c r="AA365" s="147"/>
      <c r="AB365" s="147"/>
      <c r="AC365" s="147"/>
      <c r="AD365" s="148"/>
      <c r="AF365" s="155">
        <f t="shared" si="999"/>
        <v>29250</v>
      </c>
      <c r="AG365" s="78"/>
      <c r="AH365" s="78"/>
      <c r="AI365" s="78"/>
      <c r="AJ365" s="78"/>
      <c r="AK365" s="78"/>
      <c r="AL365" s="78"/>
      <c r="AM365" s="78"/>
      <c r="AN365" s="78"/>
      <c r="AO365" s="78"/>
      <c r="AP365" s="78"/>
      <c r="AQ365" s="78"/>
      <c r="AR365" s="78"/>
      <c r="AS365" s="78"/>
      <c r="AT365" s="78"/>
      <c r="AU365" s="78"/>
      <c r="AV365" s="78"/>
      <c r="AW365" s="78"/>
      <c r="AX365" s="78">
        <v>4009.3463000000002</v>
      </c>
      <c r="AY365" s="78"/>
      <c r="AZ365" s="78"/>
      <c r="BA365" s="78"/>
      <c r="BB365" s="78"/>
      <c r="BC365" s="78"/>
      <c r="BD365" s="78"/>
      <c r="BE365" s="78"/>
      <c r="BF365" s="78"/>
      <c r="BG365" s="78"/>
      <c r="BH365" s="78"/>
      <c r="BI365" s="78"/>
      <c r="BJ365" s="78"/>
      <c r="BK365" s="78">
        <v>6340.6138000000001</v>
      </c>
      <c r="BL365" s="78"/>
      <c r="BM365" s="78"/>
      <c r="BN365" s="78"/>
      <c r="BO365" s="78"/>
      <c r="BP365" s="78"/>
      <c r="BQ365" s="78"/>
      <c r="BR365" s="78"/>
      <c r="BS365" s="78"/>
      <c r="BT365" s="78"/>
      <c r="BU365" s="78"/>
      <c r="BV365" s="78"/>
      <c r="BW365" s="78"/>
      <c r="BX365" s="78"/>
      <c r="BY365" s="78"/>
      <c r="BZ365" s="78"/>
      <c r="CA365" s="78"/>
      <c r="CB365" s="78">
        <v>287.57</v>
      </c>
      <c r="CC365" s="231">
        <f t="shared" si="1013"/>
        <v>29250</v>
      </c>
    </row>
    <row r="366" spans="2:81" x14ac:dyDescent="0.25">
      <c r="B366" s="57">
        <v>29300</v>
      </c>
      <c r="C366" s="58">
        <f t="shared" si="989"/>
        <v>0</v>
      </c>
      <c r="D366" s="58">
        <f t="shared" si="990"/>
        <v>3569.57</v>
      </c>
      <c r="E366" s="58">
        <f t="shared" si="1007"/>
        <v>0</v>
      </c>
      <c r="F366" s="58">
        <f t="shared" si="991"/>
        <v>6050.7111999999997</v>
      </c>
      <c r="G366" s="58">
        <f t="shared" si="1008"/>
        <v>0</v>
      </c>
      <c r="H366" s="58">
        <f t="shared" si="1009"/>
        <v>0</v>
      </c>
      <c r="I366" s="58">
        <f t="shared" si="1010"/>
        <v>0</v>
      </c>
      <c r="J366" s="51">
        <f t="shared" si="1011"/>
        <v>0</v>
      </c>
      <c r="K366" s="99">
        <f t="shared" si="1012"/>
        <v>290.29000000000002</v>
      </c>
      <c r="L366" s="105">
        <f t="shared" si="914"/>
        <v>0</v>
      </c>
      <c r="M366" s="58">
        <f t="shared" si="915"/>
        <v>7018</v>
      </c>
      <c r="N366" s="58"/>
      <c r="O366" s="58">
        <f t="shared" si="934"/>
        <v>11474</v>
      </c>
      <c r="P366" s="58">
        <f t="shared" si="916"/>
        <v>0</v>
      </c>
      <c r="Q366" s="58">
        <f t="shared" si="917"/>
        <v>0</v>
      </c>
      <c r="R366" s="58">
        <f t="shared" si="918"/>
        <v>0</v>
      </c>
      <c r="S366" s="58">
        <f t="shared" si="919"/>
        <v>0</v>
      </c>
      <c r="T366" s="58">
        <f t="shared" si="1014"/>
        <v>1606</v>
      </c>
      <c r="V366" s="137"/>
      <c r="W366" s="58"/>
      <c r="X366" s="58"/>
      <c r="Y366" s="58"/>
      <c r="Z366" s="58"/>
      <c r="AA366" s="58"/>
      <c r="AB366" s="58"/>
      <c r="AC366" s="58"/>
      <c r="AD366" s="138"/>
      <c r="AF366" s="57">
        <f t="shared" si="999"/>
        <v>29300</v>
      </c>
      <c r="AG366" s="49"/>
      <c r="AH366" s="49"/>
      <c r="AI366" s="49"/>
      <c r="AJ366" s="49"/>
      <c r="AK366" s="49"/>
      <c r="AL366" s="49"/>
      <c r="AM366" s="49"/>
      <c r="AN366" s="49"/>
      <c r="AO366" s="49"/>
      <c r="AP366" s="49"/>
      <c r="AQ366" s="49"/>
      <c r="AR366" s="49"/>
      <c r="AS366" s="49"/>
      <c r="AT366" s="49"/>
      <c r="AU366" s="49"/>
      <c r="AV366" s="49"/>
      <c r="AW366" s="49"/>
      <c r="AX366" s="49">
        <v>3569.57</v>
      </c>
      <c r="AY366" s="49"/>
      <c r="AZ366" s="49"/>
      <c r="BA366" s="49"/>
      <c r="BB366" s="49"/>
      <c r="BC366" s="49"/>
      <c r="BD366" s="49"/>
      <c r="BE366" s="49"/>
      <c r="BF366" s="49"/>
      <c r="BG366" s="49"/>
      <c r="BH366" s="49"/>
      <c r="BI366" s="49"/>
      <c r="BJ366" s="49"/>
      <c r="BK366" s="49">
        <v>6050.7111999999997</v>
      </c>
      <c r="BL366" s="49"/>
      <c r="BM366" s="49"/>
      <c r="BN366" s="49"/>
      <c r="BO366" s="49"/>
      <c r="BP366" s="49"/>
      <c r="BQ366" s="49"/>
      <c r="BR366" s="49"/>
      <c r="BS366" s="49"/>
      <c r="BT366" s="49"/>
      <c r="BU366" s="49"/>
      <c r="BV366" s="49"/>
      <c r="BW366" s="49"/>
      <c r="BX366" s="49"/>
      <c r="BY366" s="49"/>
      <c r="BZ366" s="49"/>
      <c r="CA366" s="49"/>
      <c r="CB366" s="49">
        <v>290.29000000000002</v>
      </c>
      <c r="CC366" s="231">
        <f t="shared" si="1013"/>
        <v>29300</v>
      </c>
    </row>
    <row r="367" spans="2:81" s="3" customFormat="1" ht="15.75" thickBot="1" x14ac:dyDescent="0.3">
      <c r="B367" s="158">
        <v>29350</v>
      </c>
      <c r="C367" s="144">
        <f t="shared" si="989"/>
        <v>18.182600000000001</v>
      </c>
      <c r="D367" s="144">
        <f t="shared" si="990"/>
        <v>3178.2384999999999</v>
      </c>
      <c r="E367" s="144">
        <f t="shared" si="1007"/>
        <v>0</v>
      </c>
      <c r="F367" s="144">
        <f t="shared" si="991"/>
        <v>4598.7775000000001</v>
      </c>
      <c r="G367" s="144">
        <f t="shared" si="1008"/>
        <v>0</v>
      </c>
      <c r="H367" s="144">
        <f t="shared" si="1009"/>
        <v>0</v>
      </c>
      <c r="I367" s="144">
        <f t="shared" si="1010"/>
        <v>0</v>
      </c>
      <c r="J367" s="159">
        <f t="shared" si="1011"/>
        <v>0</v>
      </c>
      <c r="K367" s="160">
        <f t="shared" si="1012"/>
        <v>275.11</v>
      </c>
      <c r="L367" s="152">
        <f t="shared" si="914"/>
        <v>17</v>
      </c>
      <c r="M367" s="144">
        <f t="shared" si="915"/>
        <v>6248</v>
      </c>
      <c r="N367" s="144"/>
      <c r="O367" s="144">
        <f t="shared" si="934"/>
        <v>9861</v>
      </c>
      <c r="P367" s="144">
        <f t="shared" si="916"/>
        <v>0</v>
      </c>
      <c r="Q367" s="144">
        <f t="shared" si="917"/>
        <v>0</v>
      </c>
      <c r="R367" s="144">
        <f t="shared" si="918"/>
        <v>0</v>
      </c>
      <c r="S367" s="144">
        <f t="shared" si="919"/>
        <v>0</v>
      </c>
      <c r="T367" s="144">
        <f t="shared" si="1014"/>
        <v>1571</v>
      </c>
      <c r="V367" s="150">
        <f>L365+L366+L367</f>
        <v>17</v>
      </c>
      <c r="W367" s="150">
        <f t="shared" ref="W367" si="1057">M365+M366+M367</f>
        <v>21081</v>
      </c>
      <c r="X367" s="150"/>
      <c r="Y367" s="150">
        <f t="shared" ref="Y367" si="1058">O365+O366+O367</f>
        <v>33147</v>
      </c>
      <c r="Z367" s="150">
        <f t="shared" ref="Z367" si="1059">P365+P366+P367</f>
        <v>0</v>
      </c>
      <c r="AA367" s="150">
        <f t="shared" ref="AA367" si="1060">Q365+Q366+Q367</f>
        <v>0</v>
      </c>
      <c r="AB367" s="150">
        <f t="shared" ref="AB367" si="1061">R365+R366+R367</f>
        <v>0</v>
      </c>
      <c r="AC367" s="150">
        <f t="shared" ref="AC367" si="1062">S365+S366+S367</f>
        <v>0</v>
      </c>
      <c r="AD367" s="150">
        <f t="shared" ref="AD367" si="1063">T365+T366+T367</f>
        <v>4853</v>
      </c>
      <c r="AF367" s="158">
        <f t="shared" si="999"/>
        <v>29350</v>
      </c>
      <c r="AG367" s="149">
        <v>18.182600000000001</v>
      </c>
      <c r="AH367" s="149"/>
      <c r="AI367" s="149"/>
      <c r="AJ367" s="149"/>
      <c r="AK367" s="149"/>
      <c r="AL367" s="149"/>
      <c r="AM367" s="149"/>
      <c r="AN367" s="149"/>
      <c r="AO367" s="149"/>
      <c r="AP367" s="149"/>
      <c r="AQ367" s="149"/>
      <c r="AR367" s="149"/>
      <c r="AS367" s="149"/>
      <c r="AT367" s="149"/>
      <c r="AU367" s="149"/>
      <c r="AV367" s="149"/>
      <c r="AW367" s="149"/>
      <c r="AX367" s="149">
        <v>3178.2384999999999</v>
      </c>
      <c r="AY367" s="149"/>
      <c r="AZ367" s="149"/>
      <c r="BA367" s="149"/>
      <c r="BB367" s="149"/>
      <c r="BC367" s="149"/>
      <c r="BD367" s="149"/>
      <c r="BE367" s="149"/>
      <c r="BF367" s="149"/>
      <c r="BG367" s="149"/>
      <c r="BH367" s="149"/>
      <c r="BI367" s="149"/>
      <c r="BJ367" s="149"/>
      <c r="BK367" s="149">
        <v>4598.7775000000001</v>
      </c>
      <c r="BL367" s="149"/>
      <c r="BM367" s="149"/>
      <c r="BN367" s="149"/>
      <c r="BO367" s="149"/>
      <c r="BP367" s="149"/>
      <c r="BQ367" s="149"/>
      <c r="BR367" s="149"/>
      <c r="BS367" s="149"/>
      <c r="BT367" s="149"/>
      <c r="BU367" s="149"/>
      <c r="BV367" s="149"/>
      <c r="BW367" s="149"/>
      <c r="BX367" s="149"/>
      <c r="BY367" s="149"/>
      <c r="BZ367" s="149"/>
      <c r="CA367" s="149"/>
      <c r="CB367" s="149">
        <v>275.11</v>
      </c>
      <c r="CC367" s="231">
        <f t="shared" si="1013"/>
        <v>29350</v>
      </c>
    </row>
    <row r="368" spans="2:81" x14ac:dyDescent="0.25">
      <c r="B368" s="155">
        <v>29400</v>
      </c>
      <c r="C368" s="147">
        <f t="shared" si="989"/>
        <v>212.23609999999999</v>
      </c>
      <c r="D368" s="147">
        <f t="shared" si="990"/>
        <v>2827.9023999999999</v>
      </c>
      <c r="E368" s="147">
        <f t="shared" si="1007"/>
        <v>0</v>
      </c>
      <c r="F368" s="147">
        <f t="shared" si="991"/>
        <v>1486.9630999999999</v>
      </c>
      <c r="G368" s="147">
        <f t="shared" si="1008"/>
        <v>0</v>
      </c>
      <c r="H368" s="147">
        <f t="shared" si="1009"/>
        <v>0</v>
      </c>
      <c r="I368" s="147">
        <f t="shared" si="1010"/>
        <v>0</v>
      </c>
      <c r="J368" s="156">
        <f t="shared" si="1011"/>
        <v>0</v>
      </c>
      <c r="K368" s="157">
        <f t="shared" si="1012"/>
        <v>279.82</v>
      </c>
      <c r="L368" s="151">
        <f t="shared" si="914"/>
        <v>214</v>
      </c>
      <c r="M368" s="147">
        <f t="shared" si="915"/>
        <v>5562</v>
      </c>
      <c r="N368" s="147"/>
      <c r="O368" s="147">
        <f t="shared" si="934"/>
        <v>5635</v>
      </c>
      <c r="P368" s="147">
        <f t="shared" si="916"/>
        <v>0</v>
      </c>
      <c r="Q368" s="147">
        <f t="shared" si="917"/>
        <v>0</v>
      </c>
      <c r="R368" s="147">
        <f t="shared" si="918"/>
        <v>0</v>
      </c>
      <c r="S368" s="147">
        <f t="shared" si="919"/>
        <v>0</v>
      </c>
      <c r="T368" s="147">
        <f t="shared" si="1014"/>
        <v>1542</v>
      </c>
      <c r="V368" s="146"/>
      <c r="W368" s="147"/>
      <c r="X368" s="147"/>
      <c r="Y368" s="147"/>
      <c r="Z368" s="147"/>
      <c r="AA368" s="147"/>
      <c r="AB368" s="147"/>
      <c r="AC368" s="147"/>
      <c r="AD368" s="148"/>
      <c r="AF368" s="155">
        <f t="shared" si="999"/>
        <v>29400</v>
      </c>
      <c r="AG368" s="78">
        <v>212.23609999999999</v>
      </c>
      <c r="AH368" s="78"/>
      <c r="AI368" s="78"/>
      <c r="AJ368" s="78"/>
      <c r="AK368" s="78"/>
      <c r="AL368" s="78"/>
      <c r="AM368" s="78"/>
      <c r="AN368" s="78"/>
      <c r="AO368" s="78"/>
      <c r="AP368" s="78"/>
      <c r="AQ368" s="78"/>
      <c r="AR368" s="78"/>
      <c r="AS368" s="78"/>
      <c r="AT368" s="78"/>
      <c r="AU368" s="78"/>
      <c r="AV368" s="78"/>
      <c r="AW368" s="78"/>
      <c r="AX368" s="78">
        <v>2827.9023999999999</v>
      </c>
      <c r="AY368" s="78"/>
      <c r="AZ368" s="78"/>
      <c r="BA368" s="78"/>
      <c r="BB368" s="78"/>
      <c r="BC368" s="78"/>
      <c r="BD368" s="78"/>
      <c r="BE368" s="78"/>
      <c r="BF368" s="78"/>
      <c r="BG368" s="78"/>
      <c r="BH368" s="78"/>
      <c r="BI368" s="78"/>
      <c r="BJ368" s="78"/>
      <c r="BK368" s="78">
        <v>1486.9630999999999</v>
      </c>
      <c r="BL368" s="78"/>
      <c r="BM368" s="78"/>
      <c r="BN368" s="78"/>
      <c r="BO368" s="78"/>
      <c r="BP368" s="78"/>
      <c r="BQ368" s="78"/>
      <c r="BR368" s="78"/>
      <c r="BS368" s="78"/>
      <c r="BT368" s="78"/>
      <c r="BU368" s="78"/>
      <c r="BV368" s="78"/>
      <c r="BW368" s="78"/>
      <c r="BX368" s="78"/>
      <c r="BY368" s="78"/>
      <c r="BZ368" s="78"/>
      <c r="CA368" s="78"/>
      <c r="CB368" s="78">
        <v>279.82</v>
      </c>
      <c r="CC368" s="231">
        <f t="shared" si="1013"/>
        <v>29400</v>
      </c>
    </row>
    <row r="369" spans="1:81" x14ac:dyDescent="0.25">
      <c r="B369" s="57">
        <v>29450</v>
      </c>
      <c r="C369" s="58">
        <f t="shared" si="989"/>
        <v>387.26080000000002</v>
      </c>
      <c r="D369" s="58">
        <f t="shared" si="990"/>
        <v>2503.5477000000001</v>
      </c>
      <c r="E369" s="58">
        <f t="shared" si="1007"/>
        <v>0</v>
      </c>
      <c r="F369" s="58">
        <f t="shared" si="991"/>
        <v>1431.6151</v>
      </c>
      <c r="G369" s="58">
        <f t="shared" si="1008"/>
        <v>0</v>
      </c>
      <c r="H369" s="58">
        <f t="shared" si="1009"/>
        <v>0</v>
      </c>
      <c r="I369" s="58">
        <f t="shared" si="1010"/>
        <v>0</v>
      </c>
      <c r="J369" s="51">
        <f t="shared" si="1011"/>
        <v>0</v>
      </c>
      <c r="K369" s="99">
        <f t="shared" si="1012"/>
        <v>286.73</v>
      </c>
      <c r="L369" s="105">
        <f t="shared" si="914"/>
        <v>556</v>
      </c>
      <c r="M369" s="58">
        <f t="shared" si="915"/>
        <v>4937</v>
      </c>
      <c r="N369" s="58"/>
      <c r="O369" s="58">
        <f t="shared" si="934"/>
        <v>2703</v>
      </c>
      <c r="P369" s="58">
        <f t="shared" si="916"/>
        <v>0</v>
      </c>
      <c r="Q369" s="58">
        <f t="shared" si="917"/>
        <v>0</v>
      </c>
      <c r="R369" s="58">
        <f t="shared" si="918"/>
        <v>0</v>
      </c>
      <c r="S369" s="58">
        <f t="shared" si="919"/>
        <v>0</v>
      </c>
      <c r="T369" s="58">
        <f t="shared" si="1014"/>
        <v>1574</v>
      </c>
      <c r="V369" s="137"/>
      <c r="W369" s="58"/>
      <c r="X369" s="58"/>
      <c r="Y369" s="58"/>
      <c r="Z369" s="58"/>
      <c r="AA369" s="58"/>
      <c r="AB369" s="58"/>
      <c r="AC369" s="58"/>
      <c r="AD369" s="138"/>
      <c r="AF369" s="57">
        <f t="shared" si="999"/>
        <v>29450</v>
      </c>
      <c r="AG369" s="49">
        <v>387.26080000000002</v>
      </c>
      <c r="AH369" s="49"/>
      <c r="AI369" s="49"/>
      <c r="AJ369" s="49"/>
      <c r="AK369" s="49"/>
      <c r="AL369" s="49"/>
      <c r="AM369" s="49"/>
      <c r="AN369" s="49"/>
      <c r="AO369" s="49"/>
      <c r="AP369" s="49"/>
      <c r="AQ369" s="49"/>
      <c r="AR369" s="49"/>
      <c r="AS369" s="49"/>
      <c r="AT369" s="49"/>
      <c r="AU369" s="49"/>
      <c r="AV369" s="49"/>
      <c r="AW369" s="49"/>
      <c r="AX369" s="49">
        <v>2503.5477000000001</v>
      </c>
      <c r="AY369" s="49"/>
      <c r="AZ369" s="49"/>
      <c r="BA369" s="49"/>
      <c r="BB369" s="49"/>
      <c r="BC369" s="49"/>
      <c r="BD369" s="49"/>
      <c r="BE369" s="49"/>
      <c r="BF369" s="49"/>
      <c r="BG369" s="49"/>
      <c r="BH369" s="49"/>
      <c r="BI369" s="49"/>
      <c r="BJ369" s="49"/>
      <c r="BK369" s="49">
        <v>1431.6151</v>
      </c>
      <c r="BL369" s="49"/>
      <c r="BM369" s="49"/>
      <c r="BN369" s="49"/>
      <c r="BO369" s="49"/>
      <c r="BP369" s="49"/>
      <c r="BQ369" s="49"/>
      <c r="BR369" s="49"/>
      <c r="BS369" s="49"/>
      <c r="BT369" s="49"/>
      <c r="BU369" s="49"/>
      <c r="BV369" s="49"/>
      <c r="BW369" s="49"/>
      <c r="BX369" s="49"/>
      <c r="BY369" s="49"/>
      <c r="BZ369" s="49"/>
      <c r="CA369" s="49"/>
      <c r="CB369" s="49">
        <v>286.73</v>
      </c>
      <c r="CC369" s="231">
        <f t="shared" si="1013"/>
        <v>29450</v>
      </c>
    </row>
    <row r="370" spans="1:81" s="3" customFormat="1" ht="15.75" thickBot="1" x14ac:dyDescent="0.3">
      <c r="B370" s="158">
        <v>29500</v>
      </c>
      <c r="C370" s="144">
        <f t="shared" si="989"/>
        <v>496.60660000000001</v>
      </c>
      <c r="D370" s="144">
        <f t="shared" si="990"/>
        <v>2195.0794999999998</v>
      </c>
      <c r="E370" s="144">
        <f t="shared" si="1007"/>
        <v>0</v>
      </c>
      <c r="F370" s="144">
        <f t="shared" si="991"/>
        <v>2523.3456000000001</v>
      </c>
      <c r="G370" s="144">
        <f t="shared" si="1008"/>
        <v>0</v>
      </c>
      <c r="H370" s="144">
        <f t="shared" si="1009"/>
        <v>0</v>
      </c>
      <c r="I370" s="144">
        <f t="shared" si="1010"/>
        <v>0</v>
      </c>
      <c r="J370" s="159">
        <f t="shared" si="1011"/>
        <v>0</v>
      </c>
      <c r="K370" s="160">
        <f t="shared" si="1012"/>
        <v>290.55</v>
      </c>
      <c r="L370" s="152">
        <f t="shared" si="914"/>
        <v>819</v>
      </c>
      <c r="M370" s="144">
        <f t="shared" si="915"/>
        <v>4351</v>
      </c>
      <c r="N370" s="144"/>
      <c r="O370" s="144">
        <f t="shared" si="934"/>
        <v>3663</v>
      </c>
      <c r="P370" s="144">
        <f t="shared" si="916"/>
        <v>0</v>
      </c>
      <c r="Q370" s="144">
        <f t="shared" si="917"/>
        <v>0</v>
      </c>
      <c r="R370" s="144">
        <f t="shared" si="918"/>
        <v>0</v>
      </c>
      <c r="S370" s="144">
        <f t="shared" si="919"/>
        <v>0</v>
      </c>
      <c r="T370" s="144">
        <f t="shared" si="1014"/>
        <v>1604</v>
      </c>
      <c r="V370" s="150">
        <f>L368+L369+L370</f>
        <v>1589</v>
      </c>
      <c r="W370" s="150">
        <f t="shared" ref="W370" si="1064">M368+M369+M370</f>
        <v>14850</v>
      </c>
      <c r="X370" s="150"/>
      <c r="Y370" s="150">
        <f t="shared" ref="Y370" si="1065">O368+O369+O370</f>
        <v>12001</v>
      </c>
      <c r="Z370" s="150">
        <f t="shared" ref="Z370" si="1066">P368+P369+P370</f>
        <v>0</v>
      </c>
      <c r="AA370" s="150">
        <f t="shared" ref="AA370" si="1067">Q368+Q369+Q370</f>
        <v>0</v>
      </c>
      <c r="AB370" s="150">
        <f t="shared" ref="AB370" si="1068">R368+R369+R370</f>
        <v>0</v>
      </c>
      <c r="AC370" s="150">
        <f t="shared" ref="AC370" si="1069">S368+S369+S370</f>
        <v>0</v>
      </c>
      <c r="AD370" s="150">
        <f t="shared" ref="AD370" si="1070">T368+T369+T370</f>
        <v>4720</v>
      </c>
      <c r="AF370" s="158">
        <f t="shared" si="999"/>
        <v>29500</v>
      </c>
      <c r="AG370" s="149">
        <v>496.60660000000001</v>
      </c>
      <c r="AH370" s="149"/>
      <c r="AI370" s="149"/>
      <c r="AJ370" s="149"/>
      <c r="AK370" s="149"/>
      <c r="AL370" s="149"/>
      <c r="AM370" s="149"/>
      <c r="AN370" s="149"/>
      <c r="AO370" s="149"/>
      <c r="AP370" s="149"/>
      <c r="AQ370" s="149"/>
      <c r="AR370" s="149"/>
      <c r="AS370" s="149"/>
      <c r="AT370" s="149"/>
      <c r="AU370" s="149"/>
      <c r="AV370" s="149"/>
      <c r="AW370" s="149"/>
      <c r="AX370" s="149">
        <v>2195.0794999999998</v>
      </c>
      <c r="AY370" s="149"/>
      <c r="AZ370" s="149"/>
      <c r="BA370" s="149"/>
      <c r="BB370" s="149"/>
      <c r="BC370" s="149"/>
      <c r="BD370" s="149"/>
      <c r="BE370" s="149"/>
      <c r="BF370" s="149"/>
      <c r="BG370" s="149"/>
      <c r="BH370" s="149"/>
      <c r="BI370" s="149"/>
      <c r="BJ370" s="149"/>
      <c r="BK370" s="149">
        <v>2523.3456000000001</v>
      </c>
      <c r="BL370" s="149"/>
      <c r="BM370" s="149"/>
      <c r="BN370" s="149"/>
      <c r="BO370" s="149"/>
      <c r="BP370" s="149"/>
      <c r="BQ370" s="149"/>
      <c r="BR370" s="149"/>
      <c r="BS370" s="149"/>
      <c r="BT370" s="149"/>
      <c r="BU370" s="149"/>
      <c r="BV370" s="149"/>
      <c r="BW370" s="149"/>
      <c r="BX370" s="149"/>
      <c r="BY370" s="149"/>
      <c r="BZ370" s="149"/>
      <c r="CA370" s="149"/>
      <c r="CB370" s="149">
        <v>290.55</v>
      </c>
      <c r="CC370" s="231">
        <f t="shared" si="1013"/>
        <v>29500</v>
      </c>
    </row>
    <row r="371" spans="1:81" x14ac:dyDescent="0.25">
      <c r="B371" s="155">
        <v>29550</v>
      </c>
      <c r="C371" s="147">
        <f t="shared" si="989"/>
        <v>404.22640000000001</v>
      </c>
      <c r="D371" s="147">
        <f t="shared" si="990"/>
        <v>1906.4350999999999</v>
      </c>
      <c r="E371" s="147">
        <f t="shared" si="1007"/>
        <v>0</v>
      </c>
      <c r="F371" s="147">
        <f t="shared" si="991"/>
        <v>4257.1840000000002</v>
      </c>
      <c r="G371" s="147">
        <f t="shared" si="1008"/>
        <v>0</v>
      </c>
      <c r="H371" s="147">
        <f t="shared" si="1009"/>
        <v>0</v>
      </c>
      <c r="I371" s="147">
        <f t="shared" si="1010"/>
        <v>0</v>
      </c>
      <c r="J371" s="156">
        <f t="shared" si="1011"/>
        <v>0</v>
      </c>
      <c r="K371" s="157">
        <f t="shared" si="1012"/>
        <v>287.74</v>
      </c>
      <c r="L371" s="151">
        <f t="shared" si="914"/>
        <v>835</v>
      </c>
      <c r="M371" s="147">
        <f t="shared" si="915"/>
        <v>3798</v>
      </c>
      <c r="N371" s="147"/>
      <c r="O371" s="147">
        <f t="shared" si="934"/>
        <v>6279</v>
      </c>
      <c r="P371" s="147">
        <f t="shared" si="916"/>
        <v>0</v>
      </c>
      <c r="Q371" s="147">
        <f t="shared" si="917"/>
        <v>0</v>
      </c>
      <c r="R371" s="147">
        <f t="shared" si="918"/>
        <v>0</v>
      </c>
      <c r="S371" s="147">
        <f t="shared" si="919"/>
        <v>0</v>
      </c>
      <c r="T371" s="147">
        <f t="shared" si="1014"/>
        <v>1607</v>
      </c>
      <c r="V371" s="146"/>
      <c r="W371" s="147"/>
      <c r="X371" s="147"/>
      <c r="Y371" s="147"/>
      <c r="Z371" s="147"/>
      <c r="AA371" s="147"/>
      <c r="AB371" s="147"/>
      <c r="AC371" s="147"/>
      <c r="AD371" s="148"/>
      <c r="AF371" s="155">
        <f t="shared" si="999"/>
        <v>29550</v>
      </c>
      <c r="AG371" s="78">
        <v>404.22640000000001</v>
      </c>
      <c r="AH371" s="78"/>
      <c r="AI371" s="78"/>
      <c r="AJ371" s="78"/>
      <c r="AK371" s="78"/>
      <c r="AL371" s="78"/>
      <c r="AM371" s="78"/>
      <c r="AN371" s="78"/>
      <c r="AO371" s="78"/>
      <c r="AP371" s="78"/>
      <c r="AQ371" s="78"/>
      <c r="AR371" s="78"/>
      <c r="AS371" s="78"/>
      <c r="AT371" s="78"/>
      <c r="AU371" s="78"/>
      <c r="AV371" s="78"/>
      <c r="AW371" s="78"/>
      <c r="AX371" s="78">
        <v>1906.4350999999999</v>
      </c>
      <c r="AY371" s="78"/>
      <c r="AZ371" s="78"/>
      <c r="BA371" s="78"/>
      <c r="BB371" s="78"/>
      <c r="BC371" s="78"/>
      <c r="BD371" s="78"/>
      <c r="BE371" s="78"/>
      <c r="BF371" s="78"/>
      <c r="BG371" s="78"/>
      <c r="BH371" s="78"/>
      <c r="BI371" s="78"/>
      <c r="BJ371" s="78"/>
      <c r="BK371" s="78">
        <v>4257.1840000000002</v>
      </c>
      <c r="BL371" s="78"/>
      <c r="BM371" s="78"/>
      <c r="BN371" s="78"/>
      <c r="BO371" s="78"/>
      <c r="BP371" s="78"/>
      <c r="BQ371" s="78"/>
      <c r="BR371" s="78"/>
      <c r="BS371" s="78"/>
      <c r="BT371" s="78"/>
      <c r="BU371" s="78"/>
      <c r="BV371" s="78"/>
      <c r="BW371" s="78"/>
      <c r="BX371" s="78"/>
      <c r="BY371" s="78"/>
      <c r="BZ371" s="78"/>
      <c r="CA371" s="78"/>
      <c r="CB371" s="78">
        <v>287.74</v>
      </c>
      <c r="CC371" s="231">
        <f t="shared" si="1013"/>
        <v>29550</v>
      </c>
    </row>
    <row r="372" spans="1:81" x14ac:dyDescent="0.25">
      <c r="B372" s="57">
        <v>29600</v>
      </c>
      <c r="C372" s="58">
        <f t="shared" si="989"/>
        <v>157.06780000000001</v>
      </c>
      <c r="D372" s="58">
        <f t="shared" si="990"/>
        <v>1634.4222</v>
      </c>
      <c r="E372" s="58">
        <f t="shared" si="1007"/>
        <v>0</v>
      </c>
      <c r="F372" s="58">
        <f t="shared" si="991"/>
        <v>5267.4609</v>
      </c>
      <c r="G372" s="58">
        <f t="shared" si="1008"/>
        <v>0</v>
      </c>
      <c r="H372" s="58">
        <f t="shared" si="1009"/>
        <v>0</v>
      </c>
      <c r="I372" s="58">
        <f t="shared" si="1010"/>
        <v>0</v>
      </c>
      <c r="J372" s="51">
        <f t="shared" si="1011"/>
        <v>0</v>
      </c>
      <c r="K372" s="99">
        <f t="shared" si="1012"/>
        <v>278.55</v>
      </c>
      <c r="L372" s="105">
        <f t="shared" si="914"/>
        <v>520</v>
      </c>
      <c r="M372" s="58">
        <f t="shared" si="915"/>
        <v>3279</v>
      </c>
      <c r="N372" s="58"/>
      <c r="O372" s="58">
        <f t="shared" si="934"/>
        <v>8820</v>
      </c>
      <c r="P372" s="58">
        <f t="shared" si="916"/>
        <v>0</v>
      </c>
      <c r="Q372" s="58">
        <f t="shared" si="917"/>
        <v>0</v>
      </c>
      <c r="R372" s="58">
        <f t="shared" si="918"/>
        <v>0</v>
      </c>
      <c r="S372" s="58">
        <f t="shared" si="919"/>
        <v>0</v>
      </c>
      <c r="T372" s="58">
        <f t="shared" si="1014"/>
        <v>1574</v>
      </c>
      <c r="V372" s="137"/>
      <c r="W372" s="58"/>
      <c r="X372" s="58"/>
      <c r="Y372" s="58"/>
      <c r="Z372" s="58"/>
      <c r="AA372" s="58"/>
      <c r="AB372" s="58"/>
      <c r="AC372" s="58"/>
      <c r="AD372" s="138"/>
      <c r="AF372" s="57">
        <f t="shared" si="999"/>
        <v>29600</v>
      </c>
      <c r="AG372" s="49">
        <v>157.06780000000001</v>
      </c>
      <c r="AH372" s="49"/>
      <c r="AI372" s="49"/>
      <c r="AJ372" s="49"/>
      <c r="AK372" s="49"/>
      <c r="AL372" s="49"/>
      <c r="AM372" s="49"/>
      <c r="AN372" s="49"/>
      <c r="AO372" s="49"/>
      <c r="AP372" s="49"/>
      <c r="AQ372" s="49"/>
      <c r="AR372" s="49"/>
      <c r="AS372" s="49"/>
      <c r="AT372" s="49"/>
      <c r="AU372" s="49"/>
      <c r="AV372" s="49"/>
      <c r="AW372" s="49"/>
      <c r="AX372" s="49">
        <v>1634.4222</v>
      </c>
      <c r="AY372" s="49"/>
      <c r="AZ372" s="49"/>
      <c r="BA372" s="49"/>
      <c r="BB372" s="49"/>
      <c r="BC372" s="49"/>
      <c r="BD372" s="49"/>
      <c r="BE372" s="49"/>
      <c r="BF372" s="49"/>
      <c r="BG372" s="49"/>
      <c r="BH372" s="49"/>
      <c r="BI372" s="49"/>
      <c r="BJ372" s="49"/>
      <c r="BK372" s="49">
        <v>5267.4609</v>
      </c>
      <c r="BL372" s="49"/>
      <c r="BM372" s="49"/>
      <c r="BN372" s="49"/>
      <c r="BO372" s="49"/>
      <c r="BP372" s="49"/>
      <c r="BQ372" s="49"/>
      <c r="BR372" s="49"/>
      <c r="BS372" s="49"/>
      <c r="BT372" s="49"/>
      <c r="BU372" s="49"/>
      <c r="BV372" s="49"/>
      <c r="BW372" s="49"/>
      <c r="BX372" s="49"/>
      <c r="BY372" s="49"/>
      <c r="BZ372" s="49"/>
      <c r="CA372" s="49"/>
      <c r="CB372" s="49">
        <v>278.55</v>
      </c>
      <c r="CC372" s="231">
        <f t="shared" si="1013"/>
        <v>29600</v>
      </c>
    </row>
    <row r="373" spans="1:81" s="3" customFormat="1" ht="15.75" thickBot="1" x14ac:dyDescent="0.3">
      <c r="B373" s="158">
        <v>29650</v>
      </c>
      <c r="C373" s="144">
        <f t="shared" si="989"/>
        <v>0</v>
      </c>
      <c r="D373" s="144">
        <f t="shared" si="990"/>
        <v>1380.7844</v>
      </c>
      <c r="E373" s="144">
        <f t="shared" si="1007"/>
        <v>0</v>
      </c>
      <c r="F373" s="144">
        <f t="shared" si="991"/>
        <v>5414.0698000000002</v>
      </c>
      <c r="G373" s="144">
        <f t="shared" si="1008"/>
        <v>0</v>
      </c>
      <c r="H373" s="144">
        <f t="shared" si="1009"/>
        <v>0</v>
      </c>
      <c r="I373" s="144">
        <f t="shared" si="1010"/>
        <v>0</v>
      </c>
      <c r="J373" s="159">
        <f t="shared" si="1011"/>
        <v>0</v>
      </c>
      <c r="K373" s="160">
        <f t="shared" si="1012"/>
        <v>259.22000000000003</v>
      </c>
      <c r="L373" s="152">
        <f t="shared" si="914"/>
        <v>146</v>
      </c>
      <c r="M373" s="144">
        <f t="shared" si="915"/>
        <v>2792</v>
      </c>
      <c r="N373" s="144"/>
      <c r="O373" s="144">
        <f t="shared" si="934"/>
        <v>9891</v>
      </c>
      <c r="P373" s="144">
        <f t="shared" si="916"/>
        <v>0</v>
      </c>
      <c r="Q373" s="144">
        <f t="shared" si="917"/>
        <v>0</v>
      </c>
      <c r="R373" s="144">
        <f t="shared" si="918"/>
        <v>0</v>
      </c>
      <c r="S373" s="144">
        <f t="shared" si="919"/>
        <v>0</v>
      </c>
      <c r="T373" s="144">
        <f t="shared" si="1014"/>
        <v>1494</v>
      </c>
      <c r="V373" s="150">
        <f>L371+L372+L373</f>
        <v>1501</v>
      </c>
      <c r="W373" s="150">
        <f t="shared" ref="W373" si="1071">M371+M372+M373</f>
        <v>9869</v>
      </c>
      <c r="X373" s="150"/>
      <c r="Y373" s="150">
        <f t="shared" ref="Y373" si="1072">O371+O372+O373</f>
        <v>24990</v>
      </c>
      <c r="Z373" s="150">
        <f t="shared" ref="Z373" si="1073">P371+P372+P373</f>
        <v>0</v>
      </c>
      <c r="AA373" s="150">
        <f t="shared" ref="AA373" si="1074">Q371+Q372+Q373</f>
        <v>0</v>
      </c>
      <c r="AB373" s="150">
        <f t="shared" ref="AB373" si="1075">R371+R372+R373</f>
        <v>0</v>
      </c>
      <c r="AC373" s="150">
        <f t="shared" ref="AC373" si="1076">S371+S372+S373</f>
        <v>0</v>
      </c>
      <c r="AD373" s="150">
        <f t="shared" ref="AD373" si="1077">T371+T372+T373</f>
        <v>4675</v>
      </c>
      <c r="AF373" s="158">
        <f t="shared" si="999"/>
        <v>29650</v>
      </c>
      <c r="AG373" s="149"/>
      <c r="AH373" s="149"/>
      <c r="AI373" s="149"/>
      <c r="AJ373" s="149"/>
      <c r="AK373" s="149"/>
      <c r="AL373" s="149"/>
      <c r="AM373" s="149"/>
      <c r="AN373" s="149"/>
      <c r="AO373" s="149"/>
      <c r="AP373" s="149"/>
      <c r="AQ373" s="149"/>
      <c r="AR373" s="149"/>
      <c r="AS373" s="149"/>
      <c r="AT373" s="149"/>
      <c r="AU373" s="149"/>
      <c r="AV373" s="149"/>
      <c r="AW373" s="149"/>
      <c r="AX373" s="149">
        <v>1380.7844</v>
      </c>
      <c r="AY373" s="149"/>
      <c r="AZ373" s="149"/>
      <c r="BA373" s="149"/>
      <c r="BB373" s="149"/>
      <c r="BC373" s="149"/>
      <c r="BD373" s="149"/>
      <c r="BE373" s="149"/>
      <c r="BF373" s="149"/>
      <c r="BG373" s="149"/>
      <c r="BH373" s="149"/>
      <c r="BI373" s="149"/>
      <c r="BJ373" s="149"/>
      <c r="BK373" s="149">
        <v>5414.0698000000002</v>
      </c>
      <c r="BL373" s="149"/>
      <c r="BM373" s="149"/>
      <c r="BN373" s="149"/>
      <c r="BO373" s="149"/>
      <c r="BP373" s="149"/>
      <c r="BQ373" s="149"/>
      <c r="BR373" s="149"/>
      <c r="BS373" s="149"/>
      <c r="BT373" s="149"/>
      <c r="BU373" s="149"/>
      <c r="BV373" s="149"/>
      <c r="BW373" s="149"/>
      <c r="BX373" s="149"/>
      <c r="BY373" s="149"/>
      <c r="BZ373" s="149"/>
      <c r="CA373" s="149"/>
      <c r="CB373" s="149">
        <v>259.22000000000003</v>
      </c>
      <c r="CC373" s="231">
        <f t="shared" si="1013"/>
        <v>29650</v>
      </c>
    </row>
    <row r="374" spans="1:81" x14ac:dyDescent="0.25">
      <c r="B374" s="155">
        <v>29700</v>
      </c>
      <c r="C374" s="147">
        <f t="shared" si="989"/>
        <v>0</v>
      </c>
      <c r="D374" s="147">
        <f t="shared" si="990"/>
        <v>0</v>
      </c>
      <c r="E374" s="147">
        <f t="shared" si="1007"/>
        <v>5683.3768</v>
      </c>
      <c r="F374" s="147">
        <f t="shared" si="991"/>
        <v>0</v>
      </c>
      <c r="G374" s="147">
        <f t="shared" si="1008"/>
        <v>0</v>
      </c>
      <c r="H374" s="147">
        <f t="shared" si="1009"/>
        <v>0</v>
      </c>
      <c r="I374" s="147">
        <f t="shared" si="1010"/>
        <v>0</v>
      </c>
      <c r="J374" s="156">
        <f t="shared" si="1011"/>
        <v>0</v>
      </c>
      <c r="K374" s="157">
        <f t="shared" si="1012"/>
        <v>235.25</v>
      </c>
      <c r="L374" s="151">
        <f t="shared" si="914"/>
        <v>0</v>
      </c>
      <c r="M374" s="147">
        <f t="shared" si="915"/>
        <v>1279</v>
      </c>
      <c r="N374" s="147">
        <f>ROUNDUP(((E373+E374)*0.5)*(B374-29675)/27,0)</f>
        <v>2632</v>
      </c>
      <c r="O374" s="147">
        <f t="shared" si="934"/>
        <v>5014</v>
      </c>
      <c r="P374" s="147">
        <f t="shared" si="916"/>
        <v>0</v>
      </c>
      <c r="Q374" s="147">
        <f t="shared" si="917"/>
        <v>0</v>
      </c>
      <c r="R374" s="147">
        <f t="shared" si="918"/>
        <v>0</v>
      </c>
      <c r="S374" s="147">
        <f t="shared" si="919"/>
        <v>0</v>
      </c>
      <c r="T374" s="147">
        <f t="shared" si="1014"/>
        <v>1374</v>
      </c>
      <c r="V374" s="146"/>
      <c r="W374" s="147"/>
      <c r="X374" s="147"/>
      <c r="Y374" s="147"/>
      <c r="Z374" s="147"/>
      <c r="AA374" s="147"/>
      <c r="AB374" s="147"/>
      <c r="AC374" s="147"/>
      <c r="AD374" s="148"/>
      <c r="AF374" s="155">
        <f t="shared" si="999"/>
        <v>29700</v>
      </c>
      <c r="AG374" s="78"/>
      <c r="AH374" s="78"/>
      <c r="AI374" s="78"/>
      <c r="AJ374" s="78"/>
      <c r="AK374" s="78"/>
      <c r="AL374" s="78"/>
      <c r="AM374" s="78"/>
      <c r="AN374" s="78"/>
      <c r="AO374" s="78"/>
      <c r="AP374" s="78"/>
      <c r="AQ374" s="78"/>
      <c r="AR374" s="78"/>
      <c r="AS374" s="78"/>
      <c r="AT374" s="78"/>
      <c r="AU374" s="78"/>
      <c r="AV374" s="78"/>
      <c r="AW374" s="78"/>
      <c r="AX374" s="78"/>
      <c r="AY374" s="78"/>
      <c r="AZ374" s="78"/>
      <c r="BA374" s="78"/>
      <c r="BB374" s="78"/>
      <c r="BC374" s="78"/>
      <c r="BD374" s="78"/>
      <c r="BE374" s="78"/>
      <c r="BF374" s="78"/>
      <c r="BG374" s="78"/>
      <c r="BH374" s="78">
        <v>5683.3768</v>
      </c>
      <c r="BI374" s="78"/>
      <c r="BJ374" s="78"/>
      <c r="BK374" s="78"/>
      <c r="BL374" s="78"/>
      <c r="BM374" s="78"/>
      <c r="BN374" s="78"/>
      <c r="BO374" s="78"/>
      <c r="BP374" s="78"/>
      <c r="BQ374" s="78"/>
      <c r="BR374" s="78"/>
      <c r="BS374" s="78"/>
      <c r="BT374" s="78"/>
      <c r="BU374" s="78"/>
      <c r="BV374" s="78"/>
      <c r="BW374" s="78"/>
      <c r="BX374" s="78"/>
      <c r="BY374" s="78"/>
      <c r="BZ374" s="78"/>
      <c r="CA374" s="78"/>
      <c r="CB374" s="78">
        <v>235.25</v>
      </c>
      <c r="CC374" s="231">
        <f t="shared" si="1013"/>
        <v>29700</v>
      </c>
    </row>
    <row r="375" spans="1:81" x14ac:dyDescent="0.25">
      <c r="B375" s="57">
        <v>29750</v>
      </c>
      <c r="C375" s="58">
        <f t="shared" si="989"/>
        <v>28.1388</v>
      </c>
      <c r="D375" s="58">
        <f t="shared" si="990"/>
        <v>0</v>
      </c>
      <c r="E375" s="58">
        <f t="shared" si="1007"/>
        <v>4601.7358000000004</v>
      </c>
      <c r="F375" s="58">
        <f t="shared" si="991"/>
        <v>0</v>
      </c>
      <c r="G375" s="58">
        <f t="shared" si="1008"/>
        <v>0</v>
      </c>
      <c r="H375" s="58">
        <f t="shared" si="1009"/>
        <v>0</v>
      </c>
      <c r="I375" s="58">
        <f t="shared" si="1010"/>
        <v>0</v>
      </c>
      <c r="J375" s="51">
        <f t="shared" si="1011"/>
        <v>0</v>
      </c>
      <c r="K375" s="99">
        <f t="shared" si="1012"/>
        <v>258.51</v>
      </c>
      <c r="L375" s="105">
        <f t="shared" si="914"/>
        <v>27</v>
      </c>
      <c r="M375" s="58">
        <f t="shared" si="915"/>
        <v>0</v>
      </c>
      <c r="N375" s="58">
        <f>ROUNDUP(((E374+E375)*0.5)*(B375-B374)/27,0)</f>
        <v>9524</v>
      </c>
      <c r="O375" s="58">
        <f t="shared" si="934"/>
        <v>0</v>
      </c>
      <c r="P375" s="58">
        <f t="shared" si="916"/>
        <v>0</v>
      </c>
      <c r="Q375" s="58">
        <f t="shared" si="917"/>
        <v>0</v>
      </c>
      <c r="R375" s="58">
        <f t="shared" si="918"/>
        <v>0</v>
      </c>
      <c r="S375" s="58">
        <f t="shared" si="919"/>
        <v>0</v>
      </c>
      <c r="T375" s="58">
        <f t="shared" si="1014"/>
        <v>1372</v>
      </c>
      <c r="V375" s="137"/>
      <c r="W375" s="58"/>
      <c r="X375" s="58"/>
      <c r="Y375" s="58"/>
      <c r="Z375" s="58"/>
      <c r="AA375" s="58"/>
      <c r="AB375" s="58"/>
      <c r="AC375" s="58"/>
      <c r="AD375" s="138"/>
      <c r="AF375" s="57">
        <f t="shared" si="999"/>
        <v>29750</v>
      </c>
      <c r="AG375" s="49">
        <v>28.1388</v>
      </c>
      <c r="AH375" s="49"/>
      <c r="AI375" s="49"/>
      <c r="AJ375" s="49"/>
      <c r="AK375" s="49"/>
      <c r="AL375" s="49"/>
      <c r="AM375" s="49"/>
      <c r="AN375" s="49"/>
      <c r="AO375" s="49"/>
      <c r="AP375" s="49"/>
      <c r="AQ375" s="49"/>
      <c r="AR375" s="49"/>
      <c r="AS375" s="49"/>
      <c r="AT375" s="49"/>
      <c r="AU375" s="49"/>
      <c r="AV375" s="49"/>
      <c r="AW375" s="49"/>
      <c r="AX375" s="49"/>
      <c r="AY375" s="49"/>
      <c r="AZ375" s="49"/>
      <c r="BA375" s="49"/>
      <c r="BB375" s="49"/>
      <c r="BC375" s="49"/>
      <c r="BD375" s="49"/>
      <c r="BE375" s="49"/>
      <c r="BF375" s="49"/>
      <c r="BG375" s="49"/>
      <c r="BH375" s="49">
        <v>4601.7358000000004</v>
      </c>
      <c r="BI375" s="49"/>
      <c r="BJ375" s="49"/>
      <c r="BK375" s="49"/>
      <c r="BL375" s="49"/>
      <c r="BM375" s="49"/>
      <c r="BN375" s="49"/>
      <c r="BO375" s="49"/>
      <c r="BP375" s="49"/>
      <c r="BQ375" s="49"/>
      <c r="BR375" s="49"/>
      <c r="BS375" s="49"/>
      <c r="BT375" s="49"/>
      <c r="BU375" s="49"/>
      <c r="BV375" s="49"/>
      <c r="BW375" s="49"/>
      <c r="BX375" s="49"/>
      <c r="BY375" s="49"/>
      <c r="BZ375" s="49"/>
      <c r="CA375" s="49"/>
      <c r="CB375" s="49">
        <v>258.51</v>
      </c>
      <c r="CC375" s="231">
        <f t="shared" si="1013"/>
        <v>29750</v>
      </c>
    </row>
    <row r="376" spans="1:81" s="177" customFormat="1" ht="15.75" thickBot="1" x14ac:dyDescent="0.3">
      <c r="A376" s="449" t="s">
        <v>38</v>
      </c>
      <c r="B376" s="182">
        <v>29768.48</v>
      </c>
      <c r="C376" s="144">
        <f t="shared" si="989"/>
        <v>56.417700000000004</v>
      </c>
      <c r="D376" s="144">
        <f t="shared" si="990"/>
        <v>0</v>
      </c>
      <c r="E376" s="144">
        <f t="shared" si="1007"/>
        <v>4381.5128000000004</v>
      </c>
      <c r="F376" s="173">
        <f t="shared" si="991"/>
        <v>0</v>
      </c>
      <c r="G376" s="173">
        <f t="shared" si="1008"/>
        <v>0</v>
      </c>
      <c r="H376" s="173">
        <f t="shared" si="1009"/>
        <v>0</v>
      </c>
      <c r="I376" s="173">
        <f t="shared" si="1010"/>
        <v>0</v>
      </c>
      <c r="J376" s="174">
        <f t="shared" si="1011"/>
        <v>0</v>
      </c>
      <c r="K376" s="175">
        <f t="shared" si="1012"/>
        <v>213.6</v>
      </c>
      <c r="L376" s="183">
        <f t="shared" si="914"/>
        <v>29</v>
      </c>
      <c r="M376" s="184">
        <f t="shared" si="915"/>
        <v>0</v>
      </c>
      <c r="N376" s="184">
        <f>ROUNDUP(((E375+E376)*0.5)*(B376-B375)/27,0)</f>
        <v>3075</v>
      </c>
      <c r="O376" s="184">
        <f t="shared" si="934"/>
        <v>0</v>
      </c>
      <c r="P376" s="184">
        <f t="shared" si="916"/>
        <v>0</v>
      </c>
      <c r="Q376" s="184">
        <f t="shared" si="917"/>
        <v>0</v>
      </c>
      <c r="R376" s="184">
        <f t="shared" si="918"/>
        <v>0</v>
      </c>
      <c r="S376" s="184">
        <f t="shared" si="919"/>
        <v>0</v>
      </c>
      <c r="T376" s="184">
        <f t="shared" si="1014"/>
        <v>485</v>
      </c>
      <c r="V376" s="150">
        <f>L374+L375+L376</f>
        <v>56</v>
      </c>
      <c r="W376" s="150">
        <f t="shared" ref="W376" si="1078">M374+M375+M376</f>
        <v>1279</v>
      </c>
      <c r="X376" s="150">
        <f>N374+N375+N376</f>
        <v>15231</v>
      </c>
      <c r="Y376" s="150">
        <f t="shared" ref="Y376" si="1079">O374+O375+O376</f>
        <v>5014</v>
      </c>
      <c r="Z376" s="150">
        <f t="shared" ref="Z376" si="1080">P374+P375+P376</f>
        <v>0</v>
      </c>
      <c r="AA376" s="150">
        <f t="shared" ref="AA376" si="1081">Q374+Q375+Q376</f>
        <v>0</v>
      </c>
      <c r="AB376" s="150">
        <f t="shared" ref="AB376" si="1082">R374+R375+R376</f>
        <v>0</v>
      </c>
      <c r="AC376" s="150">
        <f t="shared" ref="AC376" si="1083">S374+S375+S376</f>
        <v>0</v>
      </c>
      <c r="AD376" s="150">
        <f t="shared" ref="AD376" si="1084">T374+T375+T376</f>
        <v>3231</v>
      </c>
      <c r="AF376" s="182">
        <f t="shared" si="999"/>
        <v>29768.48</v>
      </c>
      <c r="AG376" s="178">
        <v>56.417700000000004</v>
      </c>
      <c r="AH376" s="178"/>
      <c r="AI376" s="178"/>
      <c r="AJ376" s="178"/>
      <c r="AK376" s="178"/>
      <c r="AL376" s="178"/>
      <c r="AM376" s="178"/>
      <c r="AN376" s="178"/>
      <c r="AO376" s="178"/>
      <c r="AP376" s="178"/>
      <c r="AQ376" s="178"/>
      <c r="AR376" s="178"/>
      <c r="AS376" s="178"/>
      <c r="AT376" s="178"/>
      <c r="AU376" s="178"/>
      <c r="AV376" s="178"/>
      <c r="AW376" s="178"/>
      <c r="AX376" s="178"/>
      <c r="AY376" s="178"/>
      <c r="AZ376" s="178"/>
      <c r="BA376" s="178"/>
      <c r="BB376" s="178"/>
      <c r="BC376" s="178"/>
      <c r="BD376" s="178"/>
      <c r="BE376" s="178"/>
      <c r="BF376" s="178"/>
      <c r="BG376" s="178"/>
      <c r="BH376" s="178">
        <v>4381.5128000000004</v>
      </c>
      <c r="BI376" s="178"/>
      <c r="BJ376" s="178"/>
      <c r="BK376" s="178"/>
      <c r="BL376" s="178"/>
      <c r="BM376" s="178"/>
      <c r="BN376" s="178"/>
      <c r="BO376" s="178"/>
      <c r="BP376" s="178"/>
      <c r="BQ376" s="178"/>
      <c r="BR376" s="178"/>
      <c r="BS376" s="178"/>
      <c r="BT376" s="178"/>
      <c r="BU376" s="178"/>
      <c r="BV376" s="178"/>
      <c r="BW376" s="178"/>
      <c r="BX376" s="178"/>
      <c r="BY376" s="178"/>
      <c r="BZ376" s="178"/>
      <c r="CA376" s="178"/>
      <c r="CB376" s="178">
        <v>213.6</v>
      </c>
      <c r="CC376" s="231">
        <f t="shared" si="1013"/>
        <v>29768.48</v>
      </c>
    </row>
    <row r="377" spans="1:81" s="80" customFormat="1" x14ac:dyDescent="0.25">
      <c r="A377" s="449"/>
      <c r="B377" s="278"/>
      <c r="C377" s="306"/>
      <c r="D377" s="306"/>
      <c r="E377" s="306">
        <v>0</v>
      </c>
      <c r="F377" s="279"/>
      <c r="G377" s="279"/>
      <c r="H377" s="279"/>
      <c r="I377" s="279"/>
      <c r="J377" s="280"/>
      <c r="K377" s="281"/>
      <c r="L377" s="282"/>
      <c r="M377" s="283"/>
      <c r="N377" s="246">
        <f>ROUNDUP(((E376+E377)*0.5)*(29858-B376)/27,0)</f>
        <v>7264</v>
      </c>
      <c r="O377" s="283"/>
      <c r="P377" s="283"/>
      <c r="Q377" s="283"/>
      <c r="R377" s="283"/>
      <c r="S377" s="283"/>
      <c r="T377" s="283"/>
      <c r="V377" s="284"/>
      <c r="W377" s="285"/>
      <c r="X377" s="285"/>
      <c r="Y377" s="285"/>
      <c r="Z377" s="285"/>
      <c r="AA377" s="285"/>
      <c r="AB377" s="285"/>
      <c r="AC377" s="285"/>
      <c r="AD377" s="286"/>
      <c r="AF377" s="278"/>
      <c r="AG377" s="287"/>
      <c r="AH377" s="287"/>
      <c r="AI377" s="287"/>
      <c r="AJ377" s="287"/>
      <c r="AK377" s="287"/>
      <c r="AL377" s="287"/>
      <c r="AM377" s="287"/>
      <c r="AN377" s="287"/>
      <c r="AO377" s="287"/>
      <c r="AP377" s="287"/>
      <c r="AQ377" s="287"/>
      <c r="AR377" s="287"/>
      <c r="AS377" s="287"/>
      <c r="AT377" s="287"/>
      <c r="AU377" s="287"/>
      <c r="AV377" s="287"/>
      <c r="AW377" s="287"/>
      <c r="AX377" s="287"/>
      <c r="AY377" s="287"/>
      <c r="AZ377" s="287"/>
      <c r="BA377" s="287"/>
      <c r="BB377" s="287"/>
      <c r="BC377" s="287"/>
      <c r="BD377" s="287"/>
      <c r="BE377" s="287"/>
      <c r="BF377" s="287"/>
      <c r="BG377" s="287"/>
      <c r="BH377" s="287"/>
      <c r="BI377" s="287"/>
      <c r="BJ377" s="287"/>
      <c r="BK377" s="287"/>
      <c r="BL377" s="287"/>
      <c r="BM377" s="287"/>
      <c r="BN377" s="287"/>
      <c r="BO377" s="287"/>
      <c r="BP377" s="287"/>
      <c r="BQ377" s="287"/>
      <c r="BR377" s="287"/>
      <c r="BS377" s="287"/>
      <c r="BT377" s="287"/>
      <c r="BU377" s="287"/>
      <c r="BV377" s="287"/>
      <c r="BW377" s="287"/>
      <c r="BX377" s="287"/>
      <c r="BY377" s="287"/>
      <c r="BZ377" s="287"/>
      <c r="CA377" s="287"/>
      <c r="CB377" s="287"/>
      <c r="CC377" s="231"/>
    </row>
    <row r="378" spans="1:81" s="80" customFormat="1" x14ac:dyDescent="0.25">
      <c r="A378" s="449"/>
      <c r="B378" s="132">
        <v>30081.52</v>
      </c>
      <c r="C378" s="147">
        <f t="shared" si="989"/>
        <v>0</v>
      </c>
      <c r="D378" s="147">
        <f t="shared" si="990"/>
        <v>0</v>
      </c>
      <c r="E378" s="147">
        <f t="shared" si="1007"/>
        <v>1713.7363</v>
      </c>
      <c r="F378" s="169">
        <f t="shared" si="991"/>
        <v>0</v>
      </c>
      <c r="G378" s="169">
        <f t="shared" si="1008"/>
        <v>0</v>
      </c>
      <c r="H378" s="169">
        <f t="shared" si="1009"/>
        <v>0</v>
      </c>
      <c r="I378" s="169">
        <f t="shared" si="1010"/>
        <v>0</v>
      </c>
      <c r="J378" s="170">
        <f t="shared" si="1011"/>
        <v>0</v>
      </c>
      <c r="K378" s="171">
        <f t="shared" si="1012"/>
        <v>115.98</v>
      </c>
      <c r="L378" s="179"/>
      <c r="M378" s="169"/>
      <c r="N378" s="84">
        <f>ROUNDUP(((E377+E378)*0.5)*(B378-30006)/27,0)</f>
        <v>2397</v>
      </c>
      <c r="O378" s="169"/>
      <c r="P378" s="169"/>
      <c r="Q378" s="169"/>
      <c r="R378" s="169"/>
      <c r="S378" s="169"/>
      <c r="T378" s="169"/>
      <c r="V378" s="180"/>
      <c r="W378" s="169"/>
      <c r="X378" s="169"/>
      <c r="Y378" s="169"/>
      <c r="Z378" s="169"/>
      <c r="AA378" s="169"/>
      <c r="AB378" s="169"/>
      <c r="AC378" s="169"/>
      <c r="AD378" s="181"/>
      <c r="AF378" s="132">
        <f t="shared" si="999"/>
        <v>30081.52</v>
      </c>
      <c r="AG378" s="172"/>
      <c r="AH378" s="172"/>
      <c r="AI378" s="172"/>
      <c r="AJ378" s="172"/>
      <c r="AK378" s="172"/>
      <c r="AL378" s="172"/>
      <c r="AM378" s="172"/>
      <c r="AN378" s="172"/>
      <c r="AO378" s="172"/>
      <c r="AP378" s="172"/>
      <c r="AQ378" s="172"/>
      <c r="AR378" s="172"/>
      <c r="AS378" s="172"/>
      <c r="AT378" s="172"/>
      <c r="AU378" s="172"/>
      <c r="AV378" s="172"/>
      <c r="AW378" s="172"/>
      <c r="AX378" s="172"/>
      <c r="AY378" s="172"/>
      <c r="AZ378" s="172"/>
      <c r="BA378" s="172"/>
      <c r="BB378" s="172"/>
      <c r="BC378" s="172"/>
      <c r="BD378" s="172"/>
      <c r="BE378" s="172"/>
      <c r="BF378" s="172"/>
      <c r="BG378" s="172"/>
      <c r="BH378" s="172">
        <v>1713.7363</v>
      </c>
      <c r="BI378" s="172"/>
      <c r="BJ378" s="172"/>
      <c r="BK378" s="172"/>
      <c r="BL378" s="172"/>
      <c r="BM378" s="172"/>
      <c r="BN378" s="172"/>
      <c r="BO378" s="172"/>
      <c r="BP378" s="172"/>
      <c r="BQ378" s="172"/>
      <c r="BR378" s="172"/>
      <c r="BS378" s="172"/>
      <c r="BT378" s="172"/>
      <c r="BU378" s="172"/>
      <c r="BV378" s="172"/>
      <c r="BW378" s="172"/>
      <c r="BX378" s="172"/>
      <c r="BY378" s="172"/>
      <c r="BZ378" s="172"/>
      <c r="CA378" s="172"/>
      <c r="CB378" s="172">
        <v>115.98</v>
      </c>
      <c r="CC378" s="231">
        <f t="shared" si="1013"/>
        <v>30081.52</v>
      </c>
    </row>
    <row r="379" spans="1:81" x14ac:dyDescent="0.25">
      <c r="B379" s="307">
        <v>30100</v>
      </c>
      <c r="C379" s="58">
        <f t="shared" si="989"/>
        <v>0</v>
      </c>
      <c r="D379" s="58">
        <f t="shared" si="990"/>
        <v>1766.6007</v>
      </c>
      <c r="E379" s="58">
        <f t="shared" si="1007"/>
        <v>0</v>
      </c>
      <c r="F379" s="58">
        <f t="shared" si="991"/>
        <v>0</v>
      </c>
      <c r="G379" s="58">
        <f t="shared" si="1008"/>
        <v>0</v>
      </c>
      <c r="H379" s="58">
        <f t="shared" si="1009"/>
        <v>0</v>
      </c>
      <c r="I379" s="58">
        <f t="shared" si="1010"/>
        <v>0</v>
      </c>
      <c r="J379" s="51">
        <f t="shared" si="1011"/>
        <v>0</v>
      </c>
      <c r="K379" s="99">
        <f t="shared" si="1012"/>
        <v>136.91</v>
      </c>
      <c r="L379" s="339">
        <f>ROUNDUP(((C378+C379)*0.5)*(B379-B378)/27,0)</f>
        <v>0</v>
      </c>
      <c r="M379" s="119">
        <f>ROUNDUP(((D378+D379)*0.5)*(B379-B378)/27,0)</f>
        <v>605</v>
      </c>
      <c r="N379" s="119">
        <f>ROUNDUP(((E378+E379)*0.5)*(B379-B378)/27,0)</f>
        <v>587</v>
      </c>
      <c r="O379" s="119">
        <f>ROUNDUP(((F378+F379)*0.5)*(B379-B378)/27,0)</f>
        <v>0</v>
      </c>
      <c r="P379" s="119">
        <f>ROUNDUP(((G379+G378)*0.5)*(B379-B378)/27,0)</f>
        <v>0</v>
      </c>
      <c r="Q379" s="119">
        <f>ROUNDUP(((H379+H378)*0.5)*(B379-B378)/27,0)</f>
        <v>0</v>
      </c>
      <c r="R379" s="119">
        <f>ROUNDUP(((I379+I378)*0.5)*(B379-B378)/9,0)</f>
        <v>0</v>
      </c>
      <c r="S379" s="119">
        <f>ROUNDUP(((J379+J378)*0.5)*(B379-B378)/9,0)</f>
        <v>0</v>
      </c>
      <c r="T379" s="119">
        <f t="shared" si="1014"/>
        <v>260</v>
      </c>
      <c r="V379" s="137"/>
      <c r="W379" s="58"/>
      <c r="X379" s="58"/>
      <c r="Y379" s="58"/>
      <c r="Z379" s="58"/>
      <c r="AA379" s="58"/>
      <c r="AB379" s="58"/>
      <c r="AC379" s="58"/>
      <c r="AD379" s="138"/>
      <c r="AF379" s="57">
        <f t="shared" si="999"/>
        <v>30100</v>
      </c>
      <c r="AG379" s="49"/>
      <c r="AH379" s="49"/>
      <c r="AI379" s="49"/>
      <c r="AJ379" s="49"/>
      <c r="AK379" s="49"/>
      <c r="AL379" s="49"/>
      <c r="AM379" s="49"/>
      <c r="AN379" s="49"/>
      <c r="AO379" s="49"/>
      <c r="AP379" s="49"/>
      <c r="AQ379" s="49"/>
      <c r="AR379" s="49"/>
      <c r="AS379" s="49"/>
      <c r="AT379" s="49"/>
      <c r="AU379" s="49"/>
      <c r="AV379" s="49"/>
      <c r="AW379" s="49"/>
      <c r="AX379" s="49">
        <v>1766.6007</v>
      </c>
      <c r="AY379" s="49"/>
      <c r="AZ379" s="49"/>
      <c r="BA379" s="49"/>
      <c r="BB379" s="49"/>
      <c r="BC379" s="49"/>
      <c r="BD379" s="49"/>
      <c r="BE379" s="49"/>
      <c r="BF379" s="49"/>
      <c r="BG379" s="49"/>
      <c r="BH379" s="49"/>
      <c r="BI379" s="49"/>
      <c r="BJ379" s="49"/>
      <c r="BK379" s="49"/>
      <c r="BL379" s="49"/>
      <c r="BM379" s="49"/>
      <c r="BN379" s="49"/>
      <c r="BO379" s="49"/>
      <c r="BP379" s="49"/>
      <c r="BQ379" s="49"/>
      <c r="BR379" s="49"/>
      <c r="BS379" s="49"/>
      <c r="BT379" s="49"/>
      <c r="BU379" s="49"/>
      <c r="BV379" s="49"/>
      <c r="BW379" s="49"/>
      <c r="BX379" s="49"/>
      <c r="BY379" s="49"/>
      <c r="BZ379" s="49"/>
      <c r="CA379" s="49"/>
      <c r="CB379" s="49">
        <v>136.91</v>
      </c>
      <c r="CC379" s="231">
        <f t="shared" si="1013"/>
        <v>30100</v>
      </c>
    </row>
    <row r="380" spans="1:81" s="3" customFormat="1" ht="15.75" thickBot="1" x14ac:dyDescent="0.3">
      <c r="B380" s="308">
        <v>30150</v>
      </c>
      <c r="C380" s="144">
        <f t="shared" si="989"/>
        <v>633.98530000000005</v>
      </c>
      <c r="D380" s="144">
        <f t="shared" si="990"/>
        <v>199.85929999999999</v>
      </c>
      <c r="E380" s="144">
        <f t="shared" si="1007"/>
        <v>0</v>
      </c>
      <c r="F380" s="144">
        <f t="shared" si="991"/>
        <v>937.59199999999998</v>
      </c>
      <c r="G380" s="144">
        <f t="shared" si="1008"/>
        <v>0</v>
      </c>
      <c r="H380" s="144">
        <f t="shared" si="1009"/>
        <v>0</v>
      </c>
      <c r="I380" s="144">
        <f t="shared" si="1010"/>
        <v>0</v>
      </c>
      <c r="J380" s="159">
        <f t="shared" si="1011"/>
        <v>0</v>
      </c>
      <c r="K380" s="160">
        <f t="shared" si="1012"/>
        <v>201.55</v>
      </c>
      <c r="L380" s="340">
        <f t="shared" ref="L380:L442" si="1085">ROUNDUP(((C379+C380)*0.5)*(B380-B379)/27,0)</f>
        <v>588</v>
      </c>
      <c r="M380" s="247">
        <f t="shared" ref="M380:M442" si="1086">ROUNDUP(((D379+D380)*0.5)*(B380-B379)/27,0)</f>
        <v>1821</v>
      </c>
      <c r="N380" s="247"/>
      <c r="O380" s="247">
        <f t="shared" ref="O380:O441" si="1087">ROUNDUP(((F379+F380)*0.5)*(B380-B379)/27,0)</f>
        <v>869</v>
      </c>
      <c r="P380" s="247">
        <f t="shared" ref="P380:P442" si="1088">ROUNDUP(((G380+G379)*0.5)*(B380-B379)/27,0)</f>
        <v>0</v>
      </c>
      <c r="Q380" s="247">
        <f t="shared" ref="Q380:Q442" si="1089">ROUNDUP(((H380+H379)*0.5)*(B380-B379)/27,0)</f>
        <v>0</v>
      </c>
      <c r="R380" s="247">
        <f t="shared" ref="R380:R442" si="1090">ROUNDUP(((I380+I379)*0.5)*(B380-B379)/9,0)</f>
        <v>0</v>
      </c>
      <c r="S380" s="247">
        <f t="shared" ref="S380:S442" si="1091">ROUNDUP(((J380+J379)*0.5)*(B380-B379)/9,0)</f>
        <v>0</v>
      </c>
      <c r="T380" s="247">
        <f t="shared" si="1014"/>
        <v>941</v>
      </c>
      <c r="V380" s="150">
        <f>L378+L379+L380</f>
        <v>588</v>
      </c>
      <c r="W380" s="150">
        <f t="shared" ref="W380" si="1092">M378+M379+M380</f>
        <v>2426</v>
      </c>
      <c r="X380" s="150">
        <f>N377+N379+N380+N378</f>
        <v>10248</v>
      </c>
      <c r="Y380" s="150">
        <f t="shared" ref="Y380" si="1093">O378+O379+O380</f>
        <v>869</v>
      </c>
      <c r="Z380" s="150">
        <f t="shared" ref="Z380" si="1094">P378+P379+P380</f>
        <v>0</v>
      </c>
      <c r="AA380" s="150">
        <f t="shared" ref="AA380" si="1095">Q378+Q379+Q380</f>
        <v>0</v>
      </c>
      <c r="AB380" s="150">
        <f t="shared" ref="AB380" si="1096">R378+R379+R380</f>
        <v>0</v>
      </c>
      <c r="AC380" s="150">
        <f t="shared" ref="AC380" si="1097">S378+S379+S380</f>
        <v>0</v>
      </c>
      <c r="AD380" s="150">
        <f t="shared" ref="AD380" si="1098">T378+T379+T380</f>
        <v>1201</v>
      </c>
      <c r="AF380" s="158">
        <f t="shared" si="999"/>
        <v>30150</v>
      </c>
      <c r="AG380" s="149">
        <v>633.98530000000005</v>
      </c>
      <c r="AH380" s="149"/>
      <c r="AI380" s="149"/>
      <c r="AJ380" s="149"/>
      <c r="AK380" s="149"/>
      <c r="AL380" s="149"/>
      <c r="AM380" s="149"/>
      <c r="AN380" s="149"/>
      <c r="AO380" s="149"/>
      <c r="AP380" s="149"/>
      <c r="AQ380" s="149"/>
      <c r="AR380" s="149"/>
      <c r="AS380" s="149"/>
      <c r="AT380" s="149"/>
      <c r="AU380" s="149"/>
      <c r="AV380" s="149"/>
      <c r="AW380" s="149"/>
      <c r="AX380" s="149">
        <v>199.85929999999999</v>
      </c>
      <c r="AY380" s="149"/>
      <c r="AZ380" s="149"/>
      <c r="BA380" s="149"/>
      <c r="BB380" s="149"/>
      <c r="BC380" s="149"/>
      <c r="BD380" s="149"/>
      <c r="BE380" s="149"/>
      <c r="BF380" s="149"/>
      <c r="BG380" s="149"/>
      <c r="BH380" s="149"/>
      <c r="BI380" s="149"/>
      <c r="BJ380" s="149"/>
      <c r="BK380" s="149">
        <v>937.59199999999998</v>
      </c>
      <c r="BL380" s="149"/>
      <c r="BM380" s="149"/>
      <c r="BN380" s="149"/>
      <c r="BO380" s="149"/>
      <c r="BP380" s="149"/>
      <c r="BQ380" s="149"/>
      <c r="BR380" s="149"/>
      <c r="BS380" s="149"/>
      <c r="BT380" s="149"/>
      <c r="BU380" s="149"/>
      <c r="BV380" s="149"/>
      <c r="BW380" s="149"/>
      <c r="BX380" s="149"/>
      <c r="BY380" s="149"/>
      <c r="BZ380" s="149"/>
      <c r="CA380" s="149"/>
      <c r="CB380" s="149">
        <v>201.55</v>
      </c>
      <c r="CC380" s="231">
        <f t="shared" si="1013"/>
        <v>30150</v>
      </c>
    </row>
    <row r="381" spans="1:81" x14ac:dyDescent="0.25">
      <c r="B381" s="155">
        <v>30200</v>
      </c>
      <c r="C381" s="147">
        <f t="shared" si="989"/>
        <v>2026.1376</v>
      </c>
      <c r="D381" s="147">
        <f t="shared" si="990"/>
        <v>107.131</v>
      </c>
      <c r="E381" s="147">
        <f t="shared" si="1007"/>
        <v>0</v>
      </c>
      <c r="F381" s="147">
        <f t="shared" si="991"/>
        <v>778.21090000000004</v>
      </c>
      <c r="G381" s="147">
        <f t="shared" si="1008"/>
        <v>0</v>
      </c>
      <c r="H381" s="147">
        <f t="shared" si="1009"/>
        <v>0</v>
      </c>
      <c r="I381" s="147">
        <f t="shared" si="1010"/>
        <v>0</v>
      </c>
      <c r="J381" s="156">
        <f t="shared" si="1011"/>
        <v>0</v>
      </c>
      <c r="K381" s="157">
        <f t="shared" si="1012"/>
        <v>228.38</v>
      </c>
      <c r="L381" s="151">
        <f t="shared" si="1085"/>
        <v>2464</v>
      </c>
      <c r="M381" s="147">
        <f t="shared" si="1086"/>
        <v>285</v>
      </c>
      <c r="N381" s="147"/>
      <c r="O381" s="147">
        <f t="shared" si="1087"/>
        <v>1589</v>
      </c>
      <c r="P381" s="147">
        <f t="shared" si="1088"/>
        <v>0</v>
      </c>
      <c r="Q381" s="147">
        <f t="shared" si="1089"/>
        <v>0</v>
      </c>
      <c r="R381" s="147">
        <f t="shared" si="1090"/>
        <v>0</v>
      </c>
      <c r="S381" s="147">
        <f t="shared" si="1091"/>
        <v>0</v>
      </c>
      <c r="T381" s="147">
        <f t="shared" si="1014"/>
        <v>1195</v>
      </c>
      <c r="V381" s="146"/>
      <c r="W381" s="147"/>
      <c r="X381" s="147"/>
      <c r="Y381" s="147"/>
      <c r="Z381" s="147"/>
      <c r="AA381" s="147"/>
      <c r="AB381" s="147"/>
      <c r="AC381" s="147"/>
      <c r="AD381" s="148"/>
      <c r="AF381" s="155">
        <f t="shared" si="999"/>
        <v>30200</v>
      </c>
      <c r="AG381" s="78">
        <v>1816.5735</v>
      </c>
      <c r="AH381" s="185">
        <v>55.346600000000002</v>
      </c>
      <c r="AI381" s="185">
        <v>96.355500000000006</v>
      </c>
      <c r="AJ381" s="185">
        <v>57.862000000000002</v>
      </c>
      <c r="AK381" s="78"/>
      <c r="AL381" s="78"/>
      <c r="AM381" s="78"/>
      <c r="AN381" s="78"/>
      <c r="AO381" s="78"/>
      <c r="AP381" s="78"/>
      <c r="AQ381" s="78"/>
      <c r="AR381" s="78"/>
      <c r="AS381" s="78"/>
      <c r="AT381" s="78"/>
      <c r="AU381" s="78"/>
      <c r="AV381" s="78"/>
      <c r="AW381" s="78"/>
      <c r="AX381" s="78">
        <v>107.131</v>
      </c>
      <c r="AY381" s="78"/>
      <c r="AZ381" s="78"/>
      <c r="BA381" s="78"/>
      <c r="BB381" s="78"/>
      <c r="BC381" s="78"/>
      <c r="BD381" s="78"/>
      <c r="BE381" s="78"/>
      <c r="BF381" s="78"/>
      <c r="BG381" s="78"/>
      <c r="BH381" s="78"/>
      <c r="BI381" s="78"/>
      <c r="BJ381" s="78"/>
      <c r="BK381" s="78">
        <v>778.21090000000004</v>
      </c>
      <c r="BL381" s="78"/>
      <c r="BM381" s="78"/>
      <c r="BN381" s="78"/>
      <c r="BO381" s="78"/>
      <c r="BP381" s="78"/>
      <c r="BQ381" s="78"/>
      <c r="BR381" s="78"/>
      <c r="BS381" s="78"/>
      <c r="BT381" s="78"/>
      <c r="BU381" s="78"/>
      <c r="BV381" s="78"/>
      <c r="BW381" s="78"/>
      <c r="BX381" s="78"/>
      <c r="BY381" s="78"/>
      <c r="BZ381" s="78"/>
      <c r="CA381" s="78"/>
      <c r="CB381" s="78">
        <v>228.38</v>
      </c>
      <c r="CC381" s="231">
        <f t="shared" si="1013"/>
        <v>30200</v>
      </c>
    </row>
    <row r="382" spans="1:81" x14ac:dyDescent="0.25">
      <c r="B382" s="57">
        <v>30250</v>
      </c>
      <c r="C382" s="58">
        <f t="shared" si="989"/>
        <v>2814.5605000000005</v>
      </c>
      <c r="D382" s="58">
        <f t="shared" si="990"/>
        <v>65.944800000000001</v>
      </c>
      <c r="E382" s="58">
        <f t="shared" si="1007"/>
        <v>0</v>
      </c>
      <c r="F382" s="58">
        <f t="shared" si="991"/>
        <v>601.63109999999995</v>
      </c>
      <c r="G382" s="58">
        <f t="shared" si="1008"/>
        <v>18.942799999999998</v>
      </c>
      <c r="H382" s="58">
        <f t="shared" si="1009"/>
        <v>18.942799999999998</v>
      </c>
      <c r="I382" s="58">
        <f t="shared" si="1010"/>
        <v>37.941000000000003</v>
      </c>
      <c r="J382" s="51">
        <f t="shared" si="1011"/>
        <v>37.941000000000003</v>
      </c>
      <c r="K382" s="99">
        <f t="shared" si="1012"/>
        <v>199</v>
      </c>
      <c r="L382" s="105">
        <f t="shared" si="1085"/>
        <v>4483</v>
      </c>
      <c r="M382" s="58">
        <f t="shared" si="1086"/>
        <v>161</v>
      </c>
      <c r="N382" s="58"/>
      <c r="O382" s="58">
        <f t="shared" si="1087"/>
        <v>1278</v>
      </c>
      <c r="P382" s="58">
        <f t="shared" si="1088"/>
        <v>18</v>
      </c>
      <c r="Q382" s="58">
        <f t="shared" si="1089"/>
        <v>18</v>
      </c>
      <c r="R382" s="58">
        <f t="shared" si="1090"/>
        <v>106</v>
      </c>
      <c r="S382" s="58">
        <f t="shared" si="1091"/>
        <v>106</v>
      </c>
      <c r="T382" s="58">
        <f t="shared" si="1014"/>
        <v>1188</v>
      </c>
      <c r="V382" s="137"/>
      <c r="W382" s="58"/>
      <c r="X382" s="58"/>
      <c r="Y382" s="58"/>
      <c r="Z382" s="58"/>
      <c r="AA382" s="58"/>
      <c r="AB382" s="58"/>
      <c r="AC382" s="58"/>
      <c r="AD382" s="138"/>
      <c r="AF382" s="57">
        <f t="shared" si="999"/>
        <v>30250</v>
      </c>
      <c r="AG382" s="49">
        <v>2589.9423000000002</v>
      </c>
      <c r="AH382" s="115">
        <v>43.679699999999997</v>
      </c>
      <c r="AI382" s="115">
        <v>131.60390000000001</v>
      </c>
      <c r="AJ382" s="115">
        <v>49.334600000000002</v>
      </c>
      <c r="AK382" s="49"/>
      <c r="AL382" s="49"/>
      <c r="AM382" s="49"/>
      <c r="AN382" s="49"/>
      <c r="AO382" s="49"/>
      <c r="AP382" s="49"/>
      <c r="AQ382" s="49"/>
      <c r="AR382" s="49"/>
      <c r="AS382" s="49"/>
      <c r="AT382" s="49"/>
      <c r="AU382" s="49"/>
      <c r="AV382" s="49"/>
      <c r="AW382" s="49"/>
      <c r="AX382" s="49">
        <v>65.944800000000001</v>
      </c>
      <c r="AY382" s="49"/>
      <c r="AZ382" s="49"/>
      <c r="BA382" s="49"/>
      <c r="BB382" s="49"/>
      <c r="BC382" s="49"/>
      <c r="BD382" s="49"/>
      <c r="BE382" s="49"/>
      <c r="BF382" s="49"/>
      <c r="BG382" s="49"/>
      <c r="BH382" s="49"/>
      <c r="BI382" s="49"/>
      <c r="BJ382" s="49"/>
      <c r="BK382" s="49">
        <v>601.63109999999995</v>
      </c>
      <c r="BL382" s="49"/>
      <c r="BM382" s="49"/>
      <c r="BN382" s="49">
        <v>18.942799999999998</v>
      </c>
      <c r="BO382" s="49"/>
      <c r="BP382" s="49"/>
      <c r="BQ382" s="49">
        <f>BN382</f>
        <v>18.942799999999998</v>
      </c>
      <c r="BR382" s="49"/>
      <c r="BS382" s="49"/>
      <c r="BT382" s="49">
        <v>37.941000000000003</v>
      </c>
      <c r="BU382" s="49"/>
      <c r="BV382" s="49"/>
      <c r="BW382" s="78">
        <f t="shared" ref="BW382" si="1099">BT382</f>
        <v>37.941000000000003</v>
      </c>
      <c r="BX382" s="78">
        <f t="shared" ref="BX382:BY382" si="1100">BU382</f>
        <v>0</v>
      </c>
      <c r="BY382" s="78">
        <f t="shared" si="1100"/>
        <v>0</v>
      </c>
      <c r="BZ382" s="49"/>
      <c r="CA382" s="49"/>
      <c r="CB382" s="49">
        <v>199</v>
      </c>
      <c r="CC382" s="231">
        <f t="shared" si="1013"/>
        <v>30250</v>
      </c>
    </row>
    <row r="383" spans="1:81" s="3" customFormat="1" ht="15.75" thickBot="1" x14ac:dyDescent="0.3">
      <c r="B383" s="158">
        <v>30300</v>
      </c>
      <c r="C383" s="144">
        <f t="shared" si="989"/>
        <v>3913.3161999999998</v>
      </c>
      <c r="D383" s="144">
        <f t="shared" si="990"/>
        <v>607.06700000000001</v>
      </c>
      <c r="E383" s="144">
        <f t="shared" si="1007"/>
        <v>0</v>
      </c>
      <c r="F383" s="144">
        <f t="shared" si="991"/>
        <v>0</v>
      </c>
      <c r="G383" s="144">
        <f t="shared" si="1008"/>
        <v>18.7654</v>
      </c>
      <c r="H383" s="144">
        <f t="shared" si="1009"/>
        <v>18.7654</v>
      </c>
      <c r="I383" s="144">
        <f t="shared" si="1010"/>
        <v>37.585799999999999</v>
      </c>
      <c r="J383" s="159">
        <f t="shared" si="1011"/>
        <v>37.585799999999999</v>
      </c>
      <c r="K383" s="160">
        <f t="shared" si="1012"/>
        <v>178.75</v>
      </c>
      <c r="L383" s="152">
        <f t="shared" si="1085"/>
        <v>6230</v>
      </c>
      <c r="M383" s="144">
        <f t="shared" si="1086"/>
        <v>624</v>
      </c>
      <c r="N383" s="144"/>
      <c r="O383" s="144">
        <f t="shared" si="1087"/>
        <v>558</v>
      </c>
      <c r="P383" s="144">
        <f t="shared" si="1088"/>
        <v>35</v>
      </c>
      <c r="Q383" s="144">
        <f t="shared" si="1089"/>
        <v>35</v>
      </c>
      <c r="R383" s="144">
        <f t="shared" si="1090"/>
        <v>210</v>
      </c>
      <c r="S383" s="144">
        <f t="shared" si="1091"/>
        <v>210</v>
      </c>
      <c r="T383" s="144">
        <f t="shared" si="1014"/>
        <v>1050</v>
      </c>
      <c r="V383" s="150">
        <f>L381+L382+L383</f>
        <v>13177</v>
      </c>
      <c r="W383" s="150">
        <f t="shared" ref="W383" si="1101">M381+M382+M383</f>
        <v>1070</v>
      </c>
      <c r="X383" s="150"/>
      <c r="Y383" s="150">
        <f t="shared" ref="Y383" si="1102">O381+O382+O383</f>
        <v>3425</v>
      </c>
      <c r="Z383" s="150">
        <f t="shared" ref="Z383" si="1103">P381+P382+P383</f>
        <v>53</v>
      </c>
      <c r="AA383" s="150">
        <f t="shared" ref="AA383" si="1104">Q381+Q382+Q383</f>
        <v>53</v>
      </c>
      <c r="AB383" s="150">
        <f t="shared" ref="AB383" si="1105">R381+R382+R383</f>
        <v>316</v>
      </c>
      <c r="AC383" s="150">
        <f t="shared" ref="AC383" si="1106">S381+S382+S383</f>
        <v>316</v>
      </c>
      <c r="AD383" s="150">
        <f t="shared" ref="AD383" si="1107">T381+T382+T383</f>
        <v>3433</v>
      </c>
      <c r="AF383" s="158">
        <f t="shared" si="999"/>
        <v>30300</v>
      </c>
      <c r="AG383" s="149">
        <v>3384.8793999999998</v>
      </c>
      <c r="AH383" s="186">
        <v>528.43679999999995</v>
      </c>
      <c r="AI383" s="149"/>
      <c r="AJ383" s="149"/>
      <c r="AK383" s="149"/>
      <c r="AL383" s="149"/>
      <c r="AM383" s="149"/>
      <c r="AN383" s="149"/>
      <c r="AO383" s="149"/>
      <c r="AP383" s="149"/>
      <c r="AQ383" s="149"/>
      <c r="AR383" s="149"/>
      <c r="AS383" s="149"/>
      <c r="AT383" s="149"/>
      <c r="AU383" s="149"/>
      <c r="AV383" s="149"/>
      <c r="AW383" s="149"/>
      <c r="AX383" s="186">
        <v>528.43679999999995</v>
      </c>
      <c r="AY383" s="149">
        <v>78.630200000000002</v>
      </c>
      <c r="AZ383" s="149"/>
      <c r="BA383" s="149"/>
      <c r="BB383" s="149"/>
      <c r="BC383" s="149"/>
      <c r="BD383" s="149"/>
      <c r="BE383" s="149"/>
      <c r="BF383" s="149"/>
      <c r="BG383" s="149"/>
      <c r="BH383" s="149"/>
      <c r="BI383" s="149"/>
      <c r="BJ383" s="149"/>
      <c r="BK383" s="149"/>
      <c r="BL383" s="149"/>
      <c r="BM383" s="149"/>
      <c r="BN383" s="149">
        <v>18.7654</v>
      </c>
      <c r="BO383" s="149"/>
      <c r="BP383" s="149"/>
      <c r="BQ383" s="49">
        <f t="shared" ref="BQ383:BQ408" si="1108">BN383</f>
        <v>18.7654</v>
      </c>
      <c r="BR383" s="149"/>
      <c r="BS383" s="149"/>
      <c r="BT383" s="149">
        <v>37.585799999999999</v>
      </c>
      <c r="BU383" s="149"/>
      <c r="BV383" s="149"/>
      <c r="BW383" s="78">
        <f t="shared" ref="BW383:BW408" si="1109">BT383</f>
        <v>37.585799999999999</v>
      </c>
      <c r="BX383" s="78">
        <f t="shared" ref="BX383:BY408" si="1110">BU383</f>
        <v>0</v>
      </c>
      <c r="BY383" s="78">
        <f t="shared" si="1110"/>
        <v>0</v>
      </c>
      <c r="BZ383" s="149"/>
      <c r="CA383" s="149"/>
      <c r="CB383" s="149">
        <v>178.75</v>
      </c>
      <c r="CC383" s="231">
        <f t="shared" si="1013"/>
        <v>30300</v>
      </c>
    </row>
    <row r="384" spans="1:81" x14ac:dyDescent="0.25">
      <c r="B384" s="155">
        <v>30350</v>
      </c>
      <c r="C384" s="147">
        <f t="shared" si="989"/>
        <v>3651.9238</v>
      </c>
      <c r="D384" s="147">
        <f t="shared" si="990"/>
        <v>0</v>
      </c>
      <c r="E384" s="147">
        <f t="shared" si="1007"/>
        <v>0</v>
      </c>
      <c r="F384" s="147">
        <f t="shared" si="991"/>
        <v>0</v>
      </c>
      <c r="G384" s="147">
        <f t="shared" si="1008"/>
        <v>22.2193</v>
      </c>
      <c r="H384" s="147">
        <f t="shared" si="1009"/>
        <v>22.2193</v>
      </c>
      <c r="I384" s="147">
        <f t="shared" si="1010"/>
        <v>44.019100000000002</v>
      </c>
      <c r="J384" s="156">
        <f t="shared" si="1011"/>
        <v>44.019100000000002</v>
      </c>
      <c r="K384" s="157">
        <f t="shared" si="1012"/>
        <v>128.28</v>
      </c>
      <c r="L384" s="151">
        <f t="shared" si="1085"/>
        <v>7005</v>
      </c>
      <c r="M384" s="147">
        <f t="shared" si="1086"/>
        <v>563</v>
      </c>
      <c r="N384" s="147"/>
      <c r="O384" s="147">
        <f t="shared" si="1087"/>
        <v>0</v>
      </c>
      <c r="P384" s="147">
        <f t="shared" si="1088"/>
        <v>38</v>
      </c>
      <c r="Q384" s="147">
        <f t="shared" si="1089"/>
        <v>38</v>
      </c>
      <c r="R384" s="147">
        <f t="shared" si="1090"/>
        <v>227</v>
      </c>
      <c r="S384" s="147">
        <f t="shared" si="1091"/>
        <v>227</v>
      </c>
      <c r="T384" s="147">
        <f t="shared" si="1014"/>
        <v>853</v>
      </c>
      <c r="V384" s="146"/>
      <c r="W384" s="147"/>
      <c r="X384" s="147"/>
      <c r="Y384" s="147"/>
      <c r="Z384" s="147"/>
      <c r="AA384" s="147"/>
      <c r="AB384" s="147"/>
      <c r="AC384" s="147"/>
      <c r="AD384" s="148"/>
      <c r="AF384" s="155">
        <f t="shared" si="999"/>
        <v>30350</v>
      </c>
      <c r="AG384" s="78">
        <v>3651.9238</v>
      </c>
      <c r="AH384" s="78"/>
      <c r="AI384" s="78"/>
      <c r="AJ384" s="78"/>
      <c r="AK384" s="78"/>
      <c r="AL384" s="78"/>
      <c r="AM384" s="78"/>
      <c r="AN384" s="78"/>
      <c r="AO384" s="78"/>
      <c r="AP384" s="78"/>
      <c r="AQ384" s="78"/>
      <c r="AR384" s="78"/>
      <c r="AS384" s="78"/>
      <c r="AT384" s="78"/>
      <c r="AU384" s="78"/>
      <c r="AV384" s="78"/>
      <c r="AW384" s="78"/>
      <c r="AX384" s="78"/>
      <c r="AY384" s="78"/>
      <c r="AZ384" s="78"/>
      <c r="BA384" s="78"/>
      <c r="BB384" s="78"/>
      <c r="BC384" s="78"/>
      <c r="BD384" s="78"/>
      <c r="BE384" s="78"/>
      <c r="BF384" s="78"/>
      <c r="BG384" s="78"/>
      <c r="BH384" s="78"/>
      <c r="BI384" s="78"/>
      <c r="BJ384" s="78"/>
      <c r="BK384" s="78"/>
      <c r="BL384" s="78"/>
      <c r="BM384" s="78"/>
      <c r="BN384" s="78">
        <v>22.2193</v>
      </c>
      <c r="BO384" s="78"/>
      <c r="BP384" s="78"/>
      <c r="BQ384" s="49">
        <f t="shared" si="1108"/>
        <v>22.2193</v>
      </c>
      <c r="BR384" s="78"/>
      <c r="BS384" s="78"/>
      <c r="BT384" s="78">
        <v>44.019100000000002</v>
      </c>
      <c r="BU384" s="78"/>
      <c r="BV384" s="78"/>
      <c r="BW384" s="78">
        <f t="shared" si="1109"/>
        <v>44.019100000000002</v>
      </c>
      <c r="BX384" s="78">
        <f t="shared" si="1110"/>
        <v>0</v>
      </c>
      <c r="BY384" s="78">
        <f t="shared" si="1110"/>
        <v>0</v>
      </c>
      <c r="BZ384" s="78"/>
      <c r="CA384" s="78"/>
      <c r="CB384" s="78">
        <v>128.28</v>
      </c>
      <c r="CC384" s="231">
        <f t="shared" si="1013"/>
        <v>30350</v>
      </c>
    </row>
    <row r="385" spans="2:81" x14ac:dyDescent="0.25">
      <c r="B385" s="57">
        <v>30400</v>
      </c>
      <c r="C385" s="58">
        <f t="shared" si="989"/>
        <v>3622.3180000000002</v>
      </c>
      <c r="D385" s="58">
        <f t="shared" si="990"/>
        <v>0</v>
      </c>
      <c r="E385" s="58">
        <f t="shared" si="1007"/>
        <v>0</v>
      </c>
      <c r="F385" s="58">
        <f t="shared" si="991"/>
        <v>0</v>
      </c>
      <c r="G385" s="58">
        <f t="shared" si="1008"/>
        <v>22.2193</v>
      </c>
      <c r="H385" s="58">
        <f t="shared" si="1009"/>
        <v>22.2193</v>
      </c>
      <c r="I385" s="58">
        <f t="shared" si="1010"/>
        <v>44.019100000000002</v>
      </c>
      <c r="J385" s="51">
        <f t="shared" si="1011"/>
        <v>44.019100000000002</v>
      </c>
      <c r="K385" s="99">
        <f t="shared" si="1012"/>
        <v>120.73</v>
      </c>
      <c r="L385" s="105">
        <f t="shared" si="1085"/>
        <v>6736</v>
      </c>
      <c r="M385" s="58">
        <f t="shared" si="1086"/>
        <v>0</v>
      </c>
      <c r="N385" s="58"/>
      <c r="O385" s="58">
        <f t="shared" si="1087"/>
        <v>0</v>
      </c>
      <c r="P385" s="58">
        <f t="shared" si="1088"/>
        <v>42</v>
      </c>
      <c r="Q385" s="58">
        <f t="shared" si="1089"/>
        <v>42</v>
      </c>
      <c r="R385" s="58">
        <f t="shared" si="1090"/>
        <v>245</v>
      </c>
      <c r="S385" s="58">
        <f t="shared" si="1091"/>
        <v>245</v>
      </c>
      <c r="T385" s="58">
        <f t="shared" si="1014"/>
        <v>692</v>
      </c>
      <c r="V385" s="137"/>
      <c r="W385" s="58"/>
      <c r="X385" s="58"/>
      <c r="Y385" s="58"/>
      <c r="Z385" s="58"/>
      <c r="AA385" s="58"/>
      <c r="AB385" s="58"/>
      <c r="AC385" s="58"/>
      <c r="AD385" s="138"/>
      <c r="AF385" s="57">
        <f t="shared" si="999"/>
        <v>30400</v>
      </c>
      <c r="AG385" s="49">
        <v>3622.3180000000002</v>
      </c>
      <c r="AH385" s="49"/>
      <c r="AI385" s="49"/>
      <c r="AJ385" s="49"/>
      <c r="AK385" s="49"/>
      <c r="AL385" s="49"/>
      <c r="AM385" s="49"/>
      <c r="AN385" s="49"/>
      <c r="AO385" s="49"/>
      <c r="AP385" s="49"/>
      <c r="AQ385" s="49"/>
      <c r="AR385" s="49"/>
      <c r="AS385" s="49"/>
      <c r="AT385" s="49"/>
      <c r="AU385" s="49"/>
      <c r="AV385" s="49"/>
      <c r="AW385" s="49"/>
      <c r="AX385" s="49"/>
      <c r="AY385" s="49"/>
      <c r="AZ385" s="49"/>
      <c r="BA385" s="49"/>
      <c r="BB385" s="49"/>
      <c r="BC385" s="49"/>
      <c r="BD385" s="49"/>
      <c r="BE385" s="49"/>
      <c r="BF385" s="49"/>
      <c r="BG385" s="49"/>
      <c r="BH385" s="49"/>
      <c r="BI385" s="49"/>
      <c r="BJ385" s="49"/>
      <c r="BK385" s="49"/>
      <c r="BL385" s="49"/>
      <c r="BM385" s="49"/>
      <c r="BN385" s="49">
        <v>22.2193</v>
      </c>
      <c r="BO385" s="49"/>
      <c r="BP385" s="49"/>
      <c r="BQ385" s="49">
        <f t="shared" si="1108"/>
        <v>22.2193</v>
      </c>
      <c r="BR385" s="49"/>
      <c r="BS385" s="49"/>
      <c r="BT385" s="49">
        <v>44.019100000000002</v>
      </c>
      <c r="BU385" s="49"/>
      <c r="BV385" s="49"/>
      <c r="BW385" s="78">
        <f t="shared" si="1109"/>
        <v>44.019100000000002</v>
      </c>
      <c r="BX385" s="78">
        <f t="shared" si="1110"/>
        <v>0</v>
      </c>
      <c r="BY385" s="78">
        <f t="shared" si="1110"/>
        <v>0</v>
      </c>
      <c r="BZ385" s="49"/>
      <c r="CA385" s="49"/>
      <c r="CB385" s="49">
        <v>120.73</v>
      </c>
      <c r="CC385" s="231">
        <f t="shared" si="1013"/>
        <v>30400</v>
      </c>
    </row>
    <row r="386" spans="2:81" s="3" customFormat="1" ht="15.75" thickBot="1" x14ac:dyDescent="0.3">
      <c r="B386" s="158">
        <v>30450</v>
      </c>
      <c r="C386" s="144">
        <f t="shared" si="989"/>
        <v>3495.2988</v>
      </c>
      <c r="D386" s="144">
        <f t="shared" si="990"/>
        <v>0</v>
      </c>
      <c r="E386" s="144">
        <f t="shared" si="1007"/>
        <v>0</v>
      </c>
      <c r="F386" s="144">
        <f t="shared" si="991"/>
        <v>0</v>
      </c>
      <c r="G386" s="144">
        <f t="shared" si="1008"/>
        <v>22.2193</v>
      </c>
      <c r="H386" s="144">
        <f t="shared" si="1009"/>
        <v>22.2193</v>
      </c>
      <c r="I386" s="144">
        <f t="shared" si="1010"/>
        <v>44.019100000000002</v>
      </c>
      <c r="J386" s="159">
        <f t="shared" si="1011"/>
        <v>44.019100000000002</v>
      </c>
      <c r="K386" s="160">
        <f t="shared" si="1012"/>
        <v>120.9</v>
      </c>
      <c r="L386" s="152">
        <f t="shared" si="1085"/>
        <v>6591</v>
      </c>
      <c r="M386" s="144">
        <f t="shared" si="1086"/>
        <v>0</v>
      </c>
      <c r="N386" s="144"/>
      <c r="O386" s="144">
        <f t="shared" si="1087"/>
        <v>0</v>
      </c>
      <c r="P386" s="144">
        <f t="shared" si="1088"/>
        <v>42</v>
      </c>
      <c r="Q386" s="144">
        <f t="shared" si="1089"/>
        <v>42</v>
      </c>
      <c r="R386" s="144">
        <f t="shared" si="1090"/>
        <v>245</v>
      </c>
      <c r="S386" s="144">
        <f t="shared" si="1091"/>
        <v>245</v>
      </c>
      <c r="T386" s="144">
        <f t="shared" si="1014"/>
        <v>672</v>
      </c>
      <c r="V386" s="150">
        <f>L384+L385+L386</f>
        <v>20332</v>
      </c>
      <c r="W386" s="150">
        <f t="shared" ref="W386" si="1111">M384+M385+M386</f>
        <v>563</v>
      </c>
      <c r="X386" s="150"/>
      <c r="Y386" s="150">
        <f t="shared" ref="Y386" si="1112">O384+O385+O386</f>
        <v>0</v>
      </c>
      <c r="Z386" s="150">
        <f t="shared" ref="Z386" si="1113">P384+P385+P386</f>
        <v>122</v>
      </c>
      <c r="AA386" s="150">
        <f t="shared" ref="AA386" si="1114">Q384+Q385+Q386</f>
        <v>122</v>
      </c>
      <c r="AB386" s="150">
        <f t="shared" ref="AB386" si="1115">R384+R385+R386</f>
        <v>717</v>
      </c>
      <c r="AC386" s="150">
        <f t="shared" ref="AC386" si="1116">S384+S385+S386</f>
        <v>717</v>
      </c>
      <c r="AD386" s="150">
        <f t="shared" ref="AD386" si="1117">T384+T385+T386</f>
        <v>2217</v>
      </c>
      <c r="AF386" s="158">
        <f t="shared" si="999"/>
        <v>30450</v>
      </c>
      <c r="AG386" s="149">
        <v>3495.2988</v>
      </c>
      <c r="AH386" s="149"/>
      <c r="AI386" s="149"/>
      <c r="AJ386" s="149"/>
      <c r="AK386" s="149"/>
      <c r="AL386" s="149"/>
      <c r="AM386" s="149"/>
      <c r="AN386" s="149"/>
      <c r="AO386" s="149"/>
      <c r="AP386" s="149"/>
      <c r="AQ386" s="149"/>
      <c r="AR386" s="149"/>
      <c r="AS386" s="149"/>
      <c r="AT386" s="149"/>
      <c r="AU386" s="149"/>
      <c r="AV386" s="149"/>
      <c r="AW386" s="149"/>
      <c r="AX386" s="149"/>
      <c r="AY386" s="149"/>
      <c r="AZ386" s="149"/>
      <c r="BA386" s="149"/>
      <c r="BB386" s="149"/>
      <c r="BC386" s="149"/>
      <c r="BD386" s="149"/>
      <c r="BE386" s="149"/>
      <c r="BF386" s="149"/>
      <c r="BG386" s="149"/>
      <c r="BH386" s="149"/>
      <c r="BI386" s="149"/>
      <c r="BJ386" s="149"/>
      <c r="BK386" s="149"/>
      <c r="BL386" s="149"/>
      <c r="BM386" s="149"/>
      <c r="BN386" s="149">
        <v>22.2193</v>
      </c>
      <c r="BO386" s="149"/>
      <c r="BP386" s="149"/>
      <c r="BQ386" s="49">
        <f t="shared" si="1108"/>
        <v>22.2193</v>
      </c>
      <c r="BR386" s="149"/>
      <c r="BS386" s="149"/>
      <c r="BT386" s="149">
        <v>44.019100000000002</v>
      </c>
      <c r="BU386" s="149"/>
      <c r="BV386" s="149"/>
      <c r="BW386" s="78">
        <f t="shared" si="1109"/>
        <v>44.019100000000002</v>
      </c>
      <c r="BX386" s="78">
        <f t="shared" si="1110"/>
        <v>0</v>
      </c>
      <c r="BY386" s="78">
        <f t="shared" si="1110"/>
        <v>0</v>
      </c>
      <c r="BZ386" s="149"/>
      <c r="CA386" s="149"/>
      <c r="CB386" s="149">
        <v>120.9</v>
      </c>
      <c r="CC386" s="231">
        <f t="shared" si="1013"/>
        <v>30450</v>
      </c>
    </row>
    <row r="387" spans="2:81" x14ac:dyDescent="0.25">
      <c r="B387" s="155">
        <v>30500</v>
      </c>
      <c r="C387" s="147">
        <f t="shared" si="989"/>
        <v>4251.4912999999997</v>
      </c>
      <c r="D387" s="147">
        <f t="shared" si="990"/>
        <v>0</v>
      </c>
      <c r="E387" s="147">
        <f t="shared" si="1007"/>
        <v>0</v>
      </c>
      <c r="F387" s="147">
        <f t="shared" si="991"/>
        <v>0</v>
      </c>
      <c r="G387" s="147">
        <f t="shared" si="1008"/>
        <v>22.2193</v>
      </c>
      <c r="H387" s="147">
        <f t="shared" si="1009"/>
        <v>22.2193</v>
      </c>
      <c r="I387" s="147">
        <f t="shared" si="1010"/>
        <v>44.019100000000002</v>
      </c>
      <c r="J387" s="156">
        <f t="shared" si="1011"/>
        <v>44.019100000000002</v>
      </c>
      <c r="K387" s="157">
        <f t="shared" si="1012"/>
        <v>149.07</v>
      </c>
      <c r="L387" s="151">
        <f t="shared" si="1085"/>
        <v>7173</v>
      </c>
      <c r="M387" s="147">
        <f t="shared" si="1086"/>
        <v>0</v>
      </c>
      <c r="N387" s="147"/>
      <c r="O387" s="147">
        <f t="shared" si="1087"/>
        <v>0</v>
      </c>
      <c r="P387" s="147">
        <f t="shared" si="1088"/>
        <v>42</v>
      </c>
      <c r="Q387" s="147">
        <f t="shared" si="1089"/>
        <v>42</v>
      </c>
      <c r="R387" s="147">
        <f t="shared" si="1090"/>
        <v>245</v>
      </c>
      <c r="S387" s="147">
        <f t="shared" si="1091"/>
        <v>245</v>
      </c>
      <c r="T387" s="147">
        <f t="shared" si="1014"/>
        <v>750</v>
      </c>
      <c r="V387" s="146"/>
      <c r="W387" s="147"/>
      <c r="X387" s="147"/>
      <c r="Y387" s="147"/>
      <c r="Z387" s="147"/>
      <c r="AA387" s="147"/>
      <c r="AB387" s="147"/>
      <c r="AC387" s="147"/>
      <c r="AD387" s="148"/>
      <c r="AF387" s="155">
        <f t="shared" si="999"/>
        <v>30500</v>
      </c>
      <c r="AG387" s="78">
        <v>4251.4912999999997</v>
      </c>
      <c r="AH387" s="78"/>
      <c r="AI387" s="78"/>
      <c r="AJ387" s="78"/>
      <c r="AK387" s="78"/>
      <c r="AL387" s="78"/>
      <c r="AM387" s="78"/>
      <c r="AN387" s="78"/>
      <c r="AO387" s="78"/>
      <c r="AP387" s="78"/>
      <c r="AQ387" s="78"/>
      <c r="AR387" s="78"/>
      <c r="AS387" s="78"/>
      <c r="AT387" s="78"/>
      <c r="AU387" s="78"/>
      <c r="AV387" s="78"/>
      <c r="AW387" s="78"/>
      <c r="AX387" s="78"/>
      <c r="AY387" s="78"/>
      <c r="AZ387" s="78"/>
      <c r="BA387" s="78"/>
      <c r="BB387" s="78"/>
      <c r="BC387" s="78"/>
      <c r="BD387" s="78"/>
      <c r="BE387" s="78"/>
      <c r="BF387" s="78"/>
      <c r="BG387" s="78"/>
      <c r="BH387" s="78"/>
      <c r="BI387" s="78"/>
      <c r="BJ387" s="78"/>
      <c r="BK387" s="78"/>
      <c r="BL387" s="78"/>
      <c r="BM387" s="78"/>
      <c r="BN387" s="78">
        <v>22.2193</v>
      </c>
      <c r="BO387" s="78"/>
      <c r="BP387" s="78"/>
      <c r="BQ387" s="49">
        <f t="shared" si="1108"/>
        <v>22.2193</v>
      </c>
      <c r="BR387" s="78"/>
      <c r="BS387" s="78"/>
      <c r="BT387" s="78">
        <v>44.019100000000002</v>
      </c>
      <c r="BU387" s="78"/>
      <c r="BV387" s="78"/>
      <c r="BW387" s="78">
        <f t="shared" si="1109"/>
        <v>44.019100000000002</v>
      </c>
      <c r="BX387" s="78">
        <f t="shared" si="1110"/>
        <v>0</v>
      </c>
      <c r="BY387" s="78">
        <f t="shared" si="1110"/>
        <v>0</v>
      </c>
      <c r="BZ387" s="78"/>
      <c r="CA387" s="78"/>
      <c r="CB387" s="78">
        <v>149.07</v>
      </c>
      <c r="CC387" s="231">
        <f t="shared" si="1013"/>
        <v>30500</v>
      </c>
    </row>
    <row r="388" spans="2:81" x14ac:dyDescent="0.25">
      <c r="B388" s="57">
        <v>30550</v>
      </c>
      <c r="C388" s="58">
        <f t="shared" si="989"/>
        <v>4708.0095000000001</v>
      </c>
      <c r="D388" s="58">
        <f t="shared" si="990"/>
        <v>0</v>
      </c>
      <c r="E388" s="58">
        <f t="shared" si="1007"/>
        <v>0</v>
      </c>
      <c r="F388" s="58">
        <f t="shared" si="991"/>
        <v>0</v>
      </c>
      <c r="G388" s="58">
        <f t="shared" si="1008"/>
        <v>22.2193</v>
      </c>
      <c r="H388" s="58">
        <f t="shared" si="1009"/>
        <v>22.2193</v>
      </c>
      <c r="I388" s="58">
        <f t="shared" si="1010"/>
        <v>44.019100000000002</v>
      </c>
      <c r="J388" s="51">
        <f t="shared" si="1011"/>
        <v>44.019100000000002</v>
      </c>
      <c r="K388" s="99">
        <f t="shared" si="1012"/>
        <v>144.22999999999999</v>
      </c>
      <c r="L388" s="105">
        <f t="shared" si="1085"/>
        <v>8296</v>
      </c>
      <c r="M388" s="58">
        <f t="shared" si="1086"/>
        <v>0</v>
      </c>
      <c r="N388" s="58"/>
      <c r="O388" s="58">
        <f t="shared" si="1087"/>
        <v>0</v>
      </c>
      <c r="P388" s="58">
        <f t="shared" si="1088"/>
        <v>42</v>
      </c>
      <c r="Q388" s="58">
        <f t="shared" si="1089"/>
        <v>42</v>
      </c>
      <c r="R388" s="58">
        <f t="shared" si="1090"/>
        <v>245</v>
      </c>
      <c r="S388" s="58">
        <f t="shared" si="1091"/>
        <v>245</v>
      </c>
      <c r="T388" s="58">
        <f t="shared" si="1014"/>
        <v>815</v>
      </c>
      <c r="V388" s="137"/>
      <c r="W388" s="58"/>
      <c r="X388" s="58"/>
      <c r="Y388" s="58"/>
      <c r="Z388" s="58"/>
      <c r="AA388" s="58"/>
      <c r="AB388" s="58"/>
      <c r="AC388" s="58"/>
      <c r="AD388" s="138"/>
      <c r="AF388" s="57">
        <f t="shared" si="999"/>
        <v>30550</v>
      </c>
      <c r="AG388" s="49">
        <v>4708.0095000000001</v>
      </c>
      <c r="AH388" s="49"/>
      <c r="AI388" s="49"/>
      <c r="AJ388" s="49"/>
      <c r="AK388" s="49"/>
      <c r="AL388" s="49"/>
      <c r="AM388" s="49"/>
      <c r="AN388" s="49"/>
      <c r="AO388" s="49"/>
      <c r="AP388" s="49"/>
      <c r="AQ388" s="49"/>
      <c r="AR388" s="49"/>
      <c r="AS388" s="49"/>
      <c r="AT388" s="49"/>
      <c r="AU388" s="49"/>
      <c r="AV388" s="49"/>
      <c r="AW388" s="49"/>
      <c r="AX388" s="49"/>
      <c r="AY388" s="49"/>
      <c r="AZ388" s="49"/>
      <c r="BA388" s="49"/>
      <c r="BB388" s="49"/>
      <c r="BC388" s="49"/>
      <c r="BD388" s="49"/>
      <c r="BE388" s="49"/>
      <c r="BF388" s="49"/>
      <c r="BG388" s="49"/>
      <c r="BH388" s="49"/>
      <c r="BI388" s="49"/>
      <c r="BJ388" s="49"/>
      <c r="BK388" s="49"/>
      <c r="BL388" s="49"/>
      <c r="BM388" s="49"/>
      <c r="BN388" s="49">
        <v>22.2193</v>
      </c>
      <c r="BO388" s="49"/>
      <c r="BP388" s="49"/>
      <c r="BQ388" s="49">
        <f t="shared" si="1108"/>
        <v>22.2193</v>
      </c>
      <c r="BR388" s="49"/>
      <c r="BS388" s="49"/>
      <c r="BT388" s="49">
        <v>44.019100000000002</v>
      </c>
      <c r="BU388" s="49"/>
      <c r="BV388" s="49"/>
      <c r="BW388" s="78">
        <f t="shared" si="1109"/>
        <v>44.019100000000002</v>
      </c>
      <c r="BX388" s="78">
        <f t="shared" si="1110"/>
        <v>0</v>
      </c>
      <c r="BY388" s="78">
        <f t="shared" si="1110"/>
        <v>0</v>
      </c>
      <c r="BZ388" s="49"/>
      <c r="CA388" s="49"/>
      <c r="CB388" s="49">
        <v>144.22999999999999</v>
      </c>
      <c r="CC388" s="231">
        <f t="shared" si="1013"/>
        <v>30550</v>
      </c>
    </row>
    <row r="389" spans="2:81" s="3" customFormat="1" ht="15.75" thickBot="1" x14ac:dyDescent="0.3">
      <c r="B389" s="158">
        <v>30600</v>
      </c>
      <c r="C389" s="144">
        <f t="shared" si="989"/>
        <v>4623.0302000000001</v>
      </c>
      <c r="D389" s="144">
        <f t="shared" si="990"/>
        <v>0</v>
      </c>
      <c r="E389" s="144">
        <f t="shared" si="1007"/>
        <v>0</v>
      </c>
      <c r="F389" s="144">
        <f t="shared" si="991"/>
        <v>0</v>
      </c>
      <c r="G389" s="144">
        <f t="shared" si="1008"/>
        <v>22.2193</v>
      </c>
      <c r="H389" s="144">
        <f t="shared" si="1009"/>
        <v>22.2193</v>
      </c>
      <c r="I389" s="144">
        <f t="shared" si="1010"/>
        <v>44.019100000000002</v>
      </c>
      <c r="J389" s="159">
        <f t="shared" si="1011"/>
        <v>44.019100000000002</v>
      </c>
      <c r="K389" s="160">
        <f t="shared" si="1012"/>
        <v>146.69999999999999</v>
      </c>
      <c r="L389" s="152">
        <f t="shared" si="1085"/>
        <v>8640</v>
      </c>
      <c r="M389" s="144">
        <f t="shared" si="1086"/>
        <v>0</v>
      </c>
      <c r="N389" s="144"/>
      <c r="O389" s="144">
        <f t="shared" si="1087"/>
        <v>0</v>
      </c>
      <c r="P389" s="144">
        <f t="shared" si="1088"/>
        <v>42</v>
      </c>
      <c r="Q389" s="144">
        <f t="shared" si="1089"/>
        <v>42</v>
      </c>
      <c r="R389" s="144">
        <f t="shared" si="1090"/>
        <v>245</v>
      </c>
      <c r="S389" s="144">
        <f t="shared" si="1091"/>
        <v>245</v>
      </c>
      <c r="T389" s="144">
        <f t="shared" si="1014"/>
        <v>809</v>
      </c>
      <c r="V389" s="150">
        <f>L387+L388+L389</f>
        <v>24109</v>
      </c>
      <c r="W389" s="150">
        <f t="shared" ref="W389" si="1118">M387+M388+M389</f>
        <v>0</v>
      </c>
      <c r="X389" s="150"/>
      <c r="Y389" s="150">
        <f t="shared" ref="Y389" si="1119">O387+O388+O389</f>
        <v>0</v>
      </c>
      <c r="Z389" s="150">
        <f t="shared" ref="Z389" si="1120">P387+P388+P389</f>
        <v>126</v>
      </c>
      <c r="AA389" s="150">
        <f t="shared" ref="AA389" si="1121">Q387+Q388+Q389</f>
        <v>126</v>
      </c>
      <c r="AB389" s="150">
        <f t="shared" ref="AB389" si="1122">R387+R388+R389</f>
        <v>735</v>
      </c>
      <c r="AC389" s="150">
        <f t="shared" ref="AC389" si="1123">S387+S388+S389</f>
        <v>735</v>
      </c>
      <c r="AD389" s="150">
        <f t="shared" ref="AD389" si="1124">T387+T388+T389</f>
        <v>2374</v>
      </c>
      <c r="AF389" s="158">
        <f t="shared" si="999"/>
        <v>30600</v>
      </c>
      <c r="AG389" s="149">
        <v>4623.0302000000001</v>
      </c>
      <c r="AH389" s="149"/>
      <c r="AI389" s="149"/>
      <c r="AJ389" s="149"/>
      <c r="AK389" s="149"/>
      <c r="AL389" s="149"/>
      <c r="AM389" s="149"/>
      <c r="AN389" s="149"/>
      <c r="AO389" s="149"/>
      <c r="AP389" s="149"/>
      <c r="AQ389" s="149"/>
      <c r="AR389" s="149"/>
      <c r="AS389" s="149"/>
      <c r="AT389" s="149"/>
      <c r="AU389" s="149"/>
      <c r="AV389" s="149"/>
      <c r="AW389" s="149"/>
      <c r="AX389" s="149"/>
      <c r="AY389" s="149"/>
      <c r="AZ389" s="149"/>
      <c r="BA389" s="149"/>
      <c r="BB389" s="149"/>
      <c r="BC389" s="149"/>
      <c r="BD389" s="149"/>
      <c r="BE389" s="149"/>
      <c r="BF389" s="149"/>
      <c r="BG389" s="149"/>
      <c r="BH389" s="149"/>
      <c r="BI389" s="149"/>
      <c r="BJ389" s="149"/>
      <c r="BK389" s="149"/>
      <c r="BL389" s="149"/>
      <c r="BM389" s="149"/>
      <c r="BN389" s="149">
        <v>22.2193</v>
      </c>
      <c r="BO389" s="149"/>
      <c r="BP389" s="149"/>
      <c r="BQ389" s="49">
        <f t="shared" si="1108"/>
        <v>22.2193</v>
      </c>
      <c r="BR389" s="149"/>
      <c r="BS389" s="149"/>
      <c r="BT389" s="149">
        <v>44.019100000000002</v>
      </c>
      <c r="BU389" s="149"/>
      <c r="BV389" s="149"/>
      <c r="BW389" s="78">
        <f t="shared" si="1109"/>
        <v>44.019100000000002</v>
      </c>
      <c r="BX389" s="78">
        <f t="shared" si="1110"/>
        <v>0</v>
      </c>
      <c r="BY389" s="78">
        <f t="shared" si="1110"/>
        <v>0</v>
      </c>
      <c r="BZ389" s="149"/>
      <c r="CA389" s="149"/>
      <c r="CB389" s="149">
        <v>146.69999999999999</v>
      </c>
      <c r="CC389" s="231">
        <f t="shared" si="1013"/>
        <v>30600</v>
      </c>
    </row>
    <row r="390" spans="2:81" x14ac:dyDescent="0.25">
      <c r="B390" s="155">
        <v>30650</v>
      </c>
      <c r="C390" s="147">
        <f t="shared" si="989"/>
        <v>5242.3118999999997</v>
      </c>
      <c r="D390" s="147">
        <f t="shared" si="990"/>
        <v>0</v>
      </c>
      <c r="E390" s="147">
        <f t="shared" si="1007"/>
        <v>0</v>
      </c>
      <c r="F390" s="147">
        <f t="shared" si="991"/>
        <v>0</v>
      </c>
      <c r="G390" s="147">
        <f t="shared" si="1008"/>
        <v>22.2193</v>
      </c>
      <c r="H390" s="147">
        <f t="shared" si="1009"/>
        <v>22.2193</v>
      </c>
      <c r="I390" s="147">
        <f t="shared" si="1010"/>
        <v>44.019100000000002</v>
      </c>
      <c r="J390" s="156">
        <f t="shared" si="1011"/>
        <v>44.019100000000002</v>
      </c>
      <c r="K390" s="157">
        <f t="shared" si="1012"/>
        <v>173.91</v>
      </c>
      <c r="L390" s="151">
        <f t="shared" si="1085"/>
        <v>9135</v>
      </c>
      <c r="M390" s="147">
        <f t="shared" si="1086"/>
        <v>0</v>
      </c>
      <c r="N390" s="147"/>
      <c r="O390" s="147">
        <f t="shared" si="1087"/>
        <v>0</v>
      </c>
      <c r="P390" s="147">
        <f t="shared" si="1088"/>
        <v>42</v>
      </c>
      <c r="Q390" s="147">
        <f t="shared" si="1089"/>
        <v>42</v>
      </c>
      <c r="R390" s="147">
        <f t="shared" si="1090"/>
        <v>245</v>
      </c>
      <c r="S390" s="147">
        <f t="shared" si="1091"/>
        <v>245</v>
      </c>
      <c r="T390" s="147">
        <f t="shared" si="1014"/>
        <v>891</v>
      </c>
      <c r="V390" s="146"/>
      <c r="W390" s="147"/>
      <c r="X390" s="147"/>
      <c r="Y390" s="147"/>
      <c r="Z390" s="147"/>
      <c r="AA390" s="147"/>
      <c r="AB390" s="147"/>
      <c r="AC390" s="147"/>
      <c r="AD390" s="148"/>
      <c r="AF390" s="155">
        <f t="shared" si="999"/>
        <v>30650</v>
      </c>
      <c r="AG390" s="78">
        <v>5242.3118999999997</v>
      </c>
      <c r="AH390" s="78"/>
      <c r="AI390" s="78"/>
      <c r="AJ390" s="78"/>
      <c r="AK390" s="78"/>
      <c r="AL390" s="78"/>
      <c r="AM390" s="78"/>
      <c r="AN390" s="78"/>
      <c r="AO390" s="78"/>
      <c r="AP390" s="78"/>
      <c r="AQ390" s="78"/>
      <c r="AR390" s="78"/>
      <c r="AS390" s="78"/>
      <c r="AT390" s="78"/>
      <c r="AU390" s="78"/>
      <c r="AV390" s="78"/>
      <c r="AW390" s="78"/>
      <c r="AX390" s="78"/>
      <c r="AY390" s="78"/>
      <c r="AZ390" s="78"/>
      <c r="BA390" s="78"/>
      <c r="BB390" s="78"/>
      <c r="BC390" s="78"/>
      <c r="BD390" s="78"/>
      <c r="BE390" s="78"/>
      <c r="BF390" s="78"/>
      <c r="BG390" s="78"/>
      <c r="BH390" s="78"/>
      <c r="BI390" s="78"/>
      <c r="BJ390" s="78"/>
      <c r="BK390" s="78"/>
      <c r="BL390" s="78"/>
      <c r="BM390" s="78"/>
      <c r="BN390" s="78">
        <v>22.2193</v>
      </c>
      <c r="BO390" s="78"/>
      <c r="BP390" s="78"/>
      <c r="BQ390" s="49">
        <f t="shared" si="1108"/>
        <v>22.2193</v>
      </c>
      <c r="BR390" s="78"/>
      <c r="BS390" s="78"/>
      <c r="BT390" s="78">
        <v>44.019100000000002</v>
      </c>
      <c r="BU390" s="78"/>
      <c r="BV390" s="78"/>
      <c r="BW390" s="78">
        <f t="shared" si="1109"/>
        <v>44.019100000000002</v>
      </c>
      <c r="BX390" s="78">
        <f t="shared" si="1110"/>
        <v>0</v>
      </c>
      <c r="BY390" s="78">
        <f t="shared" si="1110"/>
        <v>0</v>
      </c>
      <c r="BZ390" s="78"/>
      <c r="CA390" s="78"/>
      <c r="CB390" s="78">
        <v>173.91</v>
      </c>
      <c r="CC390" s="231">
        <f t="shared" si="1013"/>
        <v>30650</v>
      </c>
    </row>
    <row r="391" spans="2:81" x14ac:dyDescent="0.25">
      <c r="B391" s="57">
        <v>30700</v>
      </c>
      <c r="C391" s="58">
        <f t="shared" si="989"/>
        <v>6112.9596000000001</v>
      </c>
      <c r="D391" s="58">
        <f t="shared" si="990"/>
        <v>0</v>
      </c>
      <c r="E391" s="58">
        <f t="shared" si="1007"/>
        <v>0</v>
      </c>
      <c r="F391" s="58">
        <f t="shared" si="991"/>
        <v>0</v>
      </c>
      <c r="G391" s="58">
        <f t="shared" si="1008"/>
        <v>22.2193</v>
      </c>
      <c r="H391" s="58">
        <f t="shared" si="1009"/>
        <v>22.2193</v>
      </c>
      <c r="I391" s="58">
        <f t="shared" si="1010"/>
        <v>44.019100000000002</v>
      </c>
      <c r="J391" s="51">
        <f t="shared" si="1011"/>
        <v>44.019100000000002</v>
      </c>
      <c r="K391" s="99">
        <f t="shared" si="1012"/>
        <v>186.53</v>
      </c>
      <c r="L391" s="105">
        <f t="shared" si="1085"/>
        <v>10515</v>
      </c>
      <c r="M391" s="58">
        <f t="shared" si="1086"/>
        <v>0</v>
      </c>
      <c r="N391" s="58"/>
      <c r="O391" s="58">
        <f t="shared" si="1087"/>
        <v>0</v>
      </c>
      <c r="P391" s="58">
        <f t="shared" si="1088"/>
        <v>42</v>
      </c>
      <c r="Q391" s="58">
        <f t="shared" si="1089"/>
        <v>42</v>
      </c>
      <c r="R391" s="58">
        <f t="shared" si="1090"/>
        <v>245</v>
      </c>
      <c r="S391" s="58">
        <f t="shared" si="1091"/>
        <v>245</v>
      </c>
      <c r="T391" s="58">
        <f t="shared" si="1014"/>
        <v>1002</v>
      </c>
      <c r="V391" s="137"/>
      <c r="W391" s="58"/>
      <c r="X391" s="58"/>
      <c r="Y391" s="58"/>
      <c r="Z391" s="58"/>
      <c r="AA391" s="58"/>
      <c r="AB391" s="58"/>
      <c r="AC391" s="58"/>
      <c r="AD391" s="138"/>
      <c r="AF391" s="57">
        <f t="shared" si="999"/>
        <v>30700</v>
      </c>
      <c r="AG391" s="49">
        <v>6112.9596000000001</v>
      </c>
      <c r="AH391" s="49"/>
      <c r="AI391" s="49"/>
      <c r="AJ391" s="49"/>
      <c r="AK391" s="49"/>
      <c r="AL391" s="49"/>
      <c r="AM391" s="49"/>
      <c r="AN391" s="49"/>
      <c r="AO391" s="49"/>
      <c r="AP391" s="49"/>
      <c r="AQ391" s="49"/>
      <c r="AR391" s="49"/>
      <c r="AS391" s="49"/>
      <c r="AT391" s="49"/>
      <c r="AU391" s="49"/>
      <c r="AV391" s="49"/>
      <c r="AW391" s="49"/>
      <c r="AX391" s="49"/>
      <c r="AY391" s="49"/>
      <c r="AZ391" s="49"/>
      <c r="BA391" s="49"/>
      <c r="BB391" s="49"/>
      <c r="BC391" s="49"/>
      <c r="BD391" s="49"/>
      <c r="BE391" s="49"/>
      <c r="BF391" s="49"/>
      <c r="BG391" s="49"/>
      <c r="BH391" s="49"/>
      <c r="BI391" s="49"/>
      <c r="BJ391" s="49"/>
      <c r="BK391" s="49"/>
      <c r="BL391" s="49"/>
      <c r="BM391" s="49"/>
      <c r="BN391" s="49">
        <v>22.2193</v>
      </c>
      <c r="BO391" s="49"/>
      <c r="BP391" s="49"/>
      <c r="BQ391" s="49">
        <f t="shared" si="1108"/>
        <v>22.2193</v>
      </c>
      <c r="BR391" s="49"/>
      <c r="BS391" s="49"/>
      <c r="BT391" s="49">
        <v>44.019100000000002</v>
      </c>
      <c r="BU391" s="49"/>
      <c r="BV391" s="49"/>
      <c r="BW391" s="78">
        <f t="shared" si="1109"/>
        <v>44.019100000000002</v>
      </c>
      <c r="BX391" s="78">
        <f t="shared" si="1110"/>
        <v>0</v>
      </c>
      <c r="BY391" s="78">
        <f t="shared" si="1110"/>
        <v>0</v>
      </c>
      <c r="BZ391" s="49"/>
      <c r="CA391" s="49"/>
      <c r="CB391" s="49">
        <v>186.53</v>
      </c>
      <c r="CC391" s="231">
        <f t="shared" si="1013"/>
        <v>30700</v>
      </c>
    </row>
    <row r="392" spans="2:81" s="3" customFormat="1" ht="15.75" thickBot="1" x14ac:dyDescent="0.3">
      <c r="B392" s="158">
        <v>30750</v>
      </c>
      <c r="C392" s="144">
        <f t="shared" si="989"/>
        <v>7154.3842999999997</v>
      </c>
      <c r="D392" s="144">
        <f t="shared" si="990"/>
        <v>0</v>
      </c>
      <c r="E392" s="144">
        <f t="shared" si="1007"/>
        <v>0</v>
      </c>
      <c r="F392" s="144">
        <f t="shared" si="991"/>
        <v>0</v>
      </c>
      <c r="G392" s="144">
        <f t="shared" si="1008"/>
        <v>22.2193</v>
      </c>
      <c r="H392" s="144">
        <f t="shared" si="1009"/>
        <v>22.2193</v>
      </c>
      <c r="I392" s="144">
        <f t="shared" si="1010"/>
        <v>44.019100000000002</v>
      </c>
      <c r="J392" s="159">
        <f t="shared" si="1011"/>
        <v>44.019100000000002</v>
      </c>
      <c r="K392" s="160">
        <f t="shared" si="1012"/>
        <v>193.54</v>
      </c>
      <c r="L392" s="152">
        <f t="shared" si="1085"/>
        <v>12285</v>
      </c>
      <c r="M392" s="144">
        <f t="shared" si="1086"/>
        <v>0</v>
      </c>
      <c r="N392" s="144"/>
      <c r="O392" s="144">
        <f t="shared" si="1087"/>
        <v>0</v>
      </c>
      <c r="P392" s="144">
        <f t="shared" si="1088"/>
        <v>42</v>
      </c>
      <c r="Q392" s="144">
        <f t="shared" si="1089"/>
        <v>42</v>
      </c>
      <c r="R392" s="144">
        <f t="shared" si="1090"/>
        <v>245</v>
      </c>
      <c r="S392" s="144">
        <f t="shared" si="1091"/>
        <v>245</v>
      </c>
      <c r="T392" s="144">
        <f t="shared" si="1014"/>
        <v>1056</v>
      </c>
      <c r="V392" s="150">
        <f>L390+L391+L392</f>
        <v>31935</v>
      </c>
      <c r="W392" s="150">
        <f t="shared" ref="W392" si="1125">M390+M391+M392</f>
        <v>0</v>
      </c>
      <c r="X392" s="150"/>
      <c r="Y392" s="150">
        <f t="shared" ref="Y392" si="1126">O390+O391+O392</f>
        <v>0</v>
      </c>
      <c r="Z392" s="150">
        <f t="shared" ref="Z392" si="1127">P390+P391+P392</f>
        <v>126</v>
      </c>
      <c r="AA392" s="150">
        <f t="shared" ref="AA392" si="1128">Q390+Q391+Q392</f>
        <v>126</v>
      </c>
      <c r="AB392" s="150">
        <f t="shared" ref="AB392" si="1129">R390+R391+R392</f>
        <v>735</v>
      </c>
      <c r="AC392" s="150">
        <f t="shared" ref="AC392" si="1130">S390+S391+S392</f>
        <v>735</v>
      </c>
      <c r="AD392" s="150">
        <f t="shared" ref="AD392" si="1131">T390+T391+T392</f>
        <v>2949</v>
      </c>
      <c r="AF392" s="158">
        <f t="shared" si="999"/>
        <v>30750</v>
      </c>
      <c r="AG392" s="149">
        <v>7154.3842999999997</v>
      </c>
      <c r="AH392" s="149"/>
      <c r="AI392" s="149"/>
      <c r="AJ392" s="149"/>
      <c r="AK392" s="149"/>
      <c r="AL392" s="149"/>
      <c r="AM392" s="149"/>
      <c r="AN392" s="149"/>
      <c r="AO392" s="149"/>
      <c r="AP392" s="149"/>
      <c r="AQ392" s="149"/>
      <c r="AR392" s="149"/>
      <c r="AS392" s="149"/>
      <c r="AT392" s="149"/>
      <c r="AU392" s="149"/>
      <c r="AV392" s="149"/>
      <c r="AW392" s="149"/>
      <c r="AX392" s="149"/>
      <c r="AY392" s="149"/>
      <c r="AZ392" s="149"/>
      <c r="BA392" s="149"/>
      <c r="BB392" s="149"/>
      <c r="BC392" s="149"/>
      <c r="BD392" s="149"/>
      <c r="BE392" s="149"/>
      <c r="BF392" s="149"/>
      <c r="BG392" s="149"/>
      <c r="BH392" s="149"/>
      <c r="BI392" s="149"/>
      <c r="BJ392" s="149"/>
      <c r="BK392" s="149"/>
      <c r="BL392" s="149"/>
      <c r="BM392" s="149"/>
      <c r="BN392" s="149">
        <v>22.2193</v>
      </c>
      <c r="BO392" s="149"/>
      <c r="BP392" s="149"/>
      <c r="BQ392" s="49">
        <f t="shared" si="1108"/>
        <v>22.2193</v>
      </c>
      <c r="BR392" s="149"/>
      <c r="BS392" s="149"/>
      <c r="BT392" s="149">
        <v>44.019100000000002</v>
      </c>
      <c r="BU392" s="149"/>
      <c r="BV392" s="149"/>
      <c r="BW392" s="78">
        <f t="shared" si="1109"/>
        <v>44.019100000000002</v>
      </c>
      <c r="BX392" s="78">
        <f t="shared" si="1110"/>
        <v>0</v>
      </c>
      <c r="BY392" s="78">
        <f t="shared" si="1110"/>
        <v>0</v>
      </c>
      <c r="BZ392" s="149"/>
      <c r="CA392" s="149"/>
      <c r="CB392" s="149">
        <v>193.54</v>
      </c>
      <c r="CC392" s="231">
        <f t="shared" si="1013"/>
        <v>30750</v>
      </c>
    </row>
    <row r="393" spans="2:81" x14ac:dyDescent="0.25">
      <c r="B393" s="155">
        <v>30800</v>
      </c>
      <c r="C393" s="147">
        <f t="shared" si="989"/>
        <v>8147.1019999999999</v>
      </c>
      <c r="D393" s="147">
        <f t="shared" si="990"/>
        <v>0</v>
      </c>
      <c r="E393" s="147">
        <f t="shared" si="1007"/>
        <v>0</v>
      </c>
      <c r="F393" s="147">
        <f t="shared" si="991"/>
        <v>0</v>
      </c>
      <c r="G393" s="147">
        <f t="shared" si="1008"/>
        <v>22.2193</v>
      </c>
      <c r="H393" s="147">
        <f t="shared" si="1009"/>
        <v>22.2193</v>
      </c>
      <c r="I393" s="147">
        <f t="shared" si="1010"/>
        <v>44.019100000000002</v>
      </c>
      <c r="J393" s="156">
        <f t="shared" si="1011"/>
        <v>44.019100000000002</v>
      </c>
      <c r="K393" s="157">
        <f t="shared" si="1012"/>
        <v>216.45</v>
      </c>
      <c r="L393" s="151">
        <f t="shared" si="1085"/>
        <v>14169</v>
      </c>
      <c r="M393" s="147">
        <f t="shared" si="1086"/>
        <v>0</v>
      </c>
      <c r="N393" s="147"/>
      <c r="O393" s="147">
        <f t="shared" si="1087"/>
        <v>0</v>
      </c>
      <c r="P393" s="147">
        <f t="shared" si="1088"/>
        <v>42</v>
      </c>
      <c r="Q393" s="147">
        <f t="shared" si="1089"/>
        <v>42</v>
      </c>
      <c r="R393" s="147">
        <f t="shared" si="1090"/>
        <v>245</v>
      </c>
      <c r="S393" s="147">
        <f t="shared" si="1091"/>
        <v>245</v>
      </c>
      <c r="T393" s="147">
        <f t="shared" si="1014"/>
        <v>1139</v>
      </c>
      <c r="V393" s="146"/>
      <c r="W393" s="147"/>
      <c r="X393" s="147"/>
      <c r="Y393" s="147"/>
      <c r="Z393" s="147"/>
      <c r="AA393" s="147"/>
      <c r="AB393" s="147"/>
      <c r="AC393" s="147"/>
      <c r="AD393" s="148"/>
      <c r="AF393" s="155">
        <f t="shared" si="999"/>
        <v>30800</v>
      </c>
      <c r="AG393" s="78">
        <v>8147.1019999999999</v>
      </c>
      <c r="AH393" s="78"/>
      <c r="AI393" s="78"/>
      <c r="AJ393" s="78"/>
      <c r="AK393" s="78"/>
      <c r="AL393" s="78"/>
      <c r="AM393" s="78"/>
      <c r="AN393" s="78"/>
      <c r="AO393" s="78"/>
      <c r="AP393" s="78"/>
      <c r="AQ393" s="78"/>
      <c r="AR393" s="78"/>
      <c r="AS393" s="78"/>
      <c r="AT393" s="78"/>
      <c r="AU393" s="78"/>
      <c r="AV393" s="78"/>
      <c r="AW393" s="78"/>
      <c r="AX393" s="78"/>
      <c r="AY393" s="78"/>
      <c r="AZ393" s="78"/>
      <c r="BA393" s="78"/>
      <c r="BB393" s="78"/>
      <c r="BC393" s="78"/>
      <c r="BD393" s="78"/>
      <c r="BE393" s="78"/>
      <c r="BF393" s="78"/>
      <c r="BG393" s="78"/>
      <c r="BH393" s="78"/>
      <c r="BI393" s="78"/>
      <c r="BJ393" s="78"/>
      <c r="BK393" s="78"/>
      <c r="BL393" s="78"/>
      <c r="BM393" s="78"/>
      <c r="BN393" s="78">
        <v>22.2193</v>
      </c>
      <c r="BO393" s="78"/>
      <c r="BP393" s="78"/>
      <c r="BQ393" s="49">
        <f t="shared" si="1108"/>
        <v>22.2193</v>
      </c>
      <c r="BR393" s="78"/>
      <c r="BS393" s="78"/>
      <c r="BT393" s="78">
        <v>44.019100000000002</v>
      </c>
      <c r="BU393" s="78"/>
      <c r="BV393" s="78"/>
      <c r="BW393" s="78">
        <f t="shared" si="1109"/>
        <v>44.019100000000002</v>
      </c>
      <c r="BX393" s="78">
        <f t="shared" si="1110"/>
        <v>0</v>
      </c>
      <c r="BY393" s="78">
        <f t="shared" si="1110"/>
        <v>0</v>
      </c>
      <c r="BZ393" s="78"/>
      <c r="CA393" s="78"/>
      <c r="CB393" s="78">
        <v>216.45</v>
      </c>
      <c r="CC393" s="231">
        <f t="shared" si="1013"/>
        <v>30800</v>
      </c>
    </row>
    <row r="394" spans="2:81" s="3" customFormat="1" ht="15.75" thickBot="1" x14ac:dyDescent="0.3">
      <c r="B394" s="158">
        <v>30850</v>
      </c>
      <c r="C394" s="144">
        <f t="shared" si="989"/>
        <v>9023.8255000000008</v>
      </c>
      <c r="D394" s="144">
        <f t="shared" si="990"/>
        <v>0</v>
      </c>
      <c r="E394" s="144">
        <f t="shared" si="1007"/>
        <v>0</v>
      </c>
      <c r="F394" s="144">
        <f t="shared" si="991"/>
        <v>0</v>
      </c>
      <c r="G394" s="144">
        <f t="shared" si="1008"/>
        <v>22.2193</v>
      </c>
      <c r="H394" s="144">
        <f t="shared" si="1009"/>
        <v>22.2193</v>
      </c>
      <c r="I394" s="144">
        <f t="shared" si="1010"/>
        <v>44.019100000000002</v>
      </c>
      <c r="J394" s="159">
        <f t="shared" si="1011"/>
        <v>44.019100000000002</v>
      </c>
      <c r="K394" s="160">
        <f t="shared" si="1012"/>
        <v>228.9</v>
      </c>
      <c r="L394" s="152">
        <f t="shared" si="1085"/>
        <v>15900</v>
      </c>
      <c r="M394" s="144">
        <f t="shared" si="1086"/>
        <v>0</v>
      </c>
      <c r="N394" s="144"/>
      <c r="O394" s="144">
        <f t="shared" si="1087"/>
        <v>0</v>
      </c>
      <c r="P394" s="144">
        <f t="shared" si="1088"/>
        <v>42</v>
      </c>
      <c r="Q394" s="144">
        <f t="shared" si="1089"/>
        <v>42</v>
      </c>
      <c r="R394" s="144">
        <f t="shared" si="1090"/>
        <v>245</v>
      </c>
      <c r="S394" s="144">
        <f t="shared" si="1091"/>
        <v>245</v>
      </c>
      <c r="T394" s="144">
        <f t="shared" si="1014"/>
        <v>1238</v>
      </c>
      <c r="V394" s="150">
        <f>L393+L394</f>
        <v>30069</v>
      </c>
      <c r="W394" s="150">
        <f t="shared" ref="W394" si="1132">M393+M394</f>
        <v>0</v>
      </c>
      <c r="X394" s="150"/>
      <c r="Y394" s="150">
        <f t="shared" ref="Y394" si="1133">O393+O394</f>
        <v>0</v>
      </c>
      <c r="Z394" s="150">
        <f t="shared" ref="Z394" si="1134">P393+P394</f>
        <v>84</v>
      </c>
      <c r="AA394" s="150">
        <f t="shared" ref="AA394" si="1135">Q393+Q394</f>
        <v>84</v>
      </c>
      <c r="AB394" s="150">
        <f t="shared" ref="AB394" si="1136">R393+R394</f>
        <v>490</v>
      </c>
      <c r="AC394" s="150">
        <f t="shared" ref="AC394" si="1137">S393+S394</f>
        <v>490</v>
      </c>
      <c r="AD394" s="150">
        <f t="shared" ref="AD394" si="1138">T393+T394</f>
        <v>2377</v>
      </c>
      <c r="AF394" s="158">
        <f t="shared" si="999"/>
        <v>30850</v>
      </c>
      <c r="AG394" s="149">
        <v>9023.8255000000008</v>
      </c>
      <c r="AH394" s="149"/>
      <c r="AI394" s="149"/>
      <c r="AJ394" s="149"/>
      <c r="AK394" s="149"/>
      <c r="AL394" s="149"/>
      <c r="AM394" s="149"/>
      <c r="AN394" s="149"/>
      <c r="AO394" s="149"/>
      <c r="AP394" s="149"/>
      <c r="AQ394" s="149"/>
      <c r="AR394" s="149"/>
      <c r="AS394" s="149"/>
      <c r="AT394" s="149"/>
      <c r="AU394" s="149"/>
      <c r="AV394" s="149"/>
      <c r="AW394" s="149"/>
      <c r="AX394" s="149"/>
      <c r="AY394" s="149"/>
      <c r="AZ394" s="149"/>
      <c r="BA394" s="149"/>
      <c r="BB394" s="149"/>
      <c r="BC394" s="149"/>
      <c r="BD394" s="149"/>
      <c r="BE394" s="149"/>
      <c r="BF394" s="149"/>
      <c r="BG394" s="149"/>
      <c r="BH394" s="149"/>
      <c r="BI394" s="149"/>
      <c r="BJ394" s="149"/>
      <c r="BK394" s="149"/>
      <c r="BL394" s="149"/>
      <c r="BM394" s="149"/>
      <c r="BN394" s="149">
        <v>22.2193</v>
      </c>
      <c r="BO394" s="149"/>
      <c r="BP394" s="149"/>
      <c r="BQ394" s="49">
        <f t="shared" si="1108"/>
        <v>22.2193</v>
      </c>
      <c r="BR394" s="149"/>
      <c r="BS394" s="149"/>
      <c r="BT394" s="149">
        <v>44.019100000000002</v>
      </c>
      <c r="BU394" s="149"/>
      <c r="BV394" s="149"/>
      <c r="BW394" s="78">
        <f t="shared" si="1109"/>
        <v>44.019100000000002</v>
      </c>
      <c r="BX394" s="78">
        <f t="shared" si="1110"/>
        <v>0</v>
      </c>
      <c r="BY394" s="78">
        <f t="shared" si="1110"/>
        <v>0</v>
      </c>
      <c r="BZ394" s="149"/>
      <c r="CA394" s="149"/>
      <c r="CB394" s="149">
        <v>228.9</v>
      </c>
      <c r="CC394" s="231">
        <f t="shared" si="1013"/>
        <v>30850</v>
      </c>
    </row>
    <row r="395" spans="2:81" x14ac:dyDescent="0.25">
      <c r="B395" s="155">
        <v>30900</v>
      </c>
      <c r="C395" s="147">
        <f t="shared" si="989"/>
        <v>9769.3790000000008</v>
      </c>
      <c r="D395" s="147">
        <f t="shared" si="990"/>
        <v>0</v>
      </c>
      <c r="E395" s="147">
        <f t="shared" si="1007"/>
        <v>0</v>
      </c>
      <c r="F395" s="147">
        <f t="shared" si="991"/>
        <v>0</v>
      </c>
      <c r="G395" s="147">
        <f t="shared" si="1008"/>
        <v>22.2193</v>
      </c>
      <c r="H395" s="147">
        <f t="shared" si="1009"/>
        <v>22.2193</v>
      </c>
      <c r="I395" s="147">
        <f t="shared" si="1010"/>
        <v>44.019100000000002</v>
      </c>
      <c r="J395" s="156">
        <f t="shared" si="1011"/>
        <v>44.019100000000002</v>
      </c>
      <c r="K395" s="157">
        <f t="shared" si="1012"/>
        <v>234.77</v>
      </c>
      <c r="L395" s="151">
        <f t="shared" si="1085"/>
        <v>17402</v>
      </c>
      <c r="M395" s="147">
        <f t="shared" si="1086"/>
        <v>0</v>
      </c>
      <c r="N395" s="147"/>
      <c r="O395" s="147">
        <f t="shared" si="1087"/>
        <v>0</v>
      </c>
      <c r="P395" s="147">
        <f t="shared" si="1088"/>
        <v>42</v>
      </c>
      <c r="Q395" s="147">
        <f t="shared" si="1089"/>
        <v>42</v>
      </c>
      <c r="R395" s="147">
        <f t="shared" si="1090"/>
        <v>245</v>
      </c>
      <c r="S395" s="147">
        <f t="shared" si="1091"/>
        <v>245</v>
      </c>
      <c r="T395" s="147">
        <f t="shared" si="1014"/>
        <v>1288</v>
      </c>
      <c r="V395" s="146"/>
      <c r="W395" s="147"/>
      <c r="X395" s="147"/>
      <c r="Y395" s="147"/>
      <c r="Z395" s="147"/>
      <c r="AA395" s="147"/>
      <c r="AB395" s="147"/>
      <c r="AC395" s="147"/>
      <c r="AD395" s="148"/>
      <c r="AF395" s="155">
        <f t="shared" si="999"/>
        <v>30900</v>
      </c>
      <c r="AG395" s="78">
        <v>9769.3790000000008</v>
      </c>
      <c r="AH395" s="78"/>
      <c r="AI395" s="78"/>
      <c r="AJ395" s="78"/>
      <c r="AK395" s="78"/>
      <c r="AL395" s="78"/>
      <c r="AM395" s="78"/>
      <c r="AN395" s="78"/>
      <c r="AO395" s="78"/>
      <c r="AP395" s="78"/>
      <c r="AQ395" s="78"/>
      <c r="AR395" s="78"/>
      <c r="AS395" s="78"/>
      <c r="AT395" s="78"/>
      <c r="AU395" s="78"/>
      <c r="AV395" s="78"/>
      <c r="AW395" s="78"/>
      <c r="AX395" s="78"/>
      <c r="AY395" s="78"/>
      <c r="AZ395" s="78"/>
      <c r="BA395" s="78"/>
      <c r="BB395" s="78"/>
      <c r="BC395" s="78"/>
      <c r="BD395" s="78"/>
      <c r="BE395" s="78"/>
      <c r="BF395" s="78"/>
      <c r="BG395" s="78"/>
      <c r="BH395" s="78"/>
      <c r="BI395" s="78"/>
      <c r="BJ395" s="78"/>
      <c r="BK395" s="78"/>
      <c r="BL395" s="78"/>
      <c r="BM395" s="78"/>
      <c r="BN395" s="78">
        <v>22.2193</v>
      </c>
      <c r="BO395" s="78"/>
      <c r="BP395" s="78"/>
      <c r="BQ395" s="49">
        <f t="shared" si="1108"/>
        <v>22.2193</v>
      </c>
      <c r="BR395" s="78"/>
      <c r="BS395" s="78"/>
      <c r="BT395" s="78">
        <v>44.019100000000002</v>
      </c>
      <c r="BU395" s="78"/>
      <c r="BV395" s="78"/>
      <c r="BW395" s="78">
        <f t="shared" si="1109"/>
        <v>44.019100000000002</v>
      </c>
      <c r="BX395" s="78">
        <f t="shared" si="1110"/>
        <v>0</v>
      </c>
      <c r="BY395" s="78">
        <f t="shared" si="1110"/>
        <v>0</v>
      </c>
      <c r="BZ395" s="78"/>
      <c r="CA395" s="78"/>
      <c r="CB395" s="78">
        <v>234.77</v>
      </c>
      <c r="CC395" s="231">
        <f t="shared" si="1013"/>
        <v>30900</v>
      </c>
    </row>
    <row r="396" spans="2:81" s="3" customFormat="1" ht="15.75" thickBot="1" x14ac:dyDescent="0.3">
      <c r="B396" s="158">
        <v>30950</v>
      </c>
      <c r="C396" s="144">
        <f t="shared" si="989"/>
        <v>11121.143599999999</v>
      </c>
      <c r="D396" s="144">
        <f t="shared" si="990"/>
        <v>0</v>
      </c>
      <c r="E396" s="144">
        <f t="shared" si="1007"/>
        <v>0</v>
      </c>
      <c r="F396" s="144">
        <f t="shared" si="991"/>
        <v>0</v>
      </c>
      <c r="G396" s="144">
        <f t="shared" si="1008"/>
        <v>22.2193</v>
      </c>
      <c r="H396" s="144">
        <f t="shared" si="1009"/>
        <v>22.2193</v>
      </c>
      <c r="I396" s="144">
        <f t="shared" si="1010"/>
        <v>44.019100000000002</v>
      </c>
      <c r="J396" s="159">
        <f t="shared" si="1011"/>
        <v>44.019100000000002</v>
      </c>
      <c r="K396" s="160">
        <f t="shared" si="1012"/>
        <v>263.22000000000003</v>
      </c>
      <c r="L396" s="152">
        <f t="shared" si="1085"/>
        <v>19344</v>
      </c>
      <c r="M396" s="144">
        <f t="shared" si="1086"/>
        <v>0</v>
      </c>
      <c r="N396" s="144"/>
      <c r="O396" s="144">
        <f t="shared" si="1087"/>
        <v>0</v>
      </c>
      <c r="P396" s="144">
        <f t="shared" si="1088"/>
        <v>42</v>
      </c>
      <c r="Q396" s="144">
        <f t="shared" si="1089"/>
        <v>42</v>
      </c>
      <c r="R396" s="144">
        <f t="shared" si="1090"/>
        <v>245</v>
      </c>
      <c r="S396" s="144">
        <f t="shared" si="1091"/>
        <v>245</v>
      </c>
      <c r="T396" s="144">
        <f t="shared" si="1014"/>
        <v>1384</v>
      </c>
      <c r="V396" s="150">
        <f>L395+L396</f>
        <v>36746</v>
      </c>
      <c r="W396" s="150">
        <f t="shared" ref="W396" si="1139">M395+M396</f>
        <v>0</v>
      </c>
      <c r="X396" s="150"/>
      <c r="Y396" s="150">
        <f t="shared" ref="Y396" si="1140">O395+O396</f>
        <v>0</v>
      </c>
      <c r="Z396" s="150">
        <f t="shared" ref="Z396" si="1141">P395+P396</f>
        <v>84</v>
      </c>
      <c r="AA396" s="150">
        <f t="shared" ref="AA396" si="1142">Q395+Q396</f>
        <v>84</v>
      </c>
      <c r="AB396" s="150">
        <f t="shared" ref="AB396" si="1143">R395+R396</f>
        <v>490</v>
      </c>
      <c r="AC396" s="150">
        <f t="shared" ref="AC396" si="1144">S395+S396</f>
        <v>490</v>
      </c>
      <c r="AD396" s="150">
        <f t="shared" ref="AD396" si="1145">T395+T396</f>
        <v>2672</v>
      </c>
      <c r="AF396" s="158">
        <f t="shared" si="999"/>
        <v>30950</v>
      </c>
      <c r="AG396" s="149">
        <v>11121.143599999999</v>
      </c>
      <c r="AH396" s="149"/>
      <c r="AI396" s="149"/>
      <c r="AJ396" s="149"/>
      <c r="AK396" s="149"/>
      <c r="AL396" s="149"/>
      <c r="AM396" s="149"/>
      <c r="AN396" s="149"/>
      <c r="AO396" s="149"/>
      <c r="AP396" s="149"/>
      <c r="AQ396" s="149"/>
      <c r="AR396" s="149"/>
      <c r="AS396" s="149"/>
      <c r="AT396" s="149"/>
      <c r="AU396" s="149"/>
      <c r="AV396" s="149"/>
      <c r="AW396" s="149"/>
      <c r="AX396" s="149"/>
      <c r="AY396" s="149"/>
      <c r="AZ396" s="149"/>
      <c r="BA396" s="149"/>
      <c r="BB396" s="149"/>
      <c r="BC396" s="149"/>
      <c r="BD396" s="149"/>
      <c r="BE396" s="149"/>
      <c r="BF396" s="149"/>
      <c r="BG396" s="149"/>
      <c r="BH396" s="149"/>
      <c r="BI396" s="149"/>
      <c r="BJ396" s="149"/>
      <c r="BK396" s="149"/>
      <c r="BL396" s="149"/>
      <c r="BM396" s="149"/>
      <c r="BN396" s="149">
        <v>22.2193</v>
      </c>
      <c r="BO396" s="149"/>
      <c r="BP396" s="149"/>
      <c r="BQ396" s="49">
        <f t="shared" si="1108"/>
        <v>22.2193</v>
      </c>
      <c r="BR396" s="149"/>
      <c r="BS396" s="149"/>
      <c r="BT396" s="149">
        <v>44.019100000000002</v>
      </c>
      <c r="BU396" s="149"/>
      <c r="BV396" s="149"/>
      <c r="BW396" s="78">
        <f t="shared" si="1109"/>
        <v>44.019100000000002</v>
      </c>
      <c r="BX396" s="78">
        <f t="shared" si="1110"/>
        <v>0</v>
      </c>
      <c r="BY396" s="78">
        <f t="shared" si="1110"/>
        <v>0</v>
      </c>
      <c r="BZ396" s="149"/>
      <c r="CA396" s="149"/>
      <c r="CB396" s="149">
        <v>263.22000000000003</v>
      </c>
      <c r="CC396" s="231">
        <f t="shared" si="1013"/>
        <v>30950</v>
      </c>
    </row>
    <row r="397" spans="2:81" x14ac:dyDescent="0.25">
      <c r="B397" s="155">
        <v>31000</v>
      </c>
      <c r="C397" s="147">
        <f t="shared" si="989"/>
        <v>12675.723599999999</v>
      </c>
      <c r="D397" s="147">
        <f t="shared" si="990"/>
        <v>0</v>
      </c>
      <c r="E397" s="147">
        <f t="shared" si="1007"/>
        <v>0</v>
      </c>
      <c r="F397" s="147">
        <f t="shared" si="991"/>
        <v>0</v>
      </c>
      <c r="G397" s="147">
        <f t="shared" si="1008"/>
        <v>23.4391</v>
      </c>
      <c r="H397" s="147">
        <f t="shared" si="1009"/>
        <v>23.4391</v>
      </c>
      <c r="I397" s="147">
        <f t="shared" si="1010"/>
        <v>46.460599999999999</v>
      </c>
      <c r="J397" s="156">
        <f t="shared" si="1011"/>
        <v>46.460599999999999</v>
      </c>
      <c r="K397" s="157">
        <f t="shared" si="1012"/>
        <v>272.5</v>
      </c>
      <c r="L397" s="151">
        <f t="shared" si="1085"/>
        <v>22035</v>
      </c>
      <c r="M397" s="147">
        <f t="shared" si="1086"/>
        <v>0</v>
      </c>
      <c r="N397" s="147"/>
      <c r="O397" s="147">
        <f t="shared" si="1087"/>
        <v>0</v>
      </c>
      <c r="P397" s="147">
        <f t="shared" si="1088"/>
        <v>43</v>
      </c>
      <c r="Q397" s="147">
        <f t="shared" si="1089"/>
        <v>43</v>
      </c>
      <c r="R397" s="147">
        <f t="shared" si="1090"/>
        <v>252</v>
      </c>
      <c r="S397" s="147">
        <f t="shared" si="1091"/>
        <v>252</v>
      </c>
      <c r="T397" s="147">
        <f t="shared" si="1014"/>
        <v>1489</v>
      </c>
      <c r="V397" s="146"/>
      <c r="W397" s="147"/>
      <c r="X397" s="147"/>
      <c r="Y397" s="147"/>
      <c r="Z397" s="147"/>
      <c r="AA397" s="147"/>
      <c r="AB397" s="147"/>
      <c r="AC397" s="147"/>
      <c r="AD397" s="148"/>
      <c r="AF397" s="155">
        <f t="shared" si="999"/>
        <v>31000</v>
      </c>
      <c r="AG397" s="78">
        <v>12675.723599999999</v>
      </c>
      <c r="AH397" s="78"/>
      <c r="AI397" s="78"/>
      <c r="AJ397" s="78"/>
      <c r="AK397" s="78"/>
      <c r="AL397" s="78"/>
      <c r="AM397" s="78"/>
      <c r="AN397" s="78"/>
      <c r="AO397" s="78"/>
      <c r="AP397" s="78"/>
      <c r="AQ397" s="78"/>
      <c r="AR397" s="78"/>
      <c r="AS397" s="78"/>
      <c r="AT397" s="78"/>
      <c r="AU397" s="78"/>
      <c r="AV397" s="78"/>
      <c r="AW397" s="78"/>
      <c r="AX397" s="78"/>
      <c r="AY397" s="78"/>
      <c r="AZ397" s="78"/>
      <c r="BA397" s="78"/>
      <c r="BB397" s="78"/>
      <c r="BC397" s="78"/>
      <c r="BD397" s="78"/>
      <c r="BE397" s="78"/>
      <c r="BF397" s="78"/>
      <c r="BG397" s="78"/>
      <c r="BH397" s="78"/>
      <c r="BI397" s="78"/>
      <c r="BJ397" s="78"/>
      <c r="BK397" s="78"/>
      <c r="BL397" s="78"/>
      <c r="BM397" s="78"/>
      <c r="BN397" s="78">
        <v>23.4391</v>
      </c>
      <c r="BO397" s="78"/>
      <c r="BP397" s="78"/>
      <c r="BQ397" s="49">
        <f t="shared" si="1108"/>
        <v>23.4391</v>
      </c>
      <c r="BR397" s="78"/>
      <c r="BS397" s="78"/>
      <c r="BT397" s="78">
        <v>46.460599999999999</v>
      </c>
      <c r="BU397" s="78"/>
      <c r="BV397" s="78"/>
      <c r="BW397" s="78">
        <f t="shared" si="1109"/>
        <v>46.460599999999999</v>
      </c>
      <c r="BX397" s="78">
        <f t="shared" si="1110"/>
        <v>0</v>
      </c>
      <c r="BY397" s="78">
        <f t="shared" si="1110"/>
        <v>0</v>
      </c>
      <c r="BZ397" s="78"/>
      <c r="CA397" s="78"/>
      <c r="CB397" s="78">
        <v>272.5</v>
      </c>
      <c r="CC397" s="231">
        <f t="shared" si="1013"/>
        <v>31000</v>
      </c>
    </row>
    <row r="398" spans="2:81" s="3" customFormat="1" ht="15.75" thickBot="1" x14ac:dyDescent="0.3">
      <c r="B398" s="158">
        <v>31050</v>
      </c>
      <c r="C398" s="144">
        <f t="shared" si="989"/>
        <v>14935.7605</v>
      </c>
      <c r="D398" s="144">
        <f t="shared" si="990"/>
        <v>0</v>
      </c>
      <c r="E398" s="144">
        <f t="shared" si="1007"/>
        <v>0</v>
      </c>
      <c r="F398" s="144">
        <f t="shared" si="991"/>
        <v>0</v>
      </c>
      <c r="G398" s="144">
        <f t="shared" si="1008"/>
        <v>24.096599999999999</v>
      </c>
      <c r="H398" s="144">
        <f t="shared" si="1009"/>
        <v>24.096599999999999</v>
      </c>
      <c r="I398" s="144">
        <f t="shared" si="1010"/>
        <v>47.776899999999998</v>
      </c>
      <c r="J398" s="159">
        <f t="shared" si="1011"/>
        <v>47.776899999999998</v>
      </c>
      <c r="K398" s="160">
        <f t="shared" si="1012"/>
        <v>283.70999999999998</v>
      </c>
      <c r="L398" s="152">
        <f t="shared" si="1085"/>
        <v>25567</v>
      </c>
      <c r="M398" s="144">
        <f t="shared" si="1086"/>
        <v>0</v>
      </c>
      <c r="N398" s="144"/>
      <c r="O398" s="144">
        <f t="shared" si="1087"/>
        <v>0</v>
      </c>
      <c r="P398" s="144">
        <f t="shared" si="1088"/>
        <v>45</v>
      </c>
      <c r="Q398" s="144">
        <f t="shared" si="1089"/>
        <v>45</v>
      </c>
      <c r="R398" s="144">
        <f t="shared" si="1090"/>
        <v>262</v>
      </c>
      <c r="S398" s="144">
        <f t="shared" si="1091"/>
        <v>262</v>
      </c>
      <c r="T398" s="144">
        <f t="shared" si="1014"/>
        <v>1546</v>
      </c>
      <c r="V398" s="150">
        <f>L397+L398</f>
        <v>47602</v>
      </c>
      <c r="W398" s="150">
        <f t="shared" ref="W398" si="1146">M397+M398</f>
        <v>0</v>
      </c>
      <c r="X398" s="150"/>
      <c r="Y398" s="150">
        <f t="shared" ref="Y398" si="1147">O397+O398</f>
        <v>0</v>
      </c>
      <c r="Z398" s="150">
        <f t="shared" ref="Z398" si="1148">P397+P398</f>
        <v>88</v>
      </c>
      <c r="AA398" s="150">
        <f t="shared" ref="AA398" si="1149">Q397+Q398</f>
        <v>88</v>
      </c>
      <c r="AB398" s="150">
        <f t="shared" ref="AB398" si="1150">R397+R398</f>
        <v>514</v>
      </c>
      <c r="AC398" s="150">
        <f t="shared" ref="AC398" si="1151">S397+S398</f>
        <v>514</v>
      </c>
      <c r="AD398" s="150">
        <f t="shared" ref="AD398" si="1152">T397+T398</f>
        <v>3035</v>
      </c>
      <c r="AF398" s="158">
        <f t="shared" si="999"/>
        <v>31050</v>
      </c>
      <c r="AG398" s="149">
        <v>14935.7605</v>
      </c>
      <c r="AH398" s="149"/>
      <c r="AI398" s="149"/>
      <c r="AJ398" s="149"/>
      <c r="AK398" s="149"/>
      <c r="AL398" s="149"/>
      <c r="AM398" s="149"/>
      <c r="AN398" s="149"/>
      <c r="AO398" s="149"/>
      <c r="AP398" s="149"/>
      <c r="AQ398" s="149"/>
      <c r="AR398" s="149"/>
      <c r="AS398" s="149"/>
      <c r="AT398" s="149"/>
      <c r="AU398" s="149"/>
      <c r="AV398" s="149"/>
      <c r="AW398" s="149"/>
      <c r="AX398" s="149"/>
      <c r="AY398" s="149"/>
      <c r="AZ398" s="149"/>
      <c r="BA398" s="149"/>
      <c r="BB398" s="149"/>
      <c r="BC398" s="149"/>
      <c r="BD398" s="149"/>
      <c r="BE398" s="149"/>
      <c r="BF398" s="149"/>
      <c r="BG398" s="149"/>
      <c r="BH398" s="149"/>
      <c r="BI398" s="149"/>
      <c r="BJ398" s="149"/>
      <c r="BK398" s="149"/>
      <c r="BL398" s="149"/>
      <c r="BM398" s="149"/>
      <c r="BN398" s="149">
        <v>24.096599999999999</v>
      </c>
      <c r="BO398" s="149"/>
      <c r="BP398" s="149"/>
      <c r="BQ398" s="49">
        <f t="shared" si="1108"/>
        <v>24.096599999999999</v>
      </c>
      <c r="BR398" s="149"/>
      <c r="BS398" s="149"/>
      <c r="BT398" s="149">
        <v>47.776899999999998</v>
      </c>
      <c r="BU398" s="149"/>
      <c r="BV398" s="149"/>
      <c r="BW398" s="78">
        <f t="shared" si="1109"/>
        <v>47.776899999999998</v>
      </c>
      <c r="BX398" s="78">
        <f t="shared" si="1110"/>
        <v>0</v>
      </c>
      <c r="BY398" s="78">
        <f t="shared" si="1110"/>
        <v>0</v>
      </c>
      <c r="BZ398" s="149"/>
      <c r="CA398" s="149"/>
      <c r="CB398" s="149">
        <v>283.70999999999998</v>
      </c>
      <c r="CC398" s="231">
        <f t="shared" si="1013"/>
        <v>31050</v>
      </c>
    </row>
    <row r="399" spans="2:81" x14ac:dyDescent="0.25">
      <c r="B399" s="155">
        <v>31100</v>
      </c>
      <c r="C399" s="147">
        <f t="shared" si="989"/>
        <v>16471.0825</v>
      </c>
      <c r="D399" s="147">
        <f t="shared" si="990"/>
        <v>0</v>
      </c>
      <c r="E399" s="147">
        <f t="shared" si="1007"/>
        <v>0</v>
      </c>
      <c r="F399" s="147">
        <f t="shared" si="991"/>
        <v>0</v>
      </c>
      <c r="G399" s="147">
        <f t="shared" si="1008"/>
        <v>25.192399999999999</v>
      </c>
      <c r="H399" s="147">
        <f t="shared" si="1009"/>
        <v>25.192399999999999</v>
      </c>
      <c r="I399" s="147">
        <f t="shared" si="1010"/>
        <v>49.970700000000001</v>
      </c>
      <c r="J399" s="156">
        <f t="shared" si="1011"/>
        <v>49.970700000000001</v>
      </c>
      <c r="K399" s="157">
        <f t="shared" si="1012"/>
        <v>314.48</v>
      </c>
      <c r="L399" s="151">
        <f t="shared" si="1085"/>
        <v>29081</v>
      </c>
      <c r="M399" s="147">
        <f t="shared" si="1086"/>
        <v>0</v>
      </c>
      <c r="N399" s="147"/>
      <c r="O399" s="147">
        <f t="shared" si="1087"/>
        <v>0</v>
      </c>
      <c r="P399" s="147">
        <f t="shared" si="1088"/>
        <v>46</v>
      </c>
      <c r="Q399" s="147">
        <f t="shared" si="1089"/>
        <v>46</v>
      </c>
      <c r="R399" s="147">
        <f t="shared" si="1090"/>
        <v>272</v>
      </c>
      <c r="S399" s="147">
        <f t="shared" si="1091"/>
        <v>272</v>
      </c>
      <c r="T399" s="147">
        <f t="shared" si="1014"/>
        <v>1662</v>
      </c>
      <c r="V399" s="146"/>
      <c r="W399" s="147"/>
      <c r="X399" s="147"/>
      <c r="Y399" s="147"/>
      <c r="Z399" s="147"/>
      <c r="AA399" s="147"/>
      <c r="AB399" s="147"/>
      <c r="AC399" s="147"/>
      <c r="AD399" s="148"/>
      <c r="AF399" s="155">
        <f t="shared" si="999"/>
        <v>31100</v>
      </c>
      <c r="AG399" s="78">
        <v>16471.0825</v>
      </c>
      <c r="AH399" s="78"/>
      <c r="AI399" s="78"/>
      <c r="AJ399" s="78"/>
      <c r="AK399" s="78"/>
      <c r="AL399" s="78"/>
      <c r="AM399" s="78"/>
      <c r="AN399" s="78"/>
      <c r="AO399" s="78"/>
      <c r="AP399" s="78"/>
      <c r="AQ399" s="78"/>
      <c r="AR399" s="78"/>
      <c r="AS399" s="78"/>
      <c r="AT399" s="78"/>
      <c r="AU399" s="78"/>
      <c r="AV399" s="78"/>
      <c r="AW399" s="78"/>
      <c r="AX399" s="78"/>
      <c r="AY399" s="78"/>
      <c r="AZ399" s="78"/>
      <c r="BA399" s="78"/>
      <c r="BB399" s="78"/>
      <c r="BC399" s="78"/>
      <c r="BD399" s="78"/>
      <c r="BE399" s="78"/>
      <c r="BF399" s="78"/>
      <c r="BG399" s="78"/>
      <c r="BH399" s="78"/>
      <c r="BI399" s="78"/>
      <c r="BJ399" s="78"/>
      <c r="BK399" s="78"/>
      <c r="BL399" s="78"/>
      <c r="BM399" s="78"/>
      <c r="BN399" s="78">
        <v>25.192399999999999</v>
      </c>
      <c r="BO399" s="78"/>
      <c r="BP399" s="78"/>
      <c r="BQ399" s="49">
        <f t="shared" si="1108"/>
        <v>25.192399999999999</v>
      </c>
      <c r="BR399" s="78"/>
      <c r="BS399" s="78"/>
      <c r="BT399" s="78">
        <v>49.970700000000001</v>
      </c>
      <c r="BU399" s="78"/>
      <c r="BV399" s="78"/>
      <c r="BW399" s="78">
        <f t="shared" si="1109"/>
        <v>49.970700000000001</v>
      </c>
      <c r="BX399" s="78">
        <f t="shared" si="1110"/>
        <v>0</v>
      </c>
      <c r="BY399" s="78">
        <f t="shared" si="1110"/>
        <v>0</v>
      </c>
      <c r="BZ399" s="78"/>
      <c r="CA399" s="78"/>
      <c r="CB399" s="78">
        <v>314.48</v>
      </c>
      <c r="CC399" s="231">
        <f t="shared" si="1013"/>
        <v>31100</v>
      </c>
    </row>
    <row r="400" spans="2:81" s="3" customFormat="1" ht="15.75" thickBot="1" x14ac:dyDescent="0.3">
      <c r="B400" s="158">
        <v>31150</v>
      </c>
      <c r="C400" s="144">
        <f t="shared" si="989"/>
        <v>18407.179199999999</v>
      </c>
      <c r="D400" s="144">
        <f t="shared" si="990"/>
        <v>0</v>
      </c>
      <c r="E400" s="144">
        <f t="shared" si="1007"/>
        <v>0</v>
      </c>
      <c r="F400" s="144">
        <f t="shared" si="991"/>
        <v>0</v>
      </c>
      <c r="G400" s="144">
        <f t="shared" si="1008"/>
        <v>26.727499999999999</v>
      </c>
      <c r="H400" s="144">
        <f t="shared" si="1009"/>
        <v>26.727499999999999</v>
      </c>
      <c r="I400" s="144">
        <f t="shared" si="1010"/>
        <v>53.043999999999997</v>
      </c>
      <c r="J400" s="159">
        <f t="shared" si="1011"/>
        <v>53.043999999999997</v>
      </c>
      <c r="K400" s="160">
        <f t="shared" si="1012"/>
        <v>355.45</v>
      </c>
      <c r="L400" s="152">
        <f t="shared" si="1085"/>
        <v>32295</v>
      </c>
      <c r="M400" s="144">
        <f t="shared" si="1086"/>
        <v>0</v>
      </c>
      <c r="N400" s="144"/>
      <c r="O400" s="144">
        <f t="shared" si="1087"/>
        <v>0</v>
      </c>
      <c r="P400" s="144">
        <f t="shared" si="1088"/>
        <v>49</v>
      </c>
      <c r="Q400" s="144">
        <f t="shared" si="1089"/>
        <v>49</v>
      </c>
      <c r="R400" s="144">
        <f t="shared" si="1090"/>
        <v>287</v>
      </c>
      <c r="S400" s="144">
        <f t="shared" si="1091"/>
        <v>287</v>
      </c>
      <c r="T400" s="144">
        <f t="shared" si="1014"/>
        <v>1861</v>
      </c>
      <c r="V400" s="150">
        <f>L399+L400</f>
        <v>61376</v>
      </c>
      <c r="W400" s="150">
        <f t="shared" ref="W400" si="1153">M399+M400</f>
        <v>0</v>
      </c>
      <c r="X400" s="150"/>
      <c r="Y400" s="150">
        <f t="shared" ref="Y400" si="1154">O399+O400</f>
        <v>0</v>
      </c>
      <c r="Z400" s="150">
        <f t="shared" ref="Z400" si="1155">P399+P400</f>
        <v>95</v>
      </c>
      <c r="AA400" s="150">
        <f t="shared" ref="AA400" si="1156">Q399+Q400</f>
        <v>95</v>
      </c>
      <c r="AB400" s="150">
        <f t="shared" ref="AB400" si="1157">R399+R400</f>
        <v>559</v>
      </c>
      <c r="AC400" s="150">
        <f t="shared" ref="AC400" si="1158">S399+S400</f>
        <v>559</v>
      </c>
      <c r="AD400" s="150">
        <f t="shared" ref="AD400" si="1159">T399+T400</f>
        <v>3523</v>
      </c>
      <c r="AF400" s="158">
        <f t="shared" si="999"/>
        <v>31150</v>
      </c>
      <c r="AG400" s="149">
        <v>18407.179199999999</v>
      </c>
      <c r="AH400" s="149"/>
      <c r="AI400" s="149"/>
      <c r="AJ400" s="149"/>
      <c r="AK400" s="149"/>
      <c r="AL400" s="149"/>
      <c r="AM400" s="149"/>
      <c r="AN400" s="149"/>
      <c r="AO400" s="149"/>
      <c r="AP400" s="149"/>
      <c r="AQ400" s="149"/>
      <c r="AR400" s="149"/>
      <c r="AS400" s="149"/>
      <c r="AT400" s="149"/>
      <c r="AU400" s="149"/>
      <c r="AV400" s="149"/>
      <c r="AW400" s="149"/>
      <c r="AX400" s="149"/>
      <c r="AY400" s="149"/>
      <c r="AZ400" s="149"/>
      <c r="BA400" s="149"/>
      <c r="BB400" s="149"/>
      <c r="BC400" s="149"/>
      <c r="BD400" s="149"/>
      <c r="BE400" s="149"/>
      <c r="BF400" s="149"/>
      <c r="BG400" s="149"/>
      <c r="BH400" s="149"/>
      <c r="BI400" s="149"/>
      <c r="BJ400" s="149"/>
      <c r="BK400" s="149"/>
      <c r="BL400" s="149"/>
      <c r="BM400" s="149"/>
      <c r="BN400" s="149">
        <v>26.727499999999999</v>
      </c>
      <c r="BO400" s="149"/>
      <c r="BP400" s="149"/>
      <c r="BQ400" s="49">
        <f t="shared" si="1108"/>
        <v>26.727499999999999</v>
      </c>
      <c r="BR400" s="149"/>
      <c r="BS400" s="149"/>
      <c r="BT400" s="149">
        <v>53.043999999999997</v>
      </c>
      <c r="BU400" s="149"/>
      <c r="BV400" s="149"/>
      <c r="BW400" s="78">
        <f t="shared" si="1109"/>
        <v>53.043999999999997</v>
      </c>
      <c r="BX400" s="78">
        <f t="shared" si="1110"/>
        <v>0</v>
      </c>
      <c r="BY400" s="78">
        <f t="shared" si="1110"/>
        <v>0</v>
      </c>
      <c r="BZ400" s="149"/>
      <c r="CA400" s="149"/>
      <c r="CB400" s="149">
        <v>355.45</v>
      </c>
      <c r="CC400" s="231">
        <f t="shared" si="1013"/>
        <v>31150</v>
      </c>
    </row>
    <row r="401" spans="1:81" x14ac:dyDescent="0.25">
      <c r="B401" s="155">
        <v>31200</v>
      </c>
      <c r="C401" s="147">
        <f t="shared" si="989"/>
        <v>20643.643599999999</v>
      </c>
      <c r="D401" s="147">
        <f t="shared" si="990"/>
        <v>0</v>
      </c>
      <c r="E401" s="147">
        <f t="shared" si="1007"/>
        <v>0</v>
      </c>
      <c r="F401" s="147">
        <f t="shared" si="991"/>
        <v>0</v>
      </c>
      <c r="G401" s="147">
        <f t="shared" si="1008"/>
        <v>28.703499999999998</v>
      </c>
      <c r="H401" s="147">
        <f t="shared" si="1009"/>
        <v>28.703499999999998</v>
      </c>
      <c r="I401" s="147">
        <f t="shared" si="1010"/>
        <v>56.999699999999997</v>
      </c>
      <c r="J401" s="156">
        <f t="shared" si="1011"/>
        <v>56.999699999999997</v>
      </c>
      <c r="K401" s="157">
        <f t="shared" si="1012"/>
        <v>390.85</v>
      </c>
      <c r="L401" s="151">
        <f t="shared" si="1085"/>
        <v>36159</v>
      </c>
      <c r="M401" s="147">
        <f t="shared" si="1086"/>
        <v>0</v>
      </c>
      <c r="N401" s="147"/>
      <c r="O401" s="147">
        <f t="shared" si="1087"/>
        <v>0</v>
      </c>
      <c r="P401" s="147">
        <f t="shared" si="1088"/>
        <v>52</v>
      </c>
      <c r="Q401" s="147">
        <f t="shared" si="1089"/>
        <v>52</v>
      </c>
      <c r="R401" s="147">
        <f t="shared" si="1090"/>
        <v>306</v>
      </c>
      <c r="S401" s="147">
        <f t="shared" si="1091"/>
        <v>306</v>
      </c>
      <c r="T401" s="147">
        <f t="shared" si="1014"/>
        <v>2074</v>
      </c>
      <c r="V401" s="146"/>
      <c r="W401" s="147"/>
      <c r="X401" s="147"/>
      <c r="Y401" s="147"/>
      <c r="Z401" s="147"/>
      <c r="AA401" s="147"/>
      <c r="AB401" s="147"/>
      <c r="AC401" s="147"/>
      <c r="AD401" s="148"/>
      <c r="AF401" s="155">
        <f t="shared" si="999"/>
        <v>31200</v>
      </c>
      <c r="AG401" s="78">
        <v>20643.643599999999</v>
      </c>
      <c r="AH401" s="78"/>
      <c r="AI401" s="78"/>
      <c r="AJ401" s="78"/>
      <c r="AK401" s="78"/>
      <c r="AL401" s="78"/>
      <c r="AM401" s="78"/>
      <c r="AN401" s="78"/>
      <c r="AO401" s="78"/>
      <c r="AP401" s="78"/>
      <c r="AQ401" s="78"/>
      <c r="AR401" s="78"/>
      <c r="AS401" s="78"/>
      <c r="AT401" s="78"/>
      <c r="AU401" s="78"/>
      <c r="AV401" s="78"/>
      <c r="AW401" s="78"/>
      <c r="AX401" s="78"/>
      <c r="AY401" s="78"/>
      <c r="AZ401" s="78"/>
      <c r="BA401" s="78"/>
      <c r="BB401" s="78"/>
      <c r="BC401" s="78"/>
      <c r="BD401" s="78"/>
      <c r="BE401" s="78"/>
      <c r="BF401" s="78"/>
      <c r="BG401" s="78"/>
      <c r="BH401" s="78"/>
      <c r="BI401" s="78"/>
      <c r="BJ401" s="78"/>
      <c r="BK401" s="78"/>
      <c r="BL401" s="78"/>
      <c r="BM401" s="78"/>
      <c r="BN401" s="78">
        <v>28.703499999999998</v>
      </c>
      <c r="BO401" s="78"/>
      <c r="BP401" s="78"/>
      <c r="BQ401" s="49">
        <f t="shared" si="1108"/>
        <v>28.703499999999998</v>
      </c>
      <c r="BR401" s="78"/>
      <c r="BS401" s="78"/>
      <c r="BT401" s="78">
        <v>56.999699999999997</v>
      </c>
      <c r="BU401" s="78"/>
      <c r="BV401" s="78"/>
      <c r="BW401" s="78">
        <f t="shared" si="1109"/>
        <v>56.999699999999997</v>
      </c>
      <c r="BX401" s="78">
        <f t="shared" si="1110"/>
        <v>0</v>
      </c>
      <c r="BY401" s="78">
        <f t="shared" si="1110"/>
        <v>0</v>
      </c>
      <c r="BZ401" s="78"/>
      <c r="CA401" s="78"/>
      <c r="CB401" s="78">
        <v>390.85</v>
      </c>
      <c r="CC401" s="231">
        <f t="shared" si="1013"/>
        <v>31200</v>
      </c>
    </row>
    <row r="402" spans="1:81" s="3" customFormat="1" ht="15.75" thickBot="1" x14ac:dyDescent="0.3">
      <c r="B402" s="158">
        <v>31250</v>
      </c>
      <c r="C402" s="144">
        <f t="shared" si="989"/>
        <v>20578.818899999998</v>
      </c>
      <c r="D402" s="144">
        <f t="shared" si="990"/>
        <v>0</v>
      </c>
      <c r="E402" s="144">
        <f t="shared" si="1007"/>
        <v>0</v>
      </c>
      <c r="F402" s="144">
        <f t="shared" si="991"/>
        <v>0</v>
      </c>
      <c r="G402" s="144">
        <f t="shared" si="1008"/>
        <v>31.122</v>
      </c>
      <c r="H402" s="144">
        <f t="shared" si="1009"/>
        <v>31.122</v>
      </c>
      <c r="I402" s="144">
        <f t="shared" si="1010"/>
        <v>61.839100000000002</v>
      </c>
      <c r="J402" s="159">
        <f t="shared" si="1011"/>
        <v>61.839100000000002</v>
      </c>
      <c r="K402" s="160">
        <f t="shared" si="1012"/>
        <v>415.5</v>
      </c>
      <c r="L402" s="152">
        <f t="shared" si="1085"/>
        <v>38169</v>
      </c>
      <c r="M402" s="144">
        <f t="shared" si="1086"/>
        <v>0</v>
      </c>
      <c r="N402" s="144"/>
      <c r="O402" s="144">
        <f t="shared" si="1087"/>
        <v>0</v>
      </c>
      <c r="P402" s="144">
        <f t="shared" si="1088"/>
        <v>56</v>
      </c>
      <c r="Q402" s="144">
        <f t="shared" si="1089"/>
        <v>56</v>
      </c>
      <c r="R402" s="144">
        <f t="shared" si="1090"/>
        <v>331</v>
      </c>
      <c r="S402" s="144">
        <f t="shared" si="1091"/>
        <v>331</v>
      </c>
      <c r="T402" s="144">
        <f t="shared" si="1014"/>
        <v>2240</v>
      </c>
      <c r="V402" s="150">
        <f>L401+L402</f>
        <v>74328</v>
      </c>
      <c r="W402" s="150">
        <f t="shared" ref="W402" si="1160">M401+M402</f>
        <v>0</v>
      </c>
      <c r="X402" s="150"/>
      <c r="Y402" s="150">
        <f t="shared" ref="Y402" si="1161">O401+O402</f>
        <v>0</v>
      </c>
      <c r="Z402" s="150">
        <f t="shared" ref="Z402" si="1162">P401+P402</f>
        <v>108</v>
      </c>
      <c r="AA402" s="150">
        <f t="shared" ref="AA402" si="1163">Q401+Q402</f>
        <v>108</v>
      </c>
      <c r="AB402" s="150">
        <f t="shared" ref="AB402" si="1164">R401+R402</f>
        <v>637</v>
      </c>
      <c r="AC402" s="150">
        <f t="shared" ref="AC402" si="1165">S401+S402</f>
        <v>637</v>
      </c>
      <c r="AD402" s="150">
        <f t="shared" ref="AD402" si="1166">T401+T402</f>
        <v>4314</v>
      </c>
      <c r="AF402" s="158">
        <f t="shared" si="999"/>
        <v>31250</v>
      </c>
      <c r="AG402" s="149">
        <v>20578.818899999998</v>
      </c>
      <c r="AH402" s="149"/>
      <c r="AI402" s="149"/>
      <c r="AJ402" s="149"/>
      <c r="AK402" s="149"/>
      <c r="AL402" s="149"/>
      <c r="AM402" s="149"/>
      <c r="AN402" s="149"/>
      <c r="AO402" s="149"/>
      <c r="AP402" s="149"/>
      <c r="AQ402" s="149"/>
      <c r="AR402" s="149"/>
      <c r="AS402" s="149"/>
      <c r="AT402" s="149"/>
      <c r="AU402" s="149"/>
      <c r="AV402" s="149"/>
      <c r="AW402" s="149"/>
      <c r="AX402" s="149"/>
      <c r="AY402" s="149"/>
      <c r="AZ402" s="149"/>
      <c r="BA402" s="149"/>
      <c r="BB402" s="149"/>
      <c r="BC402" s="149"/>
      <c r="BD402" s="149"/>
      <c r="BE402" s="149"/>
      <c r="BF402" s="149"/>
      <c r="BG402" s="149"/>
      <c r="BH402" s="149"/>
      <c r="BI402" s="149"/>
      <c r="BJ402" s="149"/>
      <c r="BK402" s="149"/>
      <c r="BL402" s="149"/>
      <c r="BM402" s="149"/>
      <c r="BN402" s="149">
        <v>31.122</v>
      </c>
      <c r="BO402" s="149"/>
      <c r="BP402" s="149"/>
      <c r="BQ402" s="49">
        <f t="shared" si="1108"/>
        <v>31.122</v>
      </c>
      <c r="BR402" s="149"/>
      <c r="BS402" s="149"/>
      <c r="BT402" s="149">
        <v>61.839100000000002</v>
      </c>
      <c r="BU402" s="149"/>
      <c r="BV402" s="149"/>
      <c r="BW402" s="78">
        <f t="shared" si="1109"/>
        <v>61.839100000000002</v>
      </c>
      <c r="BX402" s="78">
        <f t="shared" si="1110"/>
        <v>0</v>
      </c>
      <c r="BY402" s="78">
        <f t="shared" si="1110"/>
        <v>0</v>
      </c>
      <c r="BZ402" s="149"/>
      <c r="CA402" s="149"/>
      <c r="CB402" s="149">
        <v>415.5</v>
      </c>
      <c r="CC402" s="231">
        <f t="shared" si="1013"/>
        <v>31250</v>
      </c>
    </row>
    <row r="403" spans="1:81" x14ac:dyDescent="0.25">
      <c r="B403" s="155">
        <v>31300</v>
      </c>
      <c r="C403" s="147">
        <f t="shared" si="989"/>
        <v>18320.680199999999</v>
      </c>
      <c r="D403" s="147">
        <f t="shared" si="990"/>
        <v>0</v>
      </c>
      <c r="E403" s="147">
        <f t="shared" si="1007"/>
        <v>0</v>
      </c>
      <c r="F403" s="147">
        <f t="shared" si="991"/>
        <v>0</v>
      </c>
      <c r="G403" s="147">
        <f t="shared" si="1008"/>
        <v>33.920999999999999</v>
      </c>
      <c r="H403" s="147">
        <f t="shared" si="1009"/>
        <v>33.920999999999999</v>
      </c>
      <c r="I403" s="147">
        <f t="shared" si="1010"/>
        <v>67.441100000000006</v>
      </c>
      <c r="J403" s="156">
        <f t="shared" si="1011"/>
        <v>67.441100000000006</v>
      </c>
      <c r="K403" s="157">
        <f t="shared" si="1012"/>
        <v>440.93</v>
      </c>
      <c r="L403" s="151">
        <f t="shared" si="1085"/>
        <v>36019</v>
      </c>
      <c r="M403" s="147">
        <f t="shared" si="1086"/>
        <v>0</v>
      </c>
      <c r="N403" s="147"/>
      <c r="O403" s="147">
        <f t="shared" si="1087"/>
        <v>0</v>
      </c>
      <c r="P403" s="147">
        <f t="shared" si="1088"/>
        <v>61</v>
      </c>
      <c r="Q403" s="147">
        <f t="shared" si="1089"/>
        <v>61</v>
      </c>
      <c r="R403" s="147">
        <f t="shared" si="1090"/>
        <v>360</v>
      </c>
      <c r="S403" s="147">
        <f t="shared" si="1091"/>
        <v>360</v>
      </c>
      <c r="T403" s="147">
        <f t="shared" si="1014"/>
        <v>2379</v>
      </c>
      <c r="V403" s="146"/>
      <c r="W403" s="147"/>
      <c r="X403" s="147"/>
      <c r="Y403" s="147"/>
      <c r="Z403" s="147"/>
      <c r="AA403" s="147"/>
      <c r="AB403" s="147"/>
      <c r="AC403" s="147"/>
      <c r="AD403" s="148"/>
      <c r="AF403" s="155">
        <f t="shared" si="999"/>
        <v>31300</v>
      </c>
      <c r="AG403" s="78">
        <v>18320.680199999999</v>
      </c>
      <c r="AH403" s="78"/>
      <c r="AI403" s="78"/>
      <c r="AJ403" s="78"/>
      <c r="AK403" s="78"/>
      <c r="AL403" s="78"/>
      <c r="AM403" s="78"/>
      <c r="AN403" s="78"/>
      <c r="AO403" s="78"/>
      <c r="AP403" s="78"/>
      <c r="AQ403" s="78"/>
      <c r="AR403" s="78"/>
      <c r="AS403" s="78"/>
      <c r="AT403" s="78"/>
      <c r="AU403" s="78"/>
      <c r="AV403" s="78"/>
      <c r="AW403" s="78"/>
      <c r="AX403" s="78"/>
      <c r="AY403" s="78"/>
      <c r="AZ403" s="78"/>
      <c r="BA403" s="78"/>
      <c r="BB403" s="78"/>
      <c r="BC403" s="78"/>
      <c r="BD403" s="78"/>
      <c r="BE403" s="78"/>
      <c r="BF403" s="78"/>
      <c r="BG403" s="78"/>
      <c r="BH403" s="78"/>
      <c r="BI403" s="78"/>
      <c r="BJ403" s="78"/>
      <c r="BK403" s="78"/>
      <c r="BL403" s="78"/>
      <c r="BM403" s="78"/>
      <c r="BN403" s="78">
        <v>33.920999999999999</v>
      </c>
      <c r="BO403" s="78"/>
      <c r="BP403" s="78"/>
      <c r="BQ403" s="49">
        <f t="shared" si="1108"/>
        <v>33.920999999999999</v>
      </c>
      <c r="BR403" s="78"/>
      <c r="BS403" s="78"/>
      <c r="BT403" s="78">
        <v>67.441100000000006</v>
      </c>
      <c r="BU403" s="78"/>
      <c r="BV403" s="78"/>
      <c r="BW403" s="78">
        <f t="shared" si="1109"/>
        <v>67.441100000000006</v>
      </c>
      <c r="BX403" s="78">
        <f t="shared" si="1110"/>
        <v>0</v>
      </c>
      <c r="BY403" s="78">
        <f t="shared" si="1110"/>
        <v>0</v>
      </c>
      <c r="BZ403" s="78"/>
      <c r="CA403" s="78"/>
      <c r="CB403" s="78">
        <v>440.93</v>
      </c>
      <c r="CC403" s="231">
        <f t="shared" si="1013"/>
        <v>31300</v>
      </c>
    </row>
    <row r="404" spans="1:81" s="3" customFormat="1" ht="15.75" thickBot="1" x14ac:dyDescent="0.3">
      <c r="B404" s="158">
        <v>31350</v>
      </c>
      <c r="C404" s="144">
        <f t="shared" si="989"/>
        <v>13732.5087</v>
      </c>
      <c r="D404" s="144">
        <f t="shared" si="990"/>
        <v>0</v>
      </c>
      <c r="E404" s="144">
        <f t="shared" si="1007"/>
        <v>0</v>
      </c>
      <c r="F404" s="144">
        <f t="shared" si="991"/>
        <v>0</v>
      </c>
      <c r="G404" s="144">
        <f t="shared" si="1008"/>
        <v>37.0991</v>
      </c>
      <c r="H404" s="144">
        <f t="shared" si="1009"/>
        <v>37.0991</v>
      </c>
      <c r="I404" s="144">
        <f t="shared" si="1010"/>
        <v>73.143699999999995</v>
      </c>
      <c r="J404" s="159">
        <f t="shared" si="1011"/>
        <v>73.143699999999995</v>
      </c>
      <c r="K404" s="160">
        <f t="shared" si="1012"/>
        <v>445.26</v>
      </c>
      <c r="L404" s="152">
        <f t="shared" si="1085"/>
        <v>29679</v>
      </c>
      <c r="M404" s="144">
        <f t="shared" si="1086"/>
        <v>0</v>
      </c>
      <c r="N404" s="144"/>
      <c r="O404" s="144">
        <f t="shared" si="1087"/>
        <v>0</v>
      </c>
      <c r="P404" s="144">
        <f t="shared" si="1088"/>
        <v>66</v>
      </c>
      <c r="Q404" s="144">
        <f t="shared" si="1089"/>
        <v>66</v>
      </c>
      <c r="R404" s="144">
        <f t="shared" si="1090"/>
        <v>391</v>
      </c>
      <c r="S404" s="144">
        <f t="shared" si="1091"/>
        <v>391</v>
      </c>
      <c r="T404" s="144">
        <f t="shared" si="1014"/>
        <v>2462</v>
      </c>
      <c r="V404" s="150">
        <f>L403+L404</f>
        <v>65698</v>
      </c>
      <c r="W404" s="150">
        <f t="shared" ref="W404" si="1167">M403+M404</f>
        <v>0</v>
      </c>
      <c r="X404" s="150"/>
      <c r="Y404" s="150">
        <f t="shared" ref="Y404" si="1168">O403+O404</f>
        <v>0</v>
      </c>
      <c r="Z404" s="150">
        <f t="shared" ref="Z404" si="1169">P403+P404</f>
        <v>127</v>
      </c>
      <c r="AA404" s="150">
        <f t="shared" ref="AA404" si="1170">Q403+Q404</f>
        <v>127</v>
      </c>
      <c r="AB404" s="150">
        <f t="shared" ref="AB404" si="1171">R403+R404</f>
        <v>751</v>
      </c>
      <c r="AC404" s="150">
        <f t="shared" ref="AC404" si="1172">S403+S404</f>
        <v>751</v>
      </c>
      <c r="AD404" s="150">
        <f t="shared" ref="AD404" si="1173">T403+T404</f>
        <v>4841</v>
      </c>
      <c r="AF404" s="158">
        <f t="shared" si="999"/>
        <v>31350</v>
      </c>
      <c r="AG404" s="149">
        <v>13732.5087</v>
      </c>
      <c r="AH404" s="149"/>
      <c r="AI404" s="149"/>
      <c r="AJ404" s="149"/>
      <c r="AK404" s="149"/>
      <c r="AL404" s="149"/>
      <c r="AM404" s="149"/>
      <c r="AN404" s="149"/>
      <c r="AO404" s="149"/>
      <c r="AP404" s="149"/>
      <c r="AQ404" s="149"/>
      <c r="AR404" s="149"/>
      <c r="AS404" s="149"/>
      <c r="AT404" s="149"/>
      <c r="AU404" s="149"/>
      <c r="AV404" s="149"/>
      <c r="AW404" s="149"/>
      <c r="AX404" s="149"/>
      <c r="AY404" s="149"/>
      <c r="AZ404" s="149"/>
      <c r="BA404" s="149"/>
      <c r="BB404" s="149"/>
      <c r="BC404" s="149"/>
      <c r="BD404" s="149"/>
      <c r="BE404" s="149"/>
      <c r="BF404" s="149"/>
      <c r="BG404" s="149"/>
      <c r="BH404" s="149"/>
      <c r="BI404" s="149"/>
      <c r="BJ404" s="149"/>
      <c r="BK404" s="149"/>
      <c r="BL404" s="149"/>
      <c r="BM404" s="149"/>
      <c r="BN404" s="149">
        <v>37.0991</v>
      </c>
      <c r="BO404" s="149"/>
      <c r="BP404" s="149"/>
      <c r="BQ404" s="49">
        <f t="shared" si="1108"/>
        <v>37.0991</v>
      </c>
      <c r="BR404" s="149"/>
      <c r="BS404" s="149"/>
      <c r="BT404" s="149">
        <v>73.143699999999995</v>
      </c>
      <c r="BU404" s="149"/>
      <c r="BV404" s="149"/>
      <c r="BW404" s="78">
        <f t="shared" si="1109"/>
        <v>73.143699999999995</v>
      </c>
      <c r="BX404" s="78">
        <f t="shared" si="1110"/>
        <v>0</v>
      </c>
      <c r="BY404" s="78">
        <f t="shared" si="1110"/>
        <v>0</v>
      </c>
      <c r="BZ404" s="149"/>
      <c r="CA404" s="149"/>
      <c r="CB404" s="149">
        <v>445.26</v>
      </c>
      <c r="CC404" s="231">
        <f t="shared" si="1013"/>
        <v>31350</v>
      </c>
    </row>
    <row r="405" spans="1:81" x14ac:dyDescent="0.25">
      <c r="B405" s="155">
        <v>31400</v>
      </c>
      <c r="C405" s="147">
        <f t="shared" si="989"/>
        <v>9442.1276999999991</v>
      </c>
      <c r="D405" s="147">
        <f t="shared" si="990"/>
        <v>0</v>
      </c>
      <c r="E405" s="147">
        <f t="shared" si="1007"/>
        <v>0</v>
      </c>
      <c r="F405" s="147">
        <f t="shared" si="991"/>
        <v>0</v>
      </c>
      <c r="G405" s="147">
        <f t="shared" si="1008"/>
        <v>39.624600000000001</v>
      </c>
      <c r="H405" s="147">
        <f t="shared" si="1009"/>
        <v>39.624600000000001</v>
      </c>
      <c r="I405" s="147">
        <f t="shared" si="1010"/>
        <v>78.8339</v>
      </c>
      <c r="J405" s="156">
        <f t="shared" si="1011"/>
        <v>78.8339</v>
      </c>
      <c r="K405" s="157">
        <f t="shared" si="1012"/>
        <v>433.83</v>
      </c>
      <c r="L405" s="151">
        <f t="shared" si="1085"/>
        <v>21458</v>
      </c>
      <c r="M405" s="147">
        <f t="shared" si="1086"/>
        <v>0</v>
      </c>
      <c r="N405" s="147"/>
      <c r="O405" s="147">
        <f t="shared" si="1087"/>
        <v>0</v>
      </c>
      <c r="P405" s="147">
        <f t="shared" si="1088"/>
        <v>72</v>
      </c>
      <c r="Q405" s="147">
        <f t="shared" si="1089"/>
        <v>72</v>
      </c>
      <c r="R405" s="147">
        <f t="shared" si="1090"/>
        <v>423</v>
      </c>
      <c r="S405" s="147">
        <f t="shared" si="1091"/>
        <v>423</v>
      </c>
      <c r="T405" s="147">
        <f t="shared" si="1014"/>
        <v>2442</v>
      </c>
      <c r="V405" s="146"/>
      <c r="W405" s="147"/>
      <c r="X405" s="147"/>
      <c r="Y405" s="147"/>
      <c r="Z405" s="147"/>
      <c r="AA405" s="147"/>
      <c r="AB405" s="147"/>
      <c r="AC405" s="147"/>
      <c r="AD405" s="148"/>
      <c r="AF405" s="155">
        <f t="shared" si="999"/>
        <v>31400</v>
      </c>
      <c r="AG405" s="78">
        <v>9442.1276999999991</v>
      </c>
      <c r="AH405" s="78"/>
      <c r="AI405" s="78"/>
      <c r="AJ405" s="78"/>
      <c r="AK405" s="78"/>
      <c r="AL405" s="78"/>
      <c r="AM405" s="78"/>
      <c r="AN405" s="78"/>
      <c r="AO405" s="78"/>
      <c r="AP405" s="78"/>
      <c r="AQ405" s="78"/>
      <c r="AR405" s="78"/>
      <c r="AS405" s="78"/>
      <c r="AT405" s="78"/>
      <c r="AU405" s="78"/>
      <c r="AV405" s="78"/>
      <c r="AW405" s="78"/>
      <c r="AX405" s="78"/>
      <c r="AY405" s="78"/>
      <c r="AZ405" s="78"/>
      <c r="BA405" s="78"/>
      <c r="BB405" s="78"/>
      <c r="BC405" s="78"/>
      <c r="BD405" s="78"/>
      <c r="BE405" s="78"/>
      <c r="BF405" s="78"/>
      <c r="BG405" s="78"/>
      <c r="BH405" s="78"/>
      <c r="BI405" s="78"/>
      <c r="BJ405" s="78"/>
      <c r="BK405" s="78"/>
      <c r="BL405" s="78"/>
      <c r="BM405" s="78"/>
      <c r="BN405" s="78">
        <v>39.624600000000001</v>
      </c>
      <c r="BO405" s="78"/>
      <c r="BP405" s="78"/>
      <c r="BQ405" s="49">
        <f t="shared" si="1108"/>
        <v>39.624600000000001</v>
      </c>
      <c r="BR405" s="78"/>
      <c r="BS405" s="78"/>
      <c r="BT405" s="78">
        <v>78.8339</v>
      </c>
      <c r="BU405" s="78"/>
      <c r="BV405" s="78"/>
      <c r="BW405" s="78">
        <f t="shared" si="1109"/>
        <v>78.8339</v>
      </c>
      <c r="BX405" s="78">
        <f t="shared" si="1110"/>
        <v>0</v>
      </c>
      <c r="BY405" s="78">
        <f t="shared" si="1110"/>
        <v>0</v>
      </c>
      <c r="BZ405" s="78"/>
      <c r="CA405" s="78"/>
      <c r="CB405" s="78">
        <v>433.83</v>
      </c>
      <c r="CC405" s="231">
        <f t="shared" si="1013"/>
        <v>31400</v>
      </c>
    </row>
    <row r="406" spans="1:81" s="3" customFormat="1" ht="15.75" thickBot="1" x14ac:dyDescent="0.3">
      <c r="B406" s="158">
        <v>31450</v>
      </c>
      <c r="C406" s="144">
        <f t="shared" si="989"/>
        <v>6975.6189999999997</v>
      </c>
      <c r="D406" s="144">
        <f t="shared" si="990"/>
        <v>0</v>
      </c>
      <c r="E406" s="144">
        <f t="shared" si="1007"/>
        <v>0</v>
      </c>
      <c r="F406" s="144">
        <f t="shared" si="991"/>
        <v>0</v>
      </c>
      <c r="G406" s="144">
        <f t="shared" si="1008"/>
        <v>42.4696</v>
      </c>
      <c r="H406" s="144">
        <f t="shared" si="1009"/>
        <v>42.4696</v>
      </c>
      <c r="I406" s="144">
        <f t="shared" si="1010"/>
        <v>84.524299999999997</v>
      </c>
      <c r="J406" s="159">
        <f t="shared" si="1011"/>
        <v>84.524299999999997</v>
      </c>
      <c r="K406" s="160">
        <f t="shared" si="1012"/>
        <v>365.21</v>
      </c>
      <c r="L406" s="152">
        <f t="shared" si="1085"/>
        <v>15202</v>
      </c>
      <c r="M406" s="144">
        <f t="shared" si="1086"/>
        <v>0</v>
      </c>
      <c r="N406" s="144"/>
      <c r="O406" s="144">
        <f t="shared" si="1087"/>
        <v>0</v>
      </c>
      <c r="P406" s="144">
        <f t="shared" si="1088"/>
        <v>77</v>
      </c>
      <c r="Q406" s="144">
        <f t="shared" si="1089"/>
        <v>77</v>
      </c>
      <c r="R406" s="144">
        <f t="shared" si="1090"/>
        <v>454</v>
      </c>
      <c r="S406" s="144">
        <f t="shared" si="1091"/>
        <v>454</v>
      </c>
      <c r="T406" s="144">
        <f t="shared" si="1014"/>
        <v>2220</v>
      </c>
      <c r="V406" s="150">
        <f>L405+L406</f>
        <v>36660</v>
      </c>
      <c r="W406" s="150">
        <f t="shared" ref="W406" si="1174">M405+M406</f>
        <v>0</v>
      </c>
      <c r="X406" s="150"/>
      <c r="Y406" s="150">
        <f t="shared" ref="Y406" si="1175">O405+O406</f>
        <v>0</v>
      </c>
      <c r="Z406" s="150">
        <f t="shared" ref="Z406" si="1176">P405+P406</f>
        <v>149</v>
      </c>
      <c r="AA406" s="150">
        <f t="shared" ref="AA406" si="1177">Q405+Q406</f>
        <v>149</v>
      </c>
      <c r="AB406" s="150">
        <f t="shared" ref="AB406" si="1178">R405+R406</f>
        <v>877</v>
      </c>
      <c r="AC406" s="150">
        <f t="shared" ref="AC406" si="1179">S405+S406</f>
        <v>877</v>
      </c>
      <c r="AD406" s="150">
        <f t="shared" ref="AD406" si="1180">T405+T406</f>
        <v>4662</v>
      </c>
      <c r="AF406" s="158">
        <f t="shared" si="999"/>
        <v>31450</v>
      </c>
      <c r="AG406" s="149">
        <v>6975.6189999999997</v>
      </c>
      <c r="AH406" s="149"/>
      <c r="AI406" s="149"/>
      <c r="AJ406" s="149"/>
      <c r="AK406" s="149"/>
      <c r="AL406" s="149"/>
      <c r="AM406" s="149"/>
      <c r="AN406" s="149"/>
      <c r="AO406" s="149"/>
      <c r="AP406" s="149"/>
      <c r="AQ406" s="149"/>
      <c r="AR406" s="149"/>
      <c r="AS406" s="149"/>
      <c r="AT406" s="149"/>
      <c r="AU406" s="149"/>
      <c r="AV406" s="149"/>
      <c r="AW406" s="149"/>
      <c r="AX406" s="149"/>
      <c r="AY406" s="149"/>
      <c r="AZ406" s="149"/>
      <c r="BA406" s="149"/>
      <c r="BB406" s="149"/>
      <c r="BC406" s="149"/>
      <c r="BD406" s="149"/>
      <c r="BE406" s="149"/>
      <c r="BF406" s="149"/>
      <c r="BG406" s="149"/>
      <c r="BH406" s="149"/>
      <c r="BI406" s="149"/>
      <c r="BJ406" s="149"/>
      <c r="BK406" s="149"/>
      <c r="BL406" s="149"/>
      <c r="BM406" s="149"/>
      <c r="BN406" s="149">
        <v>42.4696</v>
      </c>
      <c r="BO406" s="149"/>
      <c r="BP406" s="149"/>
      <c r="BQ406" s="49">
        <f t="shared" si="1108"/>
        <v>42.4696</v>
      </c>
      <c r="BR406" s="149"/>
      <c r="BS406" s="149"/>
      <c r="BT406" s="149">
        <v>84.524299999999997</v>
      </c>
      <c r="BU406" s="149"/>
      <c r="BV406" s="149"/>
      <c r="BW406" s="78">
        <f t="shared" si="1109"/>
        <v>84.524299999999997</v>
      </c>
      <c r="BX406" s="78">
        <f t="shared" si="1110"/>
        <v>0</v>
      </c>
      <c r="BY406" s="78">
        <f t="shared" si="1110"/>
        <v>0</v>
      </c>
      <c r="BZ406" s="149"/>
      <c r="CA406" s="149"/>
      <c r="CB406" s="149">
        <v>365.21</v>
      </c>
      <c r="CC406" s="231">
        <f t="shared" si="1013"/>
        <v>31450</v>
      </c>
    </row>
    <row r="407" spans="1:81" s="80" customFormat="1" x14ac:dyDescent="0.25">
      <c r="A407" s="80" t="s">
        <v>52</v>
      </c>
      <c r="B407" s="132">
        <v>31465.11</v>
      </c>
      <c r="C407" s="169">
        <f t="shared" si="989"/>
        <v>6376.3540000000003</v>
      </c>
      <c r="D407" s="169">
        <f t="shared" si="990"/>
        <v>0</v>
      </c>
      <c r="E407" s="169">
        <f t="shared" si="1007"/>
        <v>0</v>
      </c>
      <c r="F407" s="169">
        <f t="shared" si="991"/>
        <v>0</v>
      </c>
      <c r="G407" s="169">
        <f t="shared" si="1008"/>
        <v>43.297400000000003</v>
      </c>
      <c r="H407" s="169">
        <f t="shared" si="1009"/>
        <v>43.297400000000003</v>
      </c>
      <c r="I407" s="169">
        <f t="shared" si="1010"/>
        <v>86.191999999999993</v>
      </c>
      <c r="J407" s="170">
        <f t="shared" si="1011"/>
        <v>86.191999999999993</v>
      </c>
      <c r="K407" s="171">
        <f t="shared" si="1012"/>
        <v>359.87</v>
      </c>
      <c r="L407" s="179">
        <f t="shared" si="1085"/>
        <v>3737</v>
      </c>
      <c r="M407" s="169">
        <f t="shared" si="1086"/>
        <v>0</v>
      </c>
      <c r="N407" s="169"/>
      <c r="O407" s="169">
        <f t="shared" si="1087"/>
        <v>0</v>
      </c>
      <c r="P407" s="169">
        <f t="shared" si="1088"/>
        <v>24</v>
      </c>
      <c r="Q407" s="169">
        <f t="shared" si="1089"/>
        <v>24</v>
      </c>
      <c r="R407" s="169">
        <f t="shared" si="1090"/>
        <v>144</v>
      </c>
      <c r="S407" s="169">
        <f t="shared" si="1091"/>
        <v>144</v>
      </c>
      <c r="T407" s="169">
        <f t="shared" si="1014"/>
        <v>609</v>
      </c>
      <c r="V407" s="180"/>
      <c r="W407" s="169"/>
      <c r="X407" s="169"/>
      <c r="Y407" s="169"/>
      <c r="Z407" s="169"/>
      <c r="AA407" s="169"/>
      <c r="AB407" s="169"/>
      <c r="AC407" s="169"/>
      <c r="AD407" s="181"/>
      <c r="AE407" s="80" t="str">
        <f>A407</f>
        <v>4 lane nose</v>
      </c>
      <c r="AF407" s="132">
        <f t="shared" si="999"/>
        <v>31465.11</v>
      </c>
      <c r="AG407" s="172">
        <v>6376.3540000000003</v>
      </c>
      <c r="AH407" s="172"/>
      <c r="AI407" s="172"/>
      <c r="AJ407" s="172"/>
      <c r="AK407" s="172"/>
      <c r="AL407" s="172"/>
      <c r="AM407" s="172"/>
      <c r="AN407" s="172"/>
      <c r="AO407" s="172"/>
      <c r="AP407" s="172"/>
      <c r="AQ407" s="172"/>
      <c r="AR407" s="172"/>
      <c r="AS407" s="172"/>
      <c r="AT407" s="78"/>
      <c r="AU407" s="78"/>
      <c r="AV407" s="78"/>
      <c r="AW407" s="78"/>
      <c r="AX407" s="172"/>
      <c r="AY407" s="172"/>
      <c r="AZ407" s="172"/>
      <c r="BA407" s="172"/>
      <c r="BB407" s="172"/>
      <c r="BC407" s="172"/>
      <c r="BD407" s="172"/>
      <c r="BE407" s="172"/>
      <c r="BF407" s="172"/>
      <c r="BG407" s="172"/>
      <c r="BH407" s="172"/>
      <c r="BI407" s="172"/>
      <c r="BJ407" s="172"/>
      <c r="BK407" s="172"/>
      <c r="BL407" s="172"/>
      <c r="BM407" s="172"/>
      <c r="BN407" s="172">
        <v>43.297400000000003</v>
      </c>
      <c r="BO407" s="172"/>
      <c r="BP407" s="172"/>
      <c r="BQ407" s="49">
        <f t="shared" si="1108"/>
        <v>43.297400000000003</v>
      </c>
      <c r="BR407" s="172"/>
      <c r="BS407" s="172"/>
      <c r="BT407" s="172">
        <v>86.191999999999993</v>
      </c>
      <c r="BU407" s="172"/>
      <c r="BV407" s="172"/>
      <c r="BW407" s="78">
        <f t="shared" si="1109"/>
        <v>86.191999999999993</v>
      </c>
      <c r="BX407" s="78">
        <f t="shared" si="1110"/>
        <v>0</v>
      </c>
      <c r="BY407" s="78">
        <f t="shared" si="1110"/>
        <v>0</v>
      </c>
      <c r="BZ407" s="172"/>
      <c r="CA407" s="172"/>
      <c r="CB407" s="172">
        <v>359.87</v>
      </c>
      <c r="CC407" s="231">
        <f t="shared" si="1013"/>
        <v>31465.11</v>
      </c>
    </row>
    <row r="408" spans="1:81" s="3" customFormat="1" ht="15.75" thickBot="1" x14ac:dyDescent="0.3">
      <c r="B408" s="158">
        <v>31500</v>
      </c>
      <c r="C408" s="144">
        <f t="shared" si="989"/>
        <v>4337.29</v>
      </c>
      <c r="D408" s="144">
        <f t="shared" si="990"/>
        <v>0</v>
      </c>
      <c r="E408" s="144">
        <f t="shared" si="1007"/>
        <v>0</v>
      </c>
      <c r="F408" s="144">
        <f t="shared" si="991"/>
        <v>0</v>
      </c>
      <c r="G408" s="144">
        <f t="shared" si="1008"/>
        <v>40.5167</v>
      </c>
      <c r="H408" s="144">
        <f t="shared" si="1009"/>
        <v>40.5167</v>
      </c>
      <c r="I408" s="144">
        <f t="shared" si="1010"/>
        <v>120.2015</v>
      </c>
      <c r="J408" s="159">
        <f t="shared" si="1011"/>
        <v>120.2015</v>
      </c>
      <c r="K408" s="160">
        <f t="shared" si="1012"/>
        <v>338.68</v>
      </c>
      <c r="L408" s="152">
        <f t="shared" si="1085"/>
        <v>6923</v>
      </c>
      <c r="M408" s="144">
        <f t="shared" si="1086"/>
        <v>0</v>
      </c>
      <c r="N408" s="144"/>
      <c r="O408" s="144">
        <f t="shared" si="1087"/>
        <v>0</v>
      </c>
      <c r="P408" s="144">
        <f t="shared" si="1088"/>
        <v>55</v>
      </c>
      <c r="Q408" s="144">
        <f t="shared" si="1089"/>
        <v>55</v>
      </c>
      <c r="R408" s="144">
        <f t="shared" si="1090"/>
        <v>401</v>
      </c>
      <c r="S408" s="144">
        <f t="shared" si="1091"/>
        <v>401</v>
      </c>
      <c r="T408" s="144">
        <f t="shared" si="1014"/>
        <v>1355</v>
      </c>
      <c r="V408" s="150">
        <f>L407+L408</f>
        <v>10660</v>
      </c>
      <c r="W408" s="150">
        <f t="shared" ref="W408" si="1181">M407+M408</f>
        <v>0</v>
      </c>
      <c r="X408" s="150"/>
      <c r="Y408" s="150">
        <f t="shared" ref="Y408" si="1182">O407+O408</f>
        <v>0</v>
      </c>
      <c r="Z408" s="150">
        <f t="shared" ref="Z408" si="1183">P407+P408</f>
        <v>79</v>
      </c>
      <c r="AA408" s="150">
        <f t="shared" ref="AA408" si="1184">Q407+Q408</f>
        <v>79</v>
      </c>
      <c r="AB408" s="150">
        <f t="shared" ref="AB408" si="1185">R407+R408</f>
        <v>545</v>
      </c>
      <c r="AC408" s="150">
        <f t="shared" ref="AC408" si="1186">S407+S408</f>
        <v>545</v>
      </c>
      <c r="AD408" s="150">
        <f t="shared" ref="AD408" si="1187">T407+T408</f>
        <v>1964</v>
      </c>
      <c r="AF408" s="158">
        <f t="shared" si="999"/>
        <v>31500</v>
      </c>
      <c r="AG408" s="149">
        <v>4337.29</v>
      </c>
      <c r="AH408" s="149"/>
      <c r="AI408" s="149"/>
      <c r="AJ408" s="149"/>
      <c r="AK408" s="149"/>
      <c r="AL408" s="149"/>
      <c r="AM408" s="149"/>
      <c r="AN408" s="149"/>
      <c r="AO408" s="149"/>
      <c r="AP408" s="149"/>
      <c r="AQ408" s="149"/>
      <c r="AR408" s="149"/>
      <c r="AS408" s="149"/>
      <c r="AT408" s="149"/>
      <c r="AU408" s="149"/>
      <c r="AV408" s="149"/>
      <c r="AW408" s="149"/>
      <c r="AX408" s="149"/>
      <c r="AY408" s="149"/>
      <c r="AZ408" s="149"/>
      <c r="BA408" s="149"/>
      <c r="BB408" s="149"/>
      <c r="BC408" s="149"/>
      <c r="BD408" s="149"/>
      <c r="BE408" s="149"/>
      <c r="BF408" s="149"/>
      <c r="BG408" s="149"/>
      <c r="BH408" s="149"/>
      <c r="BI408" s="149"/>
      <c r="BJ408" s="149"/>
      <c r="BK408" s="149"/>
      <c r="BL408" s="149"/>
      <c r="BM408" s="149"/>
      <c r="BN408" s="149">
        <v>20.2974</v>
      </c>
      <c r="BO408" s="149">
        <v>20.2193</v>
      </c>
      <c r="BP408" s="149"/>
      <c r="BQ408" s="49">
        <f t="shared" si="1108"/>
        <v>20.2974</v>
      </c>
      <c r="BR408" s="149">
        <f>BO408</f>
        <v>20.2193</v>
      </c>
      <c r="BS408" s="149"/>
      <c r="BT408" s="149">
        <v>40.169699999999999</v>
      </c>
      <c r="BU408" s="149">
        <v>40.015900000000002</v>
      </c>
      <c r="BV408" s="149">
        <v>40.015900000000002</v>
      </c>
      <c r="BW408" s="78">
        <f t="shared" si="1109"/>
        <v>40.169699999999999</v>
      </c>
      <c r="BX408" s="78">
        <f t="shared" si="1110"/>
        <v>40.015900000000002</v>
      </c>
      <c r="BY408" s="78">
        <f t="shared" si="1110"/>
        <v>40.015900000000002</v>
      </c>
      <c r="BZ408" s="149"/>
      <c r="CA408" s="149"/>
      <c r="CB408" s="149">
        <v>338.68</v>
      </c>
      <c r="CC408" s="231">
        <f t="shared" si="1013"/>
        <v>31500</v>
      </c>
    </row>
    <row r="409" spans="1:81" x14ac:dyDescent="0.25">
      <c r="B409" s="155">
        <v>31550</v>
      </c>
      <c r="C409" s="147">
        <f t="shared" ref="C409:C432" si="1188">AG409+AH409+AI409+AJ409+AK409+AL409+AM409+AN409+AO409+AP409</f>
        <v>1044.8939</v>
      </c>
      <c r="D409" s="147">
        <f t="shared" ref="D409:D472" si="1189">AX409+AY409+AZ409+BA409+BB409+BC409+BD409+BE409+BF409+BG409</f>
        <v>20.473600000000001</v>
      </c>
      <c r="E409" s="147">
        <f t="shared" si="1007"/>
        <v>0</v>
      </c>
      <c r="F409" s="147">
        <f t="shared" si="991"/>
        <v>0</v>
      </c>
      <c r="G409" s="147">
        <f t="shared" si="1008"/>
        <v>0</v>
      </c>
      <c r="H409" s="147">
        <f t="shared" si="1009"/>
        <v>0</v>
      </c>
      <c r="I409" s="147">
        <f t="shared" si="1010"/>
        <v>0</v>
      </c>
      <c r="J409" s="156">
        <f t="shared" si="1011"/>
        <v>0</v>
      </c>
      <c r="K409" s="157">
        <f t="shared" si="1012"/>
        <v>183.71</v>
      </c>
      <c r="L409" s="151">
        <f t="shared" si="1085"/>
        <v>4984</v>
      </c>
      <c r="M409" s="147">
        <f t="shared" si="1086"/>
        <v>19</v>
      </c>
      <c r="N409" s="147"/>
      <c r="O409" s="147">
        <f t="shared" si="1087"/>
        <v>0</v>
      </c>
      <c r="P409" s="147">
        <f t="shared" si="1088"/>
        <v>38</v>
      </c>
      <c r="Q409" s="147">
        <f t="shared" si="1089"/>
        <v>38</v>
      </c>
      <c r="R409" s="147">
        <f t="shared" si="1090"/>
        <v>334</v>
      </c>
      <c r="S409" s="147">
        <f t="shared" si="1091"/>
        <v>334</v>
      </c>
      <c r="T409" s="147">
        <f t="shared" si="1014"/>
        <v>1452</v>
      </c>
      <c r="V409" s="146"/>
      <c r="W409" s="147"/>
      <c r="X409" s="147"/>
      <c r="Y409" s="147"/>
      <c r="Z409" s="147"/>
      <c r="AA409" s="147"/>
      <c r="AB409" s="147"/>
      <c r="AC409" s="147"/>
      <c r="AD409" s="148"/>
      <c r="AF409" s="155">
        <f t="shared" si="999"/>
        <v>31550</v>
      </c>
      <c r="AG409" s="78">
        <v>1044.8939</v>
      </c>
      <c r="AH409" s="78"/>
      <c r="AI409" s="78"/>
      <c r="AJ409" s="78"/>
      <c r="AK409" s="78"/>
      <c r="AL409" s="78"/>
      <c r="AM409" s="78"/>
      <c r="AN409" s="78"/>
      <c r="AO409" s="78"/>
      <c r="AP409" s="78"/>
      <c r="AQ409" s="78"/>
      <c r="AR409" s="78"/>
      <c r="AS409" s="78"/>
      <c r="AT409" s="78"/>
      <c r="AU409" s="78"/>
      <c r="AV409" s="78"/>
      <c r="AW409" s="78"/>
      <c r="AX409" s="78">
        <v>20.473600000000001</v>
      </c>
      <c r="AY409" s="78"/>
      <c r="AZ409" s="78"/>
      <c r="BA409" s="78"/>
      <c r="BB409" s="78"/>
      <c r="BC409" s="78"/>
      <c r="BD409" s="78"/>
      <c r="BE409" s="78"/>
      <c r="BF409" s="78"/>
      <c r="BG409" s="78"/>
      <c r="BH409" s="78"/>
      <c r="BI409" s="78"/>
      <c r="BJ409" s="78"/>
      <c r="BK409" s="78"/>
      <c r="BL409" s="78"/>
      <c r="BM409" s="78"/>
      <c r="BN409" s="78"/>
      <c r="BO409" s="78"/>
      <c r="BP409" s="78"/>
      <c r="BQ409" s="78"/>
      <c r="BR409" s="78"/>
      <c r="BS409" s="78"/>
      <c r="BT409" s="78"/>
      <c r="BU409" s="78"/>
      <c r="BV409" s="78"/>
      <c r="BW409" s="78"/>
      <c r="BX409" s="78"/>
      <c r="BY409" s="78"/>
      <c r="BZ409" s="78"/>
      <c r="CA409" s="78"/>
      <c r="CB409" s="78">
        <v>183.71</v>
      </c>
      <c r="CC409" s="231">
        <f t="shared" si="1013"/>
        <v>31550</v>
      </c>
    </row>
    <row r="410" spans="1:81" x14ac:dyDescent="0.25">
      <c r="B410" s="57">
        <v>31600</v>
      </c>
      <c r="C410" s="58">
        <f t="shared" si="1188"/>
        <v>21.9239</v>
      </c>
      <c r="D410" s="58">
        <f t="shared" si="1189"/>
        <v>1328.4480000000001</v>
      </c>
      <c r="E410" s="58">
        <f t="shared" si="1007"/>
        <v>0</v>
      </c>
      <c r="F410" s="58">
        <f t="shared" ref="F410:F473" si="1190">BK410+BL410+BM410</f>
        <v>0</v>
      </c>
      <c r="G410" s="58">
        <f t="shared" si="1008"/>
        <v>0</v>
      </c>
      <c r="H410" s="58">
        <f t="shared" si="1009"/>
        <v>0</v>
      </c>
      <c r="I410" s="58">
        <f t="shared" si="1010"/>
        <v>0</v>
      </c>
      <c r="J410" s="51">
        <f t="shared" si="1011"/>
        <v>0</v>
      </c>
      <c r="K410" s="99">
        <f t="shared" si="1012"/>
        <v>150.59</v>
      </c>
      <c r="L410" s="105">
        <f t="shared" si="1085"/>
        <v>988</v>
      </c>
      <c r="M410" s="58">
        <f t="shared" si="1086"/>
        <v>1250</v>
      </c>
      <c r="N410" s="58"/>
      <c r="O410" s="58">
        <f t="shared" si="1087"/>
        <v>0</v>
      </c>
      <c r="P410" s="58">
        <f t="shared" si="1088"/>
        <v>0</v>
      </c>
      <c r="Q410" s="58">
        <f t="shared" si="1089"/>
        <v>0</v>
      </c>
      <c r="R410" s="58">
        <f t="shared" si="1090"/>
        <v>0</v>
      </c>
      <c r="S410" s="58">
        <f t="shared" si="1091"/>
        <v>0</v>
      </c>
      <c r="T410" s="58">
        <f t="shared" si="1014"/>
        <v>929</v>
      </c>
      <c r="V410" s="137"/>
      <c r="W410" s="58"/>
      <c r="X410" s="58"/>
      <c r="Y410" s="58"/>
      <c r="Z410" s="58"/>
      <c r="AA410" s="58"/>
      <c r="AB410" s="58"/>
      <c r="AC410" s="58"/>
      <c r="AD410" s="138"/>
      <c r="AF410" s="57">
        <f t="shared" si="999"/>
        <v>31600</v>
      </c>
      <c r="AG410" s="49">
        <v>21.9239</v>
      </c>
      <c r="AH410" s="49"/>
      <c r="AI410" s="49"/>
      <c r="AJ410" s="49"/>
      <c r="AK410" s="49"/>
      <c r="AL410" s="49"/>
      <c r="AM410" s="49"/>
      <c r="AN410" s="49"/>
      <c r="AO410" s="49"/>
      <c r="AP410" s="49"/>
      <c r="AQ410" s="49"/>
      <c r="AR410" s="49"/>
      <c r="AS410" s="49"/>
      <c r="AT410" s="49"/>
      <c r="AU410" s="49"/>
      <c r="AV410" s="49"/>
      <c r="AW410" s="49"/>
      <c r="AX410" s="49">
        <v>1328.4480000000001</v>
      </c>
      <c r="AY410" s="49"/>
      <c r="AZ410" s="49"/>
      <c r="BA410" s="49"/>
      <c r="BB410" s="49"/>
      <c r="BC410" s="49"/>
      <c r="BD410" s="49"/>
      <c r="BE410" s="49"/>
      <c r="BF410" s="49"/>
      <c r="BG410" s="49"/>
      <c r="BH410" s="49"/>
      <c r="BI410" s="49"/>
      <c r="BJ410" s="49"/>
      <c r="BK410" s="49"/>
      <c r="BL410" s="49"/>
      <c r="BM410" s="49"/>
      <c r="BN410" s="49"/>
      <c r="BO410" s="49"/>
      <c r="BP410" s="49"/>
      <c r="BQ410" s="49"/>
      <c r="BR410" s="49"/>
      <c r="BS410" s="49"/>
      <c r="BT410" s="49"/>
      <c r="BU410" s="49"/>
      <c r="BV410" s="49"/>
      <c r="BW410" s="49"/>
      <c r="BX410" s="49"/>
      <c r="BY410" s="49"/>
      <c r="BZ410" s="49"/>
      <c r="CA410" s="49"/>
      <c r="CB410" s="49">
        <v>150.59</v>
      </c>
      <c r="CC410" s="231">
        <f t="shared" si="1013"/>
        <v>31600</v>
      </c>
    </row>
    <row r="411" spans="1:81" s="3" customFormat="1" ht="15.75" thickBot="1" x14ac:dyDescent="0.3">
      <c r="B411" s="158">
        <v>31650</v>
      </c>
      <c r="C411" s="144">
        <f t="shared" si="1188"/>
        <v>7.5914000000000001</v>
      </c>
      <c r="D411" s="144">
        <f t="shared" si="1189"/>
        <v>3220.0987</v>
      </c>
      <c r="E411" s="144">
        <f t="shared" si="1007"/>
        <v>0</v>
      </c>
      <c r="F411" s="144">
        <f t="shared" si="1190"/>
        <v>0</v>
      </c>
      <c r="G411" s="144">
        <f t="shared" si="1008"/>
        <v>0</v>
      </c>
      <c r="H411" s="144">
        <f t="shared" si="1009"/>
        <v>0</v>
      </c>
      <c r="I411" s="144">
        <f t="shared" si="1010"/>
        <v>0</v>
      </c>
      <c r="J411" s="159">
        <f t="shared" si="1011"/>
        <v>0</v>
      </c>
      <c r="K411" s="160">
        <f t="shared" si="1012"/>
        <v>192.74</v>
      </c>
      <c r="L411" s="152">
        <f t="shared" si="1085"/>
        <v>28</v>
      </c>
      <c r="M411" s="144">
        <f t="shared" si="1086"/>
        <v>4212</v>
      </c>
      <c r="N411" s="144"/>
      <c r="O411" s="144">
        <f t="shared" si="1087"/>
        <v>0</v>
      </c>
      <c r="P411" s="144">
        <f t="shared" si="1088"/>
        <v>0</v>
      </c>
      <c r="Q411" s="144">
        <f t="shared" si="1089"/>
        <v>0</v>
      </c>
      <c r="R411" s="144">
        <f t="shared" si="1090"/>
        <v>0</v>
      </c>
      <c r="S411" s="144">
        <f t="shared" si="1091"/>
        <v>0</v>
      </c>
      <c r="T411" s="144">
        <f t="shared" si="1014"/>
        <v>954</v>
      </c>
      <c r="V411" s="150">
        <f>L409+L410+L411</f>
        <v>6000</v>
      </c>
      <c r="W411" s="150">
        <f t="shared" ref="W411" si="1191">M409+M410+M411</f>
        <v>5481</v>
      </c>
      <c r="X411" s="150"/>
      <c r="Y411" s="150">
        <f t="shared" ref="Y411" si="1192">O409+O410+O411</f>
        <v>0</v>
      </c>
      <c r="Z411" s="150">
        <f t="shared" ref="Z411" si="1193">P409+P410+P411</f>
        <v>38</v>
      </c>
      <c r="AA411" s="150">
        <f t="shared" ref="AA411" si="1194">Q409+Q410+Q411</f>
        <v>38</v>
      </c>
      <c r="AB411" s="150">
        <f t="shared" ref="AB411" si="1195">R409+R410+R411</f>
        <v>334</v>
      </c>
      <c r="AC411" s="150">
        <f t="shared" ref="AC411" si="1196">S409+S410+S411</f>
        <v>334</v>
      </c>
      <c r="AD411" s="150">
        <f t="shared" ref="AD411" si="1197">T409+T410+T411</f>
        <v>3335</v>
      </c>
      <c r="AF411" s="158">
        <f t="shared" si="999"/>
        <v>31650</v>
      </c>
      <c r="AG411" s="149">
        <v>7.5914000000000001</v>
      </c>
      <c r="AH411" s="149"/>
      <c r="AI411" s="149"/>
      <c r="AJ411" s="149"/>
      <c r="AK411" s="149"/>
      <c r="AL411" s="149"/>
      <c r="AM411" s="149"/>
      <c r="AN411" s="149"/>
      <c r="AO411" s="149"/>
      <c r="AP411" s="149"/>
      <c r="AQ411" s="149"/>
      <c r="AR411" s="149"/>
      <c r="AS411" s="149"/>
      <c r="AT411" s="149"/>
      <c r="AU411" s="149"/>
      <c r="AV411" s="149"/>
      <c r="AW411" s="149"/>
      <c r="AX411" s="149">
        <v>3220.0987</v>
      </c>
      <c r="AY411" s="149"/>
      <c r="AZ411" s="149"/>
      <c r="BA411" s="149"/>
      <c r="BB411" s="149"/>
      <c r="BC411" s="149"/>
      <c r="BD411" s="149"/>
      <c r="BE411" s="149"/>
      <c r="BF411" s="149"/>
      <c r="BG411" s="149"/>
      <c r="BH411" s="149"/>
      <c r="BI411" s="149"/>
      <c r="BJ411" s="149"/>
      <c r="BK411" s="149"/>
      <c r="BL411" s="149"/>
      <c r="BM411" s="149"/>
      <c r="BN411" s="149"/>
      <c r="BO411" s="149"/>
      <c r="BP411" s="149"/>
      <c r="BQ411" s="149"/>
      <c r="BR411" s="149"/>
      <c r="BS411" s="149"/>
      <c r="BT411" s="149"/>
      <c r="BU411" s="149"/>
      <c r="BV411" s="149"/>
      <c r="BW411" s="149"/>
      <c r="BX411" s="149"/>
      <c r="BY411" s="149"/>
      <c r="BZ411" s="149"/>
      <c r="CA411" s="149"/>
      <c r="CB411" s="149">
        <v>192.74</v>
      </c>
      <c r="CC411" s="231">
        <f t="shared" si="1013"/>
        <v>31650</v>
      </c>
    </row>
    <row r="412" spans="1:81" x14ac:dyDescent="0.25">
      <c r="B412" s="155">
        <v>31700</v>
      </c>
      <c r="C412" s="147">
        <f t="shared" si="1188"/>
        <v>0</v>
      </c>
      <c r="D412" s="147">
        <f t="shared" si="1189"/>
        <v>5275.6786000000002</v>
      </c>
      <c r="E412" s="147">
        <f t="shared" si="1007"/>
        <v>0</v>
      </c>
      <c r="F412" s="147">
        <f t="shared" si="1190"/>
        <v>0</v>
      </c>
      <c r="G412" s="147">
        <f t="shared" si="1008"/>
        <v>0</v>
      </c>
      <c r="H412" s="147">
        <f t="shared" si="1009"/>
        <v>0</v>
      </c>
      <c r="I412" s="147">
        <f t="shared" si="1010"/>
        <v>0</v>
      </c>
      <c r="J412" s="156">
        <f t="shared" si="1011"/>
        <v>0</v>
      </c>
      <c r="K412" s="157">
        <f t="shared" si="1012"/>
        <v>251.15</v>
      </c>
      <c r="L412" s="151">
        <f t="shared" si="1085"/>
        <v>8</v>
      </c>
      <c r="M412" s="147">
        <f t="shared" si="1086"/>
        <v>7867</v>
      </c>
      <c r="N412" s="147"/>
      <c r="O412" s="147">
        <f t="shared" si="1087"/>
        <v>0</v>
      </c>
      <c r="P412" s="147">
        <f t="shared" si="1088"/>
        <v>0</v>
      </c>
      <c r="Q412" s="147">
        <f t="shared" si="1089"/>
        <v>0</v>
      </c>
      <c r="R412" s="147">
        <f t="shared" si="1090"/>
        <v>0</v>
      </c>
      <c r="S412" s="147">
        <f t="shared" si="1091"/>
        <v>0</v>
      </c>
      <c r="T412" s="147">
        <f t="shared" si="1014"/>
        <v>1234</v>
      </c>
      <c r="V412" s="146"/>
      <c r="W412" s="147"/>
      <c r="X412" s="147"/>
      <c r="Y412" s="147"/>
      <c r="Z412" s="147"/>
      <c r="AA412" s="147"/>
      <c r="AB412" s="147"/>
      <c r="AC412" s="147"/>
      <c r="AD412" s="148"/>
      <c r="AF412" s="155">
        <f t="shared" ref="AF412:AF475" si="1198">B412</f>
        <v>31700</v>
      </c>
      <c r="AG412" s="78"/>
      <c r="AH412" s="78"/>
      <c r="AI412" s="78"/>
      <c r="AJ412" s="78"/>
      <c r="AK412" s="78"/>
      <c r="AL412" s="78"/>
      <c r="AM412" s="78"/>
      <c r="AN412" s="78"/>
      <c r="AO412" s="78"/>
      <c r="AP412" s="78"/>
      <c r="AQ412" s="78"/>
      <c r="AR412" s="78"/>
      <c r="AS412" s="78"/>
      <c r="AT412" s="78"/>
      <c r="AU412" s="78"/>
      <c r="AV412" s="78"/>
      <c r="AW412" s="78"/>
      <c r="AX412" s="78">
        <v>5275.6786000000002</v>
      </c>
      <c r="AY412" s="78"/>
      <c r="AZ412" s="78"/>
      <c r="BA412" s="78"/>
      <c r="BB412" s="78"/>
      <c r="BC412" s="78"/>
      <c r="BD412" s="78"/>
      <c r="BE412" s="78"/>
      <c r="BF412" s="78"/>
      <c r="BG412" s="78"/>
      <c r="BH412" s="78"/>
      <c r="BI412" s="78"/>
      <c r="BJ412" s="78"/>
      <c r="BK412" s="78"/>
      <c r="BL412" s="78"/>
      <c r="BM412" s="78"/>
      <c r="BN412" s="78"/>
      <c r="BO412" s="78"/>
      <c r="BP412" s="78"/>
      <c r="BQ412" s="78"/>
      <c r="BR412" s="78"/>
      <c r="BS412" s="78"/>
      <c r="BT412" s="78"/>
      <c r="BU412" s="78"/>
      <c r="BV412" s="78"/>
      <c r="BW412" s="78"/>
      <c r="BX412" s="78"/>
      <c r="BY412" s="78"/>
      <c r="BZ412" s="78"/>
      <c r="CA412" s="78"/>
      <c r="CB412" s="78">
        <v>251.15</v>
      </c>
      <c r="CC412" s="231">
        <f t="shared" si="1013"/>
        <v>31700</v>
      </c>
    </row>
    <row r="413" spans="1:81" x14ac:dyDescent="0.25">
      <c r="B413" s="57">
        <v>31750</v>
      </c>
      <c r="C413" s="58">
        <f t="shared" si="1188"/>
        <v>0</v>
      </c>
      <c r="D413" s="58">
        <f t="shared" si="1189"/>
        <v>7788.3153000000002</v>
      </c>
      <c r="E413" s="58">
        <f t="shared" si="1007"/>
        <v>0</v>
      </c>
      <c r="F413" s="58">
        <f t="shared" si="1190"/>
        <v>237.3614</v>
      </c>
      <c r="G413" s="58">
        <f t="shared" si="1008"/>
        <v>0</v>
      </c>
      <c r="H413" s="58">
        <f t="shared" si="1009"/>
        <v>0</v>
      </c>
      <c r="I413" s="58">
        <f t="shared" si="1010"/>
        <v>0</v>
      </c>
      <c r="J413" s="51">
        <f t="shared" si="1011"/>
        <v>0</v>
      </c>
      <c r="K413" s="99">
        <f t="shared" si="1012"/>
        <v>310.27</v>
      </c>
      <c r="L413" s="105">
        <f t="shared" si="1085"/>
        <v>0</v>
      </c>
      <c r="M413" s="58">
        <f t="shared" si="1086"/>
        <v>12097</v>
      </c>
      <c r="N413" s="58"/>
      <c r="O413" s="58">
        <f t="shared" si="1087"/>
        <v>220</v>
      </c>
      <c r="P413" s="58">
        <f t="shared" si="1088"/>
        <v>0</v>
      </c>
      <c r="Q413" s="58">
        <f t="shared" si="1089"/>
        <v>0</v>
      </c>
      <c r="R413" s="58">
        <f t="shared" si="1090"/>
        <v>0</v>
      </c>
      <c r="S413" s="58">
        <f t="shared" si="1091"/>
        <v>0</v>
      </c>
      <c r="T413" s="58">
        <f t="shared" si="1014"/>
        <v>1560</v>
      </c>
      <c r="V413" s="137"/>
      <c r="W413" s="58"/>
      <c r="X413" s="58"/>
      <c r="Y413" s="58"/>
      <c r="Z413" s="58"/>
      <c r="AA413" s="58"/>
      <c r="AB413" s="58"/>
      <c r="AC413" s="58"/>
      <c r="AD413" s="138"/>
      <c r="AF413" s="57">
        <f t="shared" si="1198"/>
        <v>31750</v>
      </c>
      <c r="AG413" s="49"/>
      <c r="AH413" s="49"/>
      <c r="AI413" s="49"/>
      <c r="AJ413" s="49"/>
      <c r="AK413" s="49"/>
      <c r="AL413" s="49"/>
      <c r="AM413" s="49"/>
      <c r="AN413" s="49"/>
      <c r="AO413" s="49"/>
      <c r="AP413" s="49"/>
      <c r="AQ413" s="49"/>
      <c r="AR413" s="49"/>
      <c r="AS413" s="49"/>
      <c r="AT413" s="49"/>
      <c r="AU413" s="49"/>
      <c r="AV413" s="49"/>
      <c r="AW413" s="49"/>
      <c r="AX413" s="49">
        <v>7788.3153000000002</v>
      </c>
      <c r="AY413" s="49"/>
      <c r="AZ413" s="49"/>
      <c r="BA413" s="49"/>
      <c r="BB413" s="49"/>
      <c r="BC413" s="49"/>
      <c r="BD413" s="49"/>
      <c r="BE413" s="49"/>
      <c r="BF413" s="49"/>
      <c r="BG413" s="49"/>
      <c r="BH413" s="49"/>
      <c r="BI413" s="49"/>
      <c r="BJ413" s="49"/>
      <c r="BK413" s="49">
        <v>237.3614</v>
      </c>
      <c r="BL413" s="49"/>
      <c r="BM413" s="49"/>
      <c r="BN413" s="49"/>
      <c r="BO413" s="49"/>
      <c r="BP413" s="49"/>
      <c r="BQ413" s="49"/>
      <c r="BR413" s="49"/>
      <c r="BS413" s="49"/>
      <c r="BT413" s="49"/>
      <c r="BU413" s="49"/>
      <c r="BV413" s="49"/>
      <c r="BW413" s="49"/>
      <c r="BX413" s="49"/>
      <c r="BY413" s="49"/>
      <c r="BZ413" s="49"/>
      <c r="CA413" s="49"/>
      <c r="CB413" s="49">
        <v>310.27</v>
      </c>
      <c r="CC413" s="231">
        <f t="shared" si="1013"/>
        <v>31750</v>
      </c>
    </row>
    <row r="414" spans="1:81" s="3" customFormat="1" ht="15.75" thickBot="1" x14ac:dyDescent="0.3">
      <c r="B414" s="158">
        <v>31800</v>
      </c>
      <c r="C414" s="144">
        <f t="shared" si="1188"/>
        <v>0</v>
      </c>
      <c r="D414" s="144">
        <f t="shared" si="1189"/>
        <v>10729.7868</v>
      </c>
      <c r="E414" s="144">
        <f t="shared" si="1007"/>
        <v>0</v>
      </c>
      <c r="F414" s="144">
        <f t="shared" si="1190"/>
        <v>699.6979</v>
      </c>
      <c r="G414" s="144">
        <f t="shared" si="1008"/>
        <v>0</v>
      </c>
      <c r="H414" s="144">
        <f t="shared" si="1009"/>
        <v>0</v>
      </c>
      <c r="I414" s="144">
        <f t="shared" si="1010"/>
        <v>0</v>
      </c>
      <c r="J414" s="159">
        <f t="shared" si="1011"/>
        <v>0</v>
      </c>
      <c r="K414" s="160">
        <f t="shared" si="1012"/>
        <v>402.37</v>
      </c>
      <c r="L414" s="152">
        <f t="shared" si="1085"/>
        <v>0</v>
      </c>
      <c r="M414" s="144">
        <f t="shared" si="1086"/>
        <v>17147</v>
      </c>
      <c r="N414" s="144"/>
      <c r="O414" s="144">
        <f t="shared" si="1087"/>
        <v>868</v>
      </c>
      <c r="P414" s="144">
        <f t="shared" si="1088"/>
        <v>0</v>
      </c>
      <c r="Q414" s="144">
        <f t="shared" si="1089"/>
        <v>0</v>
      </c>
      <c r="R414" s="144">
        <f t="shared" si="1090"/>
        <v>0</v>
      </c>
      <c r="S414" s="144">
        <f t="shared" si="1091"/>
        <v>0</v>
      </c>
      <c r="T414" s="144">
        <f t="shared" si="1014"/>
        <v>1980</v>
      </c>
      <c r="V414" s="150">
        <f>L412+L413+L414</f>
        <v>8</v>
      </c>
      <c r="W414" s="150">
        <f t="shared" ref="W414" si="1199">M412+M413+M414</f>
        <v>37111</v>
      </c>
      <c r="X414" s="150"/>
      <c r="Y414" s="150">
        <f t="shared" ref="Y414" si="1200">O412+O413+O414</f>
        <v>1088</v>
      </c>
      <c r="Z414" s="150">
        <f t="shared" ref="Z414" si="1201">P412+P413+P414</f>
        <v>0</v>
      </c>
      <c r="AA414" s="150">
        <f t="shared" ref="AA414" si="1202">Q412+Q413+Q414</f>
        <v>0</v>
      </c>
      <c r="AB414" s="150">
        <f t="shared" ref="AB414" si="1203">R412+R413+R414</f>
        <v>0</v>
      </c>
      <c r="AC414" s="150">
        <f t="shared" ref="AC414" si="1204">S412+S413+S414</f>
        <v>0</v>
      </c>
      <c r="AD414" s="150">
        <f t="shared" ref="AD414" si="1205">T412+T413+T414</f>
        <v>4774</v>
      </c>
      <c r="AF414" s="158">
        <f t="shared" si="1198"/>
        <v>31800</v>
      </c>
      <c r="AG414" s="149"/>
      <c r="AH414" s="149"/>
      <c r="AI414" s="149"/>
      <c r="AJ414" s="149"/>
      <c r="AK414" s="149"/>
      <c r="AL414" s="149"/>
      <c r="AM414" s="149"/>
      <c r="AN414" s="149"/>
      <c r="AO414" s="149"/>
      <c r="AP414" s="149"/>
      <c r="AQ414" s="149"/>
      <c r="AR414" s="149"/>
      <c r="AS414" s="149"/>
      <c r="AT414" s="149"/>
      <c r="AU414" s="149"/>
      <c r="AV414" s="149"/>
      <c r="AW414" s="149"/>
      <c r="AX414" s="149">
        <v>10729.7868</v>
      </c>
      <c r="AY414" s="149"/>
      <c r="AZ414" s="149"/>
      <c r="BA414" s="149"/>
      <c r="BB414" s="149"/>
      <c r="BC414" s="149"/>
      <c r="BD414" s="149"/>
      <c r="BE414" s="149"/>
      <c r="BF414" s="149"/>
      <c r="BG414" s="149"/>
      <c r="BH414" s="149"/>
      <c r="BI414" s="149"/>
      <c r="BJ414" s="149"/>
      <c r="BK414" s="149">
        <v>699.6979</v>
      </c>
      <c r="BL414" s="149"/>
      <c r="BM414" s="149"/>
      <c r="BN414" s="149"/>
      <c r="BO414" s="149"/>
      <c r="BP414" s="149"/>
      <c r="BQ414" s="149"/>
      <c r="BR414" s="149"/>
      <c r="BS414" s="149"/>
      <c r="BT414" s="149"/>
      <c r="BU414" s="149"/>
      <c r="BV414" s="149"/>
      <c r="BW414" s="149"/>
      <c r="BX414" s="149"/>
      <c r="BY414" s="149"/>
      <c r="BZ414" s="149"/>
      <c r="CA414" s="149"/>
      <c r="CB414" s="149">
        <v>402.37</v>
      </c>
      <c r="CC414" s="231">
        <f t="shared" si="1013"/>
        <v>31800</v>
      </c>
    </row>
    <row r="415" spans="1:81" x14ac:dyDescent="0.25">
      <c r="B415" s="155">
        <v>31850</v>
      </c>
      <c r="C415" s="147">
        <f t="shared" si="1188"/>
        <v>0</v>
      </c>
      <c r="D415" s="147">
        <f t="shared" si="1189"/>
        <v>13193.3374</v>
      </c>
      <c r="E415" s="147">
        <f t="shared" ref="E415:E478" si="1206">BH415+BJ415+BI415</f>
        <v>0</v>
      </c>
      <c r="F415" s="147">
        <f t="shared" si="1190"/>
        <v>1203.4674</v>
      </c>
      <c r="G415" s="147">
        <f t="shared" ref="G415:G478" si="1207">BN415+BO415+BP415</f>
        <v>0</v>
      </c>
      <c r="H415" s="147">
        <f t="shared" ref="H415:H478" si="1208">BQ415+BR415+BS415</f>
        <v>0</v>
      </c>
      <c r="I415" s="147">
        <f t="shared" ref="I415:I478" si="1209">BT415+BU415+BV415</f>
        <v>0</v>
      </c>
      <c r="J415" s="156">
        <f t="shared" ref="J415:J478" si="1210">BW415+BX415+BY415</f>
        <v>0</v>
      </c>
      <c r="K415" s="157">
        <f t="shared" ref="K415:K478" si="1211">BZ415+CA415+CB415</f>
        <v>407.33</v>
      </c>
      <c r="L415" s="151">
        <f t="shared" si="1085"/>
        <v>0</v>
      </c>
      <c r="M415" s="147">
        <f t="shared" si="1086"/>
        <v>22152</v>
      </c>
      <c r="N415" s="147"/>
      <c r="O415" s="147">
        <f t="shared" si="1087"/>
        <v>1763</v>
      </c>
      <c r="P415" s="147">
        <f t="shared" si="1088"/>
        <v>0</v>
      </c>
      <c r="Q415" s="147">
        <f t="shared" si="1089"/>
        <v>0</v>
      </c>
      <c r="R415" s="147">
        <f t="shared" si="1090"/>
        <v>0</v>
      </c>
      <c r="S415" s="147">
        <f t="shared" si="1091"/>
        <v>0</v>
      </c>
      <c r="T415" s="147">
        <f t="shared" si="1014"/>
        <v>2250</v>
      </c>
      <c r="V415" s="146"/>
      <c r="W415" s="147"/>
      <c r="X415" s="147"/>
      <c r="Y415" s="147"/>
      <c r="Z415" s="147"/>
      <c r="AA415" s="147"/>
      <c r="AB415" s="147"/>
      <c r="AC415" s="147"/>
      <c r="AD415" s="148"/>
      <c r="AF415" s="155">
        <f t="shared" si="1198"/>
        <v>31850</v>
      </c>
      <c r="AG415" s="78"/>
      <c r="AH415" s="78"/>
      <c r="AI415" s="78"/>
      <c r="AJ415" s="78"/>
      <c r="AK415" s="78"/>
      <c r="AL415" s="78"/>
      <c r="AM415" s="78"/>
      <c r="AN415" s="78"/>
      <c r="AO415" s="78"/>
      <c r="AP415" s="78"/>
      <c r="AQ415" s="78"/>
      <c r="AR415" s="78"/>
      <c r="AS415" s="78"/>
      <c r="AT415" s="78"/>
      <c r="AU415" s="78"/>
      <c r="AV415" s="78"/>
      <c r="AW415" s="78"/>
      <c r="AX415" s="78">
        <v>13193.3374</v>
      </c>
      <c r="AY415" s="78"/>
      <c r="AZ415" s="78"/>
      <c r="BA415" s="78"/>
      <c r="BB415" s="78"/>
      <c r="BC415" s="78"/>
      <c r="BD415" s="78"/>
      <c r="BE415" s="78"/>
      <c r="BF415" s="78"/>
      <c r="BG415" s="78"/>
      <c r="BH415" s="78"/>
      <c r="BI415" s="78"/>
      <c r="BJ415" s="78"/>
      <c r="BK415" s="78">
        <v>1203.4674</v>
      </c>
      <c r="BL415" s="78"/>
      <c r="BM415" s="78"/>
      <c r="BN415" s="78"/>
      <c r="BO415" s="78"/>
      <c r="BP415" s="78"/>
      <c r="BQ415" s="78"/>
      <c r="BR415" s="78"/>
      <c r="BS415" s="78"/>
      <c r="BT415" s="78"/>
      <c r="BU415" s="78"/>
      <c r="BV415" s="78"/>
      <c r="BW415" s="78"/>
      <c r="BX415" s="78"/>
      <c r="BY415" s="78"/>
      <c r="BZ415" s="78"/>
      <c r="CA415" s="78"/>
      <c r="CB415" s="78">
        <v>407.33</v>
      </c>
      <c r="CC415" s="231">
        <f t="shared" ref="CC415:CC478" si="1212">B415</f>
        <v>31850</v>
      </c>
    </row>
    <row r="416" spans="1:81" s="3" customFormat="1" ht="15.75" thickBot="1" x14ac:dyDescent="0.3">
      <c r="B416" s="158">
        <v>31900</v>
      </c>
      <c r="C416" s="144">
        <f t="shared" si="1188"/>
        <v>22.567599999999999</v>
      </c>
      <c r="D416" s="144">
        <f t="shared" si="1189"/>
        <v>14575.5298</v>
      </c>
      <c r="E416" s="144">
        <f t="shared" si="1206"/>
        <v>0</v>
      </c>
      <c r="F416" s="144">
        <f t="shared" si="1190"/>
        <v>1409.4432999999999</v>
      </c>
      <c r="G416" s="144">
        <f t="shared" si="1207"/>
        <v>0</v>
      </c>
      <c r="H416" s="144">
        <f t="shared" si="1208"/>
        <v>0</v>
      </c>
      <c r="I416" s="144">
        <f t="shared" si="1209"/>
        <v>0</v>
      </c>
      <c r="J416" s="159">
        <f t="shared" si="1210"/>
        <v>0</v>
      </c>
      <c r="K416" s="160">
        <f t="shared" si="1211"/>
        <v>439.12</v>
      </c>
      <c r="L416" s="152">
        <f t="shared" si="1085"/>
        <v>21</v>
      </c>
      <c r="M416" s="144">
        <f t="shared" si="1086"/>
        <v>25712</v>
      </c>
      <c r="N416" s="144"/>
      <c r="O416" s="144">
        <f t="shared" si="1087"/>
        <v>2420</v>
      </c>
      <c r="P416" s="144">
        <f t="shared" si="1088"/>
        <v>0</v>
      </c>
      <c r="Q416" s="144">
        <f t="shared" si="1089"/>
        <v>0</v>
      </c>
      <c r="R416" s="144">
        <f t="shared" si="1090"/>
        <v>0</v>
      </c>
      <c r="S416" s="144">
        <f t="shared" si="1091"/>
        <v>0</v>
      </c>
      <c r="T416" s="144">
        <f t="shared" ref="T416:T479" si="1213">ROUNDUP(((K416+K415)*0.5)*(B416-B415)/9,0)</f>
        <v>2352</v>
      </c>
      <c r="V416" s="150">
        <f>L415+L416</f>
        <v>21</v>
      </c>
      <c r="W416" s="150">
        <f t="shared" ref="W416" si="1214">M415+M416</f>
        <v>47864</v>
      </c>
      <c r="X416" s="150"/>
      <c r="Y416" s="150">
        <f t="shared" ref="Y416" si="1215">O415+O416</f>
        <v>4183</v>
      </c>
      <c r="Z416" s="150">
        <f t="shared" ref="Z416" si="1216">P415+P416</f>
        <v>0</v>
      </c>
      <c r="AA416" s="150">
        <f t="shared" ref="AA416" si="1217">Q415+Q416</f>
        <v>0</v>
      </c>
      <c r="AB416" s="150">
        <f t="shared" ref="AB416" si="1218">R415+R416</f>
        <v>0</v>
      </c>
      <c r="AC416" s="150">
        <f t="shared" ref="AC416" si="1219">S415+S416</f>
        <v>0</v>
      </c>
      <c r="AD416" s="150">
        <f t="shared" ref="AD416" si="1220">T415+T416</f>
        <v>4602</v>
      </c>
      <c r="AF416" s="158">
        <f t="shared" si="1198"/>
        <v>31900</v>
      </c>
      <c r="AG416" s="149">
        <v>22.567599999999999</v>
      </c>
      <c r="AH416" s="149"/>
      <c r="AI416" s="149"/>
      <c r="AJ416" s="149"/>
      <c r="AK416" s="149"/>
      <c r="AL416" s="149"/>
      <c r="AM416" s="149"/>
      <c r="AN416" s="149"/>
      <c r="AO416" s="149"/>
      <c r="AP416" s="149"/>
      <c r="AQ416" s="149"/>
      <c r="AR416" s="149"/>
      <c r="AS416" s="149"/>
      <c r="AT416" s="149"/>
      <c r="AU416" s="149"/>
      <c r="AV416" s="149"/>
      <c r="AW416" s="149"/>
      <c r="AX416" s="149">
        <v>14575.5298</v>
      </c>
      <c r="AY416" s="149"/>
      <c r="AZ416" s="149"/>
      <c r="BA416" s="149"/>
      <c r="BB416" s="149"/>
      <c r="BC416" s="149"/>
      <c r="BD416" s="149"/>
      <c r="BE416" s="149"/>
      <c r="BF416" s="149"/>
      <c r="BG416" s="149"/>
      <c r="BH416" s="149"/>
      <c r="BI416" s="149"/>
      <c r="BJ416" s="149"/>
      <c r="BK416" s="149">
        <v>1409.4432999999999</v>
      </c>
      <c r="BL416" s="149"/>
      <c r="BM416" s="149"/>
      <c r="BN416" s="149"/>
      <c r="BO416" s="149"/>
      <c r="BP416" s="149"/>
      <c r="BQ416" s="149"/>
      <c r="BR416" s="149"/>
      <c r="BS416" s="149"/>
      <c r="BT416" s="149"/>
      <c r="BU416" s="149"/>
      <c r="BV416" s="149"/>
      <c r="BW416" s="149"/>
      <c r="BX416" s="149"/>
      <c r="BY416" s="149"/>
      <c r="BZ416" s="149"/>
      <c r="CA416" s="149"/>
      <c r="CB416" s="149">
        <v>439.12</v>
      </c>
      <c r="CC416" s="231">
        <f t="shared" si="1212"/>
        <v>31900</v>
      </c>
    </row>
    <row r="417" spans="2:81" x14ac:dyDescent="0.25">
      <c r="B417" s="155">
        <v>31950</v>
      </c>
      <c r="C417" s="147">
        <f t="shared" si="1188"/>
        <v>0</v>
      </c>
      <c r="D417" s="147">
        <f t="shared" si="1189"/>
        <v>15843.093000000001</v>
      </c>
      <c r="E417" s="147">
        <f t="shared" si="1206"/>
        <v>0</v>
      </c>
      <c r="F417" s="147">
        <f t="shared" si="1190"/>
        <v>1592.2256</v>
      </c>
      <c r="G417" s="147">
        <f t="shared" si="1207"/>
        <v>0</v>
      </c>
      <c r="H417" s="147">
        <f t="shared" si="1208"/>
        <v>0</v>
      </c>
      <c r="I417" s="147">
        <f t="shared" si="1209"/>
        <v>0</v>
      </c>
      <c r="J417" s="156">
        <f t="shared" si="1210"/>
        <v>0</v>
      </c>
      <c r="K417" s="157">
        <f t="shared" si="1211"/>
        <v>450.15</v>
      </c>
      <c r="L417" s="151">
        <f t="shared" si="1085"/>
        <v>21</v>
      </c>
      <c r="M417" s="147">
        <f t="shared" si="1086"/>
        <v>28166</v>
      </c>
      <c r="N417" s="147"/>
      <c r="O417" s="147">
        <f t="shared" si="1087"/>
        <v>2780</v>
      </c>
      <c r="P417" s="147">
        <f t="shared" si="1088"/>
        <v>0</v>
      </c>
      <c r="Q417" s="147">
        <f t="shared" si="1089"/>
        <v>0</v>
      </c>
      <c r="R417" s="147">
        <f t="shared" si="1090"/>
        <v>0</v>
      </c>
      <c r="S417" s="147">
        <f t="shared" si="1091"/>
        <v>0</v>
      </c>
      <c r="T417" s="147">
        <f t="shared" si="1213"/>
        <v>2471</v>
      </c>
      <c r="V417" s="146"/>
      <c r="W417" s="147"/>
      <c r="X417" s="147"/>
      <c r="Y417" s="147"/>
      <c r="Z417" s="147"/>
      <c r="AA417" s="147"/>
      <c r="AB417" s="147"/>
      <c r="AC417" s="147"/>
      <c r="AD417" s="148"/>
      <c r="AF417" s="155">
        <f t="shared" si="1198"/>
        <v>31950</v>
      </c>
      <c r="AG417" s="78"/>
      <c r="AH417" s="78"/>
      <c r="AI417" s="78"/>
      <c r="AJ417" s="78"/>
      <c r="AK417" s="78"/>
      <c r="AL417" s="78"/>
      <c r="AM417" s="78"/>
      <c r="AN417" s="78"/>
      <c r="AO417" s="78"/>
      <c r="AP417" s="78"/>
      <c r="AQ417" s="78"/>
      <c r="AR417" s="78"/>
      <c r="AS417" s="78"/>
      <c r="AT417" s="78"/>
      <c r="AU417" s="78"/>
      <c r="AV417" s="78"/>
      <c r="AW417" s="78"/>
      <c r="AX417" s="78">
        <v>15843.093000000001</v>
      </c>
      <c r="AY417" s="78"/>
      <c r="AZ417" s="78"/>
      <c r="BA417" s="78"/>
      <c r="BB417" s="78"/>
      <c r="BC417" s="78"/>
      <c r="BD417" s="78"/>
      <c r="BE417" s="78"/>
      <c r="BF417" s="78"/>
      <c r="BG417" s="78"/>
      <c r="BH417" s="78"/>
      <c r="BI417" s="78"/>
      <c r="BJ417" s="78"/>
      <c r="BK417" s="78">
        <v>64.641900000000007</v>
      </c>
      <c r="BL417" s="78">
        <v>19.334299999999999</v>
      </c>
      <c r="BM417" s="78">
        <v>1508.2493999999999</v>
      </c>
      <c r="BN417" s="78"/>
      <c r="BO417" s="78"/>
      <c r="BP417" s="78"/>
      <c r="BQ417" s="78"/>
      <c r="BR417" s="78"/>
      <c r="BS417" s="78"/>
      <c r="BT417" s="78"/>
      <c r="BU417" s="78"/>
      <c r="BV417" s="78"/>
      <c r="BW417" s="78"/>
      <c r="BX417" s="78"/>
      <c r="BY417" s="78"/>
      <c r="BZ417" s="78"/>
      <c r="CA417" s="78"/>
      <c r="CB417" s="78">
        <v>450.15</v>
      </c>
      <c r="CC417" s="231">
        <f t="shared" si="1212"/>
        <v>31950</v>
      </c>
    </row>
    <row r="418" spans="2:81" s="3" customFormat="1" ht="15.75" thickBot="1" x14ac:dyDescent="0.3">
      <c r="B418" s="158">
        <v>32000</v>
      </c>
      <c r="C418" s="144">
        <f t="shared" si="1188"/>
        <v>0</v>
      </c>
      <c r="D418" s="144">
        <f t="shared" si="1189"/>
        <v>18410.211200000002</v>
      </c>
      <c r="E418" s="144">
        <f t="shared" si="1206"/>
        <v>0</v>
      </c>
      <c r="F418" s="144">
        <f t="shared" si="1190"/>
        <v>3051.7838000000002</v>
      </c>
      <c r="G418" s="144">
        <f t="shared" si="1207"/>
        <v>0</v>
      </c>
      <c r="H418" s="144">
        <f t="shared" si="1208"/>
        <v>0</v>
      </c>
      <c r="I418" s="144">
        <f t="shared" si="1209"/>
        <v>0</v>
      </c>
      <c r="J418" s="159">
        <f t="shared" si="1210"/>
        <v>0</v>
      </c>
      <c r="K418" s="160">
        <f t="shared" si="1211"/>
        <v>459.88</v>
      </c>
      <c r="L418" s="152">
        <f t="shared" si="1085"/>
        <v>0</v>
      </c>
      <c r="M418" s="144">
        <f t="shared" si="1086"/>
        <v>31717</v>
      </c>
      <c r="N418" s="144"/>
      <c r="O418" s="144">
        <f t="shared" si="1087"/>
        <v>4301</v>
      </c>
      <c r="P418" s="144">
        <f t="shared" si="1088"/>
        <v>0</v>
      </c>
      <c r="Q418" s="144">
        <f t="shared" si="1089"/>
        <v>0</v>
      </c>
      <c r="R418" s="144">
        <f t="shared" si="1090"/>
        <v>0</v>
      </c>
      <c r="S418" s="144">
        <f t="shared" si="1091"/>
        <v>0</v>
      </c>
      <c r="T418" s="144">
        <f t="shared" si="1213"/>
        <v>2528</v>
      </c>
      <c r="V418" s="150">
        <f>L417+L418</f>
        <v>21</v>
      </c>
      <c r="W418" s="150">
        <f t="shared" ref="W418" si="1221">M417+M418</f>
        <v>59883</v>
      </c>
      <c r="X418" s="150"/>
      <c r="Y418" s="150">
        <f t="shared" ref="Y418" si="1222">O417+O418</f>
        <v>7081</v>
      </c>
      <c r="Z418" s="150">
        <f t="shared" ref="Z418" si="1223">P417+P418</f>
        <v>0</v>
      </c>
      <c r="AA418" s="150">
        <f t="shared" ref="AA418" si="1224">Q417+Q418</f>
        <v>0</v>
      </c>
      <c r="AB418" s="150">
        <f t="shared" ref="AB418" si="1225">R417+R418</f>
        <v>0</v>
      </c>
      <c r="AC418" s="150">
        <f t="shared" ref="AC418" si="1226">S417+S418</f>
        <v>0</v>
      </c>
      <c r="AD418" s="150">
        <f t="shared" ref="AD418" si="1227">T417+T418</f>
        <v>4999</v>
      </c>
      <c r="AF418" s="158">
        <f t="shared" si="1198"/>
        <v>32000</v>
      </c>
      <c r="AG418" s="149"/>
      <c r="AH418" s="149"/>
      <c r="AI418" s="149"/>
      <c r="AJ418" s="149"/>
      <c r="AK418" s="149"/>
      <c r="AL418" s="149"/>
      <c r="AM418" s="149"/>
      <c r="AN418" s="149"/>
      <c r="AO418" s="149"/>
      <c r="AP418" s="149"/>
      <c r="AQ418" s="149"/>
      <c r="AR418" s="149"/>
      <c r="AS418" s="149"/>
      <c r="AT418" s="149"/>
      <c r="AU418" s="149"/>
      <c r="AV418" s="149"/>
      <c r="AW418" s="149"/>
      <c r="AX418" s="149">
        <v>18410.211200000002</v>
      </c>
      <c r="AY418" s="149"/>
      <c r="AZ418" s="149"/>
      <c r="BA418" s="149"/>
      <c r="BB418" s="149"/>
      <c r="BC418" s="149"/>
      <c r="BD418" s="149"/>
      <c r="BE418" s="149"/>
      <c r="BF418" s="149"/>
      <c r="BG418" s="149"/>
      <c r="BH418" s="149"/>
      <c r="BI418" s="149"/>
      <c r="BJ418" s="149"/>
      <c r="BK418" s="149">
        <v>1397.3978</v>
      </c>
      <c r="BL418" s="149">
        <v>1654.386</v>
      </c>
      <c r="BM418" s="149"/>
      <c r="BN418" s="149"/>
      <c r="BO418" s="149"/>
      <c r="BP418" s="149"/>
      <c r="BQ418" s="149"/>
      <c r="BR418" s="149"/>
      <c r="BS418" s="149"/>
      <c r="BT418" s="149"/>
      <c r="BU418" s="149"/>
      <c r="BV418" s="149"/>
      <c r="BW418" s="149"/>
      <c r="BX418" s="149"/>
      <c r="BY418" s="149"/>
      <c r="BZ418" s="149"/>
      <c r="CA418" s="149"/>
      <c r="CB418" s="149">
        <v>459.88</v>
      </c>
      <c r="CC418" s="231">
        <f t="shared" si="1212"/>
        <v>32000</v>
      </c>
    </row>
    <row r="419" spans="2:81" x14ac:dyDescent="0.25">
      <c r="B419" s="155">
        <v>32050</v>
      </c>
      <c r="C419" s="147">
        <f t="shared" si="1188"/>
        <v>0</v>
      </c>
      <c r="D419" s="147">
        <f t="shared" si="1189"/>
        <v>10172.705599999999</v>
      </c>
      <c r="E419" s="147">
        <f t="shared" si="1206"/>
        <v>0</v>
      </c>
      <c r="F419" s="147">
        <f t="shared" si="1190"/>
        <v>2961.4438</v>
      </c>
      <c r="G419" s="147">
        <f t="shared" si="1207"/>
        <v>0</v>
      </c>
      <c r="H419" s="147">
        <f t="shared" si="1208"/>
        <v>0</v>
      </c>
      <c r="I419" s="147">
        <f t="shared" si="1209"/>
        <v>0</v>
      </c>
      <c r="J419" s="156">
        <f t="shared" si="1210"/>
        <v>0</v>
      </c>
      <c r="K419" s="157">
        <f t="shared" si="1211"/>
        <v>497.05</v>
      </c>
      <c r="L419" s="151">
        <f t="shared" si="1085"/>
        <v>0</v>
      </c>
      <c r="M419" s="147">
        <f t="shared" si="1086"/>
        <v>26466</v>
      </c>
      <c r="N419" s="147"/>
      <c r="O419" s="147">
        <f t="shared" si="1087"/>
        <v>5568</v>
      </c>
      <c r="P419" s="147">
        <f t="shared" si="1088"/>
        <v>0</v>
      </c>
      <c r="Q419" s="147">
        <f t="shared" si="1089"/>
        <v>0</v>
      </c>
      <c r="R419" s="147">
        <f t="shared" si="1090"/>
        <v>0</v>
      </c>
      <c r="S419" s="147">
        <f t="shared" si="1091"/>
        <v>0</v>
      </c>
      <c r="T419" s="147">
        <f t="shared" si="1213"/>
        <v>2659</v>
      </c>
      <c r="V419" s="146"/>
      <c r="W419" s="147"/>
      <c r="X419" s="147"/>
      <c r="Y419" s="147"/>
      <c r="Z419" s="147"/>
      <c r="AA419" s="147"/>
      <c r="AB419" s="147"/>
      <c r="AC419" s="147"/>
      <c r="AD419" s="148"/>
      <c r="AF419" s="155">
        <f t="shared" si="1198"/>
        <v>32050</v>
      </c>
      <c r="AG419" s="78"/>
      <c r="AH419" s="78"/>
      <c r="AI419" s="78"/>
      <c r="AJ419" s="78"/>
      <c r="AK419" s="78"/>
      <c r="AL419" s="78"/>
      <c r="AM419" s="78"/>
      <c r="AN419" s="78"/>
      <c r="AO419" s="78"/>
      <c r="AP419" s="78"/>
      <c r="AQ419" s="78"/>
      <c r="AR419" s="78"/>
      <c r="AS419" s="78"/>
      <c r="AT419" s="78"/>
      <c r="AU419" s="78"/>
      <c r="AV419" s="78"/>
      <c r="AW419" s="78"/>
      <c r="AX419" s="78">
        <v>10172.705599999999</v>
      </c>
      <c r="AY419" s="78"/>
      <c r="AZ419" s="78"/>
      <c r="BA419" s="78"/>
      <c r="BB419" s="78"/>
      <c r="BC419" s="78"/>
      <c r="BD419" s="78"/>
      <c r="BE419" s="78"/>
      <c r="BF419" s="78"/>
      <c r="BG419" s="78"/>
      <c r="BH419" s="78"/>
      <c r="BI419" s="78"/>
      <c r="BJ419" s="78"/>
      <c r="BK419" s="78">
        <v>2961.4438</v>
      </c>
      <c r="BL419" s="78"/>
      <c r="BM419" s="78"/>
      <c r="BN419" s="78"/>
      <c r="BO419" s="78"/>
      <c r="BP419" s="78"/>
      <c r="BQ419" s="78"/>
      <c r="BR419" s="78"/>
      <c r="BS419" s="78"/>
      <c r="BT419" s="78"/>
      <c r="BU419" s="78"/>
      <c r="BV419" s="78"/>
      <c r="BW419" s="78"/>
      <c r="BX419" s="78"/>
      <c r="BY419" s="78"/>
      <c r="BZ419" s="78"/>
      <c r="CA419" s="78"/>
      <c r="CB419" s="78">
        <v>497.05</v>
      </c>
      <c r="CC419" s="231">
        <f t="shared" si="1212"/>
        <v>32050</v>
      </c>
    </row>
    <row r="420" spans="2:81" s="3" customFormat="1" ht="15.75" thickBot="1" x14ac:dyDescent="0.3">
      <c r="B420" s="158">
        <v>32100</v>
      </c>
      <c r="C420" s="144">
        <f t="shared" si="1188"/>
        <v>0</v>
      </c>
      <c r="D420" s="144">
        <f t="shared" si="1189"/>
        <v>18761.481100000001</v>
      </c>
      <c r="E420" s="144">
        <f t="shared" si="1206"/>
        <v>0</v>
      </c>
      <c r="F420" s="144">
        <f t="shared" si="1190"/>
        <v>3406.0309999999999</v>
      </c>
      <c r="G420" s="144">
        <f t="shared" si="1207"/>
        <v>0</v>
      </c>
      <c r="H420" s="144">
        <f t="shared" si="1208"/>
        <v>0</v>
      </c>
      <c r="I420" s="144">
        <f t="shared" si="1209"/>
        <v>0</v>
      </c>
      <c r="J420" s="159">
        <f t="shared" si="1210"/>
        <v>0</v>
      </c>
      <c r="K420" s="160">
        <f t="shared" si="1211"/>
        <v>540.33000000000004</v>
      </c>
      <c r="L420" s="152">
        <f t="shared" si="1085"/>
        <v>0</v>
      </c>
      <c r="M420" s="144">
        <f t="shared" si="1086"/>
        <v>26791</v>
      </c>
      <c r="N420" s="144"/>
      <c r="O420" s="144">
        <f t="shared" si="1087"/>
        <v>5896</v>
      </c>
      <c r="P420" s="144">
        <f t="shared" si="1088"/>
        <v>0</v>
      </c>
      <c r="Q420" s="144">
        <f t="shared" si="1089"/>
        <v>0</v>
      </c>
      <c r="R420" s="144">
        <f t="shared" si="1090"/>
        <v>0</v>
      </c>
      <c r="S420" s="144">
        <f t="shared" si="1091"/>
        <v>0</v>
      </c>
      <c r="T420" s="144">
        <f t="shared" si="1213"/>
        <v>2882</v>
      </c>
      <c r="V420" s="150">
        <f>L419+L420</f>
        <v>0</v>
      </c>
      <c r="W420" s="150">
        <f t="shared" ref="W420" si="1228">M419+M420</f>
        <v>53257</v>
      </c>
      <c r="X420" s="150"/>
      <c r="Y420" s="150">
        <f t="shared" ref="Y420" si="1229">O419+O420</f>
        <v>11464</v>
      </c>
      <c r="Z420" s="150">
        <f t="shared" ref="Z420" si="1230">P419+P420</f>
        <v>0</v>
      </c>
      <c r="AA420" s="150">
        <f t="shared" ref="AA420" si="1231">Q419+Q420</f>
        <v>0</v>
      </c>
      <c r="AB420" s="150">
        <f t="shared" ref="AB420" si="1232">R419+R420</f>
        <v>0</v>
      </c>
      <c r="AC420" s="150">
        <f t="shared" ref="AC420" si="1233">S419+S420</f>
        <v>0</v>
      </c>
      <c r="AD420" s="150">
        <f t="shared" ref="AD420" si="1234">T419+T420</f>
        <v>5541</v>
      </c>
      <c r="AF420" s="158">
        <f t="shared" si="1198"/>
        <v>32100</v>
      </c>
      <c r="AG420" s="149"/>
      <c r="AH420" s="149"/>
      <c r="AI420" s="149"/>
      <c r="AJ420" s="149"/>
      <c r="AK420" s="149"/>
      <c r="AL420" s="149"/>
      <c r="AM420" s="149"/>
      <c r="AN420" s="149"/>
      <c r="AO420" s="149"/>
      <c r="AP420" s="149"/>
      <c r="AQ420" s="149"/>
      <c r="AR420" s="149"/>
      <c r="AS420" s="149"/>
      <c r="AT420" s="149"/>
      <c r="AU420" s="149"/>
      <c r="AV420" s="149"/>
      <c r="AW420" s="149"/>
      <c r="AX420" s="149">
        <v>18761.481100000001</v>
      </c>
      <c r="AY420" s="149"/>
      <c r="AZ420" s="149"/>
      <c r="BA420" s="149"/>
      <c r="BB420" s="149"/>
      <c r="BC420" s="149"/>
      <c r="BD420" s="149"/>
      <c r="BE420" s="149"/>
      <c r="BF420" s="149"/>
      <c r="BG420" s="149"/>
      <c r="BH420" s="149"/>
      <c r="BI420" s="149"/>
      <c r="BJ420" s="149"/>
      <c r="BK420" s="149">
        <v>172.34739999999999</v>
      </c>
      <c r="BL420" s="149">
        <v>3233.6835999999998</v>
      </c>
      <c r="BM420" s="149"/>
      <c r="BN420" s="149"/>
      <c r="BO420" s="149"/>
      <c r="BP420" s="149"/>
      <c r="BQ420" s="149"/>
      <c r="BR420" s="149"/>
      <c r="BS420" s="149"/>
      <c r="BT420" s="149"/>
      <c r="BU420" s="149"/>
      <c r="BV420" s="149"/>
      <c r="BW420" s="149"/>
      <c r="BX420" s="149"/>
      <c r="BY420" s="149"/>
      <c r="BZ420" s="149"/>
      <c r="CA420" s="149"/>
      <c r="CB420" s="149">
        <v>540.33000000000004</v>
      </c>
      <c r="CC420" s="231">
        <f t="shared" si="1212"/>
        <v>32100</v>
      </c>
    </row>
    <row r="421" spans="2:81" x14ac:dyDescent="0.25">
      <c r="B421" s="155">
        <v>32150</v>
      </c>
      <c r="C421" s="147">
        <f t="shared" si="1188"/>
        <v>232.7492</v>
      </c>
      <c r="D421" s="147">
        <f t="shared" si="1189"/>
        <v>19536.2117</v>
      </c>
      <c r="E421" s="147">
        <f t="shared" si="1206"/>
        <v>0</v>
      </c>
      <c r="F421" s="147">
        <f t="shared" si="1190"/>
        <v>2260.5767000000001</v>
      </c>
      <c r="G421" s="147">
        <f t="shared" si="1207"/>
        <v>0</v>
      </c>
      <c r="H421" s="147">
        <f t="shared" si="1208"/>
        <v>0</v>
      </c>
      <c r="I421" s="147">
        <f t="shared" si="1209"/>
        <v>0</v>
      </c>
      <c r="J421" s="156">
        <f t="shared" si="1210"/>
        <v>0</v>
      </c>
      <c r="K421" s="157">
        <f t="shared" si="1211"/>
        <v>555.47</v>
      </c>
      <c r="L421" s="151">
        <f t="shared" si="1085"/>
        <v>216</v>
      </c>
      <c r="M421" s="147">
        <f t="shared" si="1086"/>
        <v>35461</v>
      </c>
      <c r="N421" s="147"/>
      <c r="O421" s="147">
        <f t="shared" si="1087"/>
        <v>5247</v>
      </c>
      <c r="P421" s="147">
        <f t="shared" si="1088"/>
        <v>0</v>
      </c>
      <c r="Q421" s="147">
        <f t="shared" si="1089"/>
        <v>0</v>
      </c>
      <c r="R421" s="147">
        <f t="shared" si="1090"/>
        <v>0</v>
      </c>
      <c r="S421" s="147">
        <f t="shared" si="1091"/>
        <v>0</v>
      </c>
      <c r="T421" s="147">
        <f t="shared" si="1213"/>
        <v>3044</v>
      </c>
      <c r="V421" s="146"/>
      <c r="W421" s="147"/>
      <c r="X421" s="147"/>
      <c r="Y421" s="147"/>
      <c r="Z421" s="147"/>
      <c r="AA421" s="147"/>
      <c r="AB421" s="147"/>
      <c r="AC421" s="147"/>
      <c r="AD421" s="148"/>
      <c r="AF421" s="155">
        <f t="shared" si="1198"/>
        <v>32150</v>
      </c>
      <c r="AG421" s="78">
        <v>232.7492</v>
      </c>
      <c r="AH421" s="78"/>
      <c r="AI421" s="78"/>
      <c r="AJ421" s="78"/>
      <c r="AK421" s="78"/>
      <c r="AL421" s="78"/>
      <c r="AM421" s="78"/>
      <c r="AN421" s="78"/>
      <c r="AO421" s="78"/>
      <c r="AP421" s="78"/>
      <c r="AQ421" s="78"/>
      <c r="AR421" s="78"/>
      <c r="AS421" s="78"/>
      <c r="AT421" s="78"/>
      <c r="AU421" s="78"/>
      <c r="AV421" s="78"/>
      <c r="AW421" s="78"/>
      <c r="AX421" s="78">
        <v>74.751900000000006</v>
      </c>
      <c r="AY421" s="78">
        <v>19461.459800000001</v>
      </c>
      <c r="AZ421" s="78"/>
      <c r="BA421" s="78"/>
      <c r="BB421" s="78"/>
      <c r="BC421" s="78"/>
      <c r="BD421" s="78"/>
      <c r="BE421" s="78"/>
      <c r="BF421" s="78"/>
      <c r="BG421" s="78"/>
      <c r="BH421" s="78"/>
      <c r="BI421" s="78"/>
      <c r="BJ421" s="78"/>
      <c r="BK421" s="78">
        <v>23.9115</v>
      </c>
      <c r="BL421" s="78">
        <v>2236.6651999999999</v>
      </c>
      <c r="BM421" s="78"/>
      <c r="BN421" s="78"/>
      <c r="BO421" s="78"/>
      <c r="BP421" s="78"/>
      <c r="BQ421" s="78"/>
      <c r="BR421" s="78"/>
      <c r="BS421" s="78"/>
      <c r="BT421" s="78"/>
      <c r="BU421" s="78"/>
      <c r="BV421" s="78"/>
      <c r="BW421" s="78"/>
      <c r="BX421" s="78"/>
      <c r="BY421" s="78"/>
      <c r="BZ421" s="78"/>
      <c r="CA421" s="78"/>
      <c r="CB421" s="78">
        <v>555.47</v>
      </c>
      <c r="CC421" s="231">
        <f t="shared" si="1212"/>
        <v>32150</v>
      </c>
    </row>
    <row r="422" spans="2:81" s="3" customFormat="1" ht="15.75" thickBot="1" x14ac:dyDescent="0.3">
      <c r="B422" s="158">
        <v>32200</v>
      </c>
      <c r="C422" s="144">
        <f t="shared" si="1188"/>
        <v>994.76690000000008</v>
      </c>
      <c r="D422" s="144">
        <f t="shared" si="1189"/>
        <v>16176.2019</v>
      </c>
      <c r="E422" s="144">
        <f t="shared" si="1206"/>
        <v>0</v>
      </c>
      <c r="F422" s="144">
        <f t="shared" si="1190"/>
        <v>2213.1547999999998</v>
      </c>
      <c r="G422" s="144">
        <f t="shared" si="1207"/>
        <v>0</v>
      </c>
      <c r="H422" s="144">
        <f t="shared" si="1208"/>
        <v>0</v>
      </c>
      <c r="I422" s="144">
        <f t="shared" si="1209"/>
        <v>0</v>
      </c>
      <c r="J422" s="159">
        <f t="shared" si="1210"/>
        <v>0</v>
      </c>
      <c r="K422" s="160">
        <f t="shared" si="1211"/>
        <v>568.07000000000005</v>
      </c>
      <c r="L422" s="152">
        <f t="shared" si="1085"/>
        <v>1137</v>
      </c>
      <c r="M422" s="144">
        <f t="shared" si="1086"/>
        <v>33068</v>
      </c>
      <c r="N422" s="144"/>
      <c r="O422" s="144">
        <f t="shared" si="1087"/>
        <v>4143</v>
      </c>
      <c r="P422" s="144">
        <f t="shared" si="1088"/>
        <v>0</v>
      </c>
      <c r="Q422" s="144">
        <f t="shared" si="1089"/>
        <v>0</v>
      </c>
      <c r="R422" s="144">
        <f t="shared" si="1090"/>
        <v>0</v>
      </c>
      <c r="S422" s="144">
        <f t="shared" si="1091"/>
        <v>0</v>
      </c>
      <c r="T422" s="144">
        <f t="shared" si="1213"/>
        <v>3121</v>
      </c>
      <c r="V422" s="150">
        <f>L421+L422</f>
        <v>1353</v>
      </c>
      <c r="W422" s="150">
        <f t="shared" ref="W422" si="1235">M421+M422</f>
        <v>68529</v>
      </c>
      <c r="X422" s="150"/>
      <c r="Y422" s="150">
        <f t="shared" ref="Y422" si="1236">O421+O422</f>
        <v>9390</v>
      </c>
      <c r="Z422" s="150">
        <f t="shared" ref="Z422" si="1237">P421+P422</f>
        <v>0</v>
      </c>
      <c r="AA422" s="150">
        <f t="shared" ref="AA422" si="1238">Q421+Q422</f>
        <v>0</v>
      </c>
      <c r="AB422" s="150">
        <f t="shared" ref="AB422" si="1239">R421+R422</f>
        <v>0</v>
      </c>
      <c r="AC422" s="150">
        <f t="shared" ref="AC422" si="1240">S421+S422</f>
        <v>0</v>
      </c>
      <c r="AD422" s="150">
        <f t="shared" ref="AD422" si="1241">T421+T422</f>
        <v>6165</v>
      </c>
      <c r="AF422" s="158">
        <f t="shared" si="1198"/>
        <v>32200</v>
      </c>
      <c r="AG422" s="149">
        <v>624.98050000000001</v>
      </c>
      <c r="AH422" s="186">
        <v>69.809100000000001</v>
      </c>
      <c r="AI422" s="186">
        <v>102.6469</v>
      </c>
      <c r="AJ422" s="186">
        <v>64.132999999999996</v>
      </c>
      <c r="AK422" s="186">
        <v>41.000300000000003</v>
      </c>
      <c r="AL422" s="186">
        <v>92.197100000000006</v>
      </c>
      <c r="AM422" s="149"/>
      <c r="AN422" s="149"/>
      <c r="AO422" s="149"/>
      <c r="AP422" s="149"/>
      <c r="AQ422" s="149"/>
      <c r="AR422" s="149"/>
      <c r="AS422" s="149"/>
      <c r="AT422" s="149"/>
      <c r="AU422" s="149"/>
      <c r="AV422" s="149"/>
      <c r="AW422" s="149"/>
      <c r="AX422" s="149">
        <v>7792.7501000000002</v>
      </c>
      <c r="AY422" s="149">
        <v>8383.4518000000007</v>
      </c>
      <c r="AZ422" s="149"/>
      <c r="BA422" s="149"/>
      <c r="BB422" s="149"/>
      <c r="BC422" s="149"/>
      <c r="BD422" s="149"/>
      <c r="BE422" s="149"/>
      <c r="BF422" s="149"/>
      <c r="BG422" s="149"/>
      <c r="BH422" s="149"/>
      <c r="BI422" s="149"/>
      <c r="BJ422" s="149"/>
      <c r="BK422" s="149">
        <v>2213.1547999999998</v>
      </c>
      <c r="BL422" s="149"/>
      <c r="BM422" s="149"/>
      <c r="BN422" s="149"/>
      <c r="BO422" s="149"/>
      <c r="BP422" s="149"/>
      <c r="BQ422" s="149"/>
      <c r="BR422" s="149"/>
      <c r="BS422" s="149"/>
      <c r="BT422" s="149"/>
      <c r="BU422" s="149"/>
      <c r="BV422" s="149"/>
      <c r="BW422" s="149"/>
      <c r="BX422" s="149"/>
      <c r="BY422" s="149"/>
      <c r="BZ422" s="149"/>
      <c r="CA422" s="149"/>
      <c r="CB422" s="149">
        <v>568.07000000000005</v>
      </c>
      <c r="CC422" s="231">
        <f t="shared" si="1212"/>
        <v>32200</v>
      </c>
    </row>
    <row r="423" spans="2:81" x14ac:dyDescent="0.25">
      <c r="B423" s="155">
        <v>32250</v>
      </c>
      <c r="C423" s="147">
        <f t="shared" si="1188"/>
        <v>1355.6940000000002</v>
      </c>
      <c r="D423" s="147">
        <f t="shared" si="1189"/>
        <v>13814.9601</v>
      </c>
      <c r="E423" s="147">
        <f t="shared" si="1206"/>
        <v>0</v>
      </c>
      <c r="F423" s="147">
        <f t="shared" si="1190"/>
        <v>1611.8515</v>
      </c>
      <c r="G423" s="147">
        <f t="shared" si="1207"/>
        <v>0</v>
      </c>
      <c r="H423" s="147">
        <f t="shared" si="1208"/>
        <v>0</v>
      </c>
      <c r="I423" s="147">
        <f t="shared" si="1209"/>
        <v>0</v>
      </c>
      <c r="J423" s="156">
        <f t="shared" si="1210"/>
        <v>0</v>
      </c>
      <c r="K423" s="157">
        <f t="shared" si="1211"/>
        <v>635.24</v>
      </c>
      <c r="L423" s="151">
        <f t="shared" si="1085"/>
        <v>2177</v>
      </c>
      <c r="M423" s="147">
        <f t="shared" si="1086"/>
        <v>27770</v>
      </c>
      <c r="N423" s="147"/>
      <c r="O423" s="147">
        <f t="shared" si="1087"/>
        <v>3542</v>
      </c>
      <c r="P423" s="147">
        <f t="shared" si="1088"/>
        <v>0</v>
      </c>
      <c r="Q423" s="147">
        <f t="shared" si="1089"/>
        <v>0</v>
      </c>
      <c r="R423" s="147">
        <f t="shared" si="1090"/>
        <v>0</v>
      </c>
      <c r="S423" s="147">
        <f t="shared" si="1091"/>
        <v>0</v>
      </c>
      <c r="T423" s="147">
        <f t="shared" si="1213"/>
        <v>3343</v>
      </c>
      <c r="V423" s="146"/>
      <c r="W423" s="147"/>
      <c r="X423" s="147"/>
      <c r="Y423" s="147"/>
      <c r="Z423" s="147"/>
      <c r="AA423" s="147"/>
      <c r="AB423" s="147"/>
      <c r="AC423" s="147"/>
      <c r="AD423" s="148"/>
      <c r="AF423" s="155">
        <f t="shared" si="1198"/>
        <v>32250</v>
      </c>
      <c r="AG423" s="78">
        <v>695.08730000000003</v>
      </c>
      <c r="AH423" s="185">
        <v>69.992999999999995</v>
      </c>
      <c r="AI423" s="185">
        <v>175.16290000000001</v>
      </c>
      <c r="AJ423" s="185">
        <v>160.8306</v>
      </c>
      <c r="AK423" s="185">
        <v>152.42679999999999</v>
      </c>
      <c r="AL423" s="185">
        <v>45.554000000000002</v>
      </c>
      <c r="AM423" s="185">
        <v>56.639400000000002</v>
      </c>
      <c r="AN423" s="78"/>
      <c r="AO423" s="78"/>
      <c r="AP423" s="78"/>
      <c r="AQ423" s="78"/>
      <c r="AR423" s="78"/>
      <c r="AS423" s="78"/>
      <c r="AT423" s="78"/>
      <c r="AU423" s="78"/>
      <c r="AV423" s="78"/>
      <c r="AW423" s="78"/>
      <c r="AX423" s="78">
        <v>13814.9601</v>
      </c>
      <c r="AY423" s="78"/>
      <c r="AZ423" s="78"/>
      <c r="BA423" s="78"/>
      <c r="BB423" s="78"/>
      <c r="BC423" s="78"/>
      <c r="BD423" s="78"/>
      <c r="BE423" s="78"/>
      <c r="BF423" s="78"/>
      <c r="BG423" s="78"/>
      <c r="BH423" s="78"/>
      <c r="BI423" s="78"/>
      <c r="BJ423" s="78"/>
      <c r="BK423" s="78">
        <v>1611.8515</v>
      </c>
      <c r="BL423" s="78"/>
      <c r="BM423" s="78"/>
      <c r="BN423" s="78"/>
      <c r="BO423" s="78"/>
      <c r="BP423" s="78"/>
      <c r="BQ423" s="78"/>
      <c r="BR423" s="78"/>
      <c r="BS423" s="78"/>
      <c r="BT423" s="78"/>
      <c r="BU423" s="78"/>
      <c r="BV423" s="78"/>
      <c r="BW423" s="78"/>
      <c r="BX423" s="78"/>
      <c r="BY423" s="78"/>
      <c r="BZ423" s="78"/>
      <c r="CA423" s="78"/>
      <c r="CB423" s="78">
        <v>635.24</v>
      </c>
      <c r="CC423" s="231">
        <f t="shared" si="1212"/>
        <v>32250</v>
      </c>
    </row>
    <row r="424" spans="2:81" s="3" customFormat="1" ht="15.75" thickBot="1" x14ac:dyDescent="0.3">
      <c r="B424" s="158">
        <v>32300</v>
      </c>
      <c r="C424" s="144">
        <f t="shared" si="1188"/>
        <v>1005.4665</v>
      </c>
      <c r="D424" s="144">
        <f t="shared" si="1189"/>
        <v>10694.0746</v>
      </c>
      <c r="E424" s="144">
        <f t="shared" si="1206"/>
        <v>0</v>
      </c>
      <c r="F424" s="144">
        <f t="shared" si="1190"/>
        <v>1396.7186999999999</v>
      </c>
      <c r="G424" s="144">
        <f t="shared" si="1207"/>
        <v>0</v>
      </c>
      <c r="H424" s="144">
        <f t="shared" si="1208"/>
        <v>0</v>
      </c>
      <c r="I424" s="144">
        <f t="shared" si="1209"/>
        <v>0</v>
      </c>
      <c r="J424" s="159">
        <f t="shared" si="1210"/>
        <v>0</v>
      </c>
      <c r="K424" s="160">
        <f t="shared" si="1211"/>
        <v>526.59</v>
      </c>
      <c r="L424" s="152">
        <f t="shared" si="1085"/>
        <v>2187</v>
      </c>
      <c r="M424" s="144">
        <f t="shared" si="1086"/>
        <v>22694</v>
      </c>
      <c r="N424" s="144"/>
      <c r="O424" s="144">
        <f t="shared" si="1087"/>
        <v>2786</v>
      </c>
      <c r="P424" s="144">
        <f t="shared" si="1088"/>
        <v>0</v>
      </c>
      <c r="Q424" s="144">
        <f t="shared" si="1089"/>
        <v>0</v>
      </c>
      <c r="R424" s="144">
        <f t="shared" si="1090"/>
        <v>0</v>
      </c>
      <c r="S424" s="144">
        <f t="shared" si="1091"/>
        <v>0</v>
      </c>
      <c r="T424" s="144">
        <f t="shared" si="1213"/>
        <v>3228</v>
      </c>
      <c r="V424" s="150">
        <f>L423+L424</f>
        <v>4364</v>
      </c>
      <c r="W424" s="150">
        <f t="shared" ref="W424" si="1242">M423+M424</f>
        <v>50464</v>
      </c>
      <c r="X424" s="150"/>
      <c r="Y424" s="150">
        <f t="shared" ref="Y424" si="1243">O423+O424</f>
        <v>6328</v>
      </c>
      <c r="Z424" s="150">
        <f t="shared" ref="Z424" si="1244">P423+P424</f>
        <v>0</v>
      </c>
      <c r="AA424" s="150">
        <f t="shared" ref="AA424" si="1245">Q423+Q424</f>
        <v>0</v>
      </c>
      <c r="AB424" s="150">
        <f t="shared" ref="AB424" si="1246">R423+R424</f>
        <v>0</v>
      </c>
      <c r="AC424" s="150">
        <f t="shared" ref="AC424" si="1247">S423+S424</f>
        <v>0</v>
      </c>
      <c r="AD424" s="150">
        <f t="shared" ref="AD424" si="1248">T423+T424</f>
        <v>6571</v>
      </c>
      <c r="AF424" s="158">
        <f t="shared" si="1198"/>
        <v>32300</v>
      </c>
      <c r="AG424" s="149">
        <v>109.5485</v>
      </c>
      <c r="AH424" s="186">
        <v>166.94149999999999</v>
      </c>
      <c r="AI424" s="186">
        <v>146.77610000000001</v>
      </c>
      <c r="AJ424" s="186">
        <v>196.79640000000001</v>
      </c>
      <c r="AK424" s="186">
        <v>169.67150000000001</v>
      </c>
      <c r="AL424" s="186">
        <v>45.888500000000001</v>
      </c>
      <c r="AM424" s="186">
        <v>169.84399999999999</v>
      </c>
      <c r="AN424" s="149"/>
      <c r="AO424" s="149"/>
      <c r="AP424" s="149"/>
      <c r="AQ424" s="149"/>
      <c r="AR424" s="149"/>
      <c r="AS424" s="149"/>
      <c r="AT424" s="149"/>
      <c r="AU424" s="149"/>
      <c r="AV424" s="149"/>
      <c r="AW424" s="149"/>
      <c r="AX424" s="149">
        <v>10694.0746</v>
      </c>
      <c r="AY424" s="149"/>
      <c r="AZ424" s="149"/>
      <c r="BA424" s="149"/>
      <c r="BB424" s="149"/>
      <c r="BC424" s="149"/>
      <c r="BD424" s="149"/>
      <c r="BE424" s="149"/>
      <c r="BF424" s="149"/>
      <c r="BG424" s="149"/>
      <c r="BH424" s="149"/>
      <c r="BI424" s="149"/>
      <c r="BJ424" s="149"/>
      <c r="BK424" s="149">
        <v>1396.7186999999999</v>
      </c>
      <c r="BL424" s="149"/>
      <c r="BM424" s="149"/>
      <c r="BN424" s="149"/>
      <c r="BO424" s="149"/>
      <c r="BP424" s="149"/>
      <c r="BQ424" s="149"/>
      <c r="BR424" s="149"/>
      <c r="BS424" s="149"/>
      <c r="BT424" s="149"/>
      <c r="BU424" s="149"/>
      <c r="BV424" s="149"/>
      <c r="BW424" s="149"/>
      <c r="BX424" s="149"/>
      <c r="BY424" s="149"/>
      <c r="BZ424" s="149"/>
      <c r="CA424" s="149"/>
      <c r="CB424" s="149">
        <v>526.59</v>
      </c>
      <c r="CC424" s="231">
        <f t="shared" si="1212"/>
        <v>32300</v>
      </c>
    </row>
    <row r="425" spans="2:81" x14ac:dyDescent="0.25">
      <c r="B425" s="155">
        <v>32350</v>
      </c>
      <c r="C425" s="147">
        <f t="shared" si="1188"/>
        <v>1525.1670000000001</v>
      </c>
      <c r="D425" s="147">
        <f t="shared" si="1189"/>
        <v>10278.829599999999</v>
      </c>
      <c r="E425" s="147">
        <f t="shared" si="1206"/>
        <v>0</v>
      </c>
      <c r="F425" s="147">
        <f t="shared" si="1190"/>
        <v>1073.2692999999999</v>
      </c>
      <c r="G425" s="147">
        <f t="shared" si="1207"/>
        <v>0</v>
      </c>
      <c r="H425" s="147">
        <f t="shared" si="1208"/>
        <v>0</v>
      </c>
      <c r="I425" s="147">
        <f t="shared" si="1209"/>
        <v>0</v>
      </c>
      <c r="J425" s="156">
        <f t="shared" si="1210"/>
        <v>0</v>
      </c>
      <c r="K425" s="157">
        <f t="shared" si="1211"/>
        <v>434.53</v>
      </c>
      <c r="L425" s="151">
        <f t="shared" si="1085"/>
        <v>2344</v>
      </c>
      <c r="M425" s="147">
        <f t="shared" si="1086"/>
        <v>19420</v>
      </c>
      <c r="N425" s="147"/>
      <c r="O425" s="147">
        <f t="shared" si="1087"/>
        <v>2288</v>
      </c>
      <c r="P425" s="147">
        <f t="shared" si="1088"/>
        <v>0</v>
      </c>
      <c r="Q425" s="147">
        <f t="shared" si="1089"/>
        <v>0</v>
      </c>
      <c r="R425" s="147">
        <f t="shared" si="1090"/>
        <v>0</v>
      </c>
      <c r="S425" s="147">
        <f t="shared" si="1091"/>
        <v>0</v>
      </c>
      <c r="T425" s="147">
        <f t="shared" si="1213"/>
        <v>2670</v>
      </c>
      <c r="V425" s="146"/>
      <c r="W425" s="147"/>
      <c r="X425" s="147"/>
      <c r="Y425" s="147"/>
      <c r="Z425" s="147"/>
      <c r="AA425" s="147"/>
      <c r="AB425" s="147"/>
      <c r="AC425" s="147"/>
      <c r="AD425" s="148"/>
      <c r="AF425" s="155">
        <f t="shared" si="1198"/>
        <v>32350</v>
      </c>
      <c r="AG425" s="78">
        <v>50.847999999999999</v>
      </c>
      <c r="AH425" s="185">
        <v>253.91820000000001</v>
      </c>
      <c r="AI425" s="185">
        <v>214.16990000000001</v>
      </c>
      <c r="AJ425" s="185">
        <v>77.037000000000006</v>
      </c>
      <c r="AK425" s="185">
        <v>199.53729999999999</v>
      </c>
      <c r="AL425" s="185">
        <v>228.92949999999999</v>
      </c>
      <c r="AM425" s="185">
        <v>88.431200000000004</v>
      </c>
      <c r="AN425" s="185">
        <v>412.29590000000002</v>
      </c>
      <c r="AO425" s="78"/>
      <c r="AP425" s="78"/>
      <c r="AQ425" s="78"/>
      <c r="AR425" s="78"/>
      <c r="AS425" s="78"/>
      <c r="AT425" s="78"/>
      <c r="AU425" s="78"/>
      <c r="AV425" s="78"/>
      <c r="AW425" s="78"/>
      <c r="AX425" s="78">
        <v>10278.829599999999</v>
      </c>
      <c r="AY425" s="78"/>
      <c r="AZ425" s="78"/>
      <c r="BA425" s="78"/>
      <c r="BB425" s="78"/>
      <c r="BC425" s="78"/>
      <c r="BD425" s="78"/>
      <c r="BE425" s="78"/>
      <c r="BF425" s="78"/>
      <c r="BG425" s="78"/>
      <c r="BH425" s="78"/>
      <c r="BI425" s="78"/>
      <c r="BJ425" s="78"/>
      <c r="BK425" s="78">
        <v>1073.2692999999999</v>
      </c>
      <c r="BL425" s="78"/>
      <c r="BM425" s="78"/>
      <c r="BN425" s="78"/>
      <c r="BO425" s="78"/>
      <c r="BP425" s="78"/>
      <c r="BQ425" s="78"/>
      <c r="BR425" s="78"/>
      <c r="BS425" s="78"/>
      <c r="BT425" s="78"/>
      <c r="BU425" s="78"/>
      <c r="BV425" s="78"/>
      <c r="BW425" s="78"/>
      <c r="BX425" s="78"/>
      <c r="BY425" s="78"/>
      <c r="BZ425" s="78"/>
      <c r="CA425" s="78"/>
      <c r="CB425" s="78">
        <v>434.53</v>
      </c>
      <c r="CC425" s="231">
        <f t="shared" si="1212"/>
        <v>32350</v>
      </c>
    </row>
    <row r="426" spans="2:81" s="3" customFormat="1" ht="15.75" thickBot="1" x14ac:dyDescent="0.3">
      <c r="B426" s="158">
        <v>32400</v>
      </c>
      <c r="C426" s="144">
        <f t="shared" si="1188"/>
        <v>1299.5983999999999</v>
      </c>
      <c r="D426" s="144">
        <f t="shared" si="1189"/>
        <v>11157.8909</v>
      </c>
      <c r="E426" s="144">
        <f t="shared" si="1206"/>
        <v>0</v>
      </c>
      <c r="F426" s="144">
        <f t="shared" si="1190"/>
        <v>659.75710000000004</v>
      </c>
      <c r="G426" s="144">
        <f t="shared" si="1207"/>
        <v>0</v>
      </c>
      <c r="H426" s="144">
        <f t="shared" si="1208"/>
        <v>0</v>
      </c>
      <c r="I426" s="144">
        <f t="shared" si="1209"/>
        <v>0</v>
      </c>
      <c r="J426" s="159">
        <f t="shared" si="1210"/>
        <v>0</v>
      </c>
      <c r="K426" s="160">
        <f t="shared" si="1211"/>
        <v>393.42</v>
      </c>
      <c r="L426" s="152">
        <f t="shared" si="1085"/>
        <v>2616</v>
      </c>
      <c r="M426" s="144">
        <f t="shared" si="1086"/>
        <v>19849</v>
      </c>
      <c r="N426" s="144"/>
      <c r="O426" s="144">
        <f t="shared" si="1087"/>
        <v>1605</v>
      </c>
      <c r="P426" s="144">
        <f t="shared" si="1088"/>
        <v>0</v>
      </c>
      <c r="Q426" s="144">
        <f t="shared" si="1089"/>
        <v>0</v>
      </c>
      <c r="R426" s="144">
        <f t="shared" si="1090"/>
        <v>0</v>
      </c>
      <c r="S426" s="144">
        <f t="shared" si="1091"/>
        <v>0</v>
      </c>
      <c r="T426" s="144">
        <f t="shared" si="1213"/>
        <v>2300</v>
      </c>
      <c r="V426" s="150">
        <f>L425+L426</f>
        <v>4960</v>
      </c>
      <c r="W426" s="150">
        <f t="shared" ref="W426" si="1249">M425+M426</f>
        <v>39269</v>
      </c>
      <c r="X426" s="150"/>
      <c r="Y426" s="150">
        <f t="shared" ref="Y426" si="1250">O425+O426</f>
        <v>3893</v>
      </c>
      <c r="Z426" s="150">
        <f t="shared" ref="Z426" si="1251">P425+P426</f>
        <v>0</v>
      </c>
      <c r="AA426" s="150">
        <f t="shared" ref="AA426" si="1252">Q425+Q426</f>
        <v>0</v>
      </c>
      <c r="AB426" s="150">
        <f t="shared" ref="AB426" si="1253">R425+R426</f>
        <v>0</v>
      </c>
      <c r="AC426" s="150">
        <f t="shared" ref="AC426" si="1254">S425+S426</f>
        <v>0</v>
      </c>
      <c r="AD426" s="150">
        <f t="shared" ref="AD426" si="1255">T425+T426</f>
        <v>4970</v>
      </c>
      <c r="AF426" s="158">
        <f t="shared" si="1198"/>
        <v>32400</v>
      </c>
      <c r="AG426" s="149">
        <v>16.866</v>
      </c>
      <c r="AH426" s="186">
        <v>177.6515</v>
      </c>
      <c r="AI426" s="186">
        <v>223.73390000000001</v>
      </c>
      <c r="AJ426" s="186">
        <v>148.88820000000001</v>
      </c>
      <c r="AK426" s="186">
        <v>149.26490000000001</v>
      </c>
      <c r="AL426" s="186">
        <v>151.00069999999999</v>
      </c>
      <c r="AM426" s="186">
        <v>161.17400000000001</v>
      </c>
      <c r="AN426" s="186">
        <v>271.01920000000001</v>
      </c>
      <c r="AO426" s="149"/>
      <c r="AP426" s="149"/>
      <c r="AQ426" s="149"/>
      <c r="AR426" s="149"/>
      <c r="AS426" s="149"/>
      <c r="AT426" s="149"/>
      <c r="AU426" s="149"/>
      <c r="AV426" s="149"/>
      <c r="AW426" s="149"/>
      <c r="AX426" s="149">
        <v>11157.8909</v>
      </c>
      <c r="AY426" s="149"/>
      <c r="AZ426" s="149"/>
      <c r="BA426" s="149"/>
      <c r="BB426" s="149"/>
      <c r="BC426" s="149"/>
      <c r="BD426" s="149"/>
      <c r="BE426" s="149"/>
      <c r="BF426" s="149"/>
      <c r="BG426" s="149"/>
      <c r="BH426" s="149"/>
      <c r="BI426" s="149"/>
      <c r="BJ426" s="149"/>
      <c r="BK426" s="149">
        <v>659.75710000000004</v>
      </c>
      <c r="BL426" s="149"/>
      <c r="BM426" s="149"/>
      <c r="BN426" s="149"/>
      <c r="BO426" s="149"/>
      <c r="BP426" s="149"/>
      <c r="BQ426" s="149"/>
      <c r="BR426" s="149"/>
      <c r="BS426" s="149"/>
      <c r="BT426" s="149"/>
      <c r="BU426" s="149"/>
      <c r="BV426" s="149"/>
      <c r="BW426" s="149"/>
      <c r="BX426" s="149"/>
      <c r="BY426" s="149"/>
      <c r="BZ426" s="149"/>
      <c r="CA426" s="149"/>
      <c r="CB426" s="149">
        <v>393.42</v>
      </c>
      <c r="CC426" s="231">
        <f t="shared" si="1212"/>
        <v>32400</v>
      </c>
    </row>
    <row r="427" spans="2:81" s="192" customFormat="1" ht="15.75" thickBot="1" x14ac:dyDescent="0.3">
      <c r="B427" s="187">
        <v>32450</v>
      </c>
      <c r="C427" s="188">
        <f t="shared" si="1188"/>
        <v>1503.8208999999999</v>
      </c>
      <c r="D427" s="188">
        <f t="shared" si="1189"/>
        <v>11024.419400000001</v>
      </c>
      <c r="E427" s="188">
        <f t="shared" si="1206"/>
        <v>0</v>
      </c>
      <c r="F427" s="188">
        <f t="shared" si="1190"/>
        <v>769.96619999999996</v>
      </c>
      <c r="G427" s="188">
        <f t="shared" si="1207"/>
        <v>0</v>
      </c>
      <c r="H427" s="188">
        <f t="shared" si="1208"/>
        <v>0</v>
      </c>
      <c r="I427" s="188">
        <f t="shared" si="1209"/>
        <v>0</v>
      </c>
      <c r="J427" s="189">
        <f t="shared" si="1210"/>
        <v>0</v>
      </c>
      <c r="K427" s="190">
        <f t="shared" si="1211"/>
        <v>428.18</v>
      </c>
      <c r="L427" s="191">
        <f t="shared" si="1085"/>
        <v>2596</v>
      </c>
      <c r="M427" s="188">
        <f t="shared" si="1086"/>
        <v>20540</v>
      </c>
      <c r="N427" s="188"/>
      <c r="O427" s="188">
        <f t="shared" si="1087"/>
        <v>1324</v>
      </c>
      <c r="P427" s="188">
        <f t="shared" si="1088"/>
        <v>0</v>
      </c>
      <c r="Q427" s="188">
        <f t="shared" si="1089"/>
        <v>0</v>
      </c>
      <c r="R427" s="188">
        <f t="shared" si="1090"/>
        <v>0</v>
      </c>
      <c r="S427" s="188">
        <f t="shared" si="1091"/>
        <v>0</v>
      </c>
      <c r="T427" s="188">
        <f t="shared" si="1213"/>
        <v>2283</v>
      </c>
      <c r="V427" s="150">
        <f t="shared" ref="V427" si="1256">L427</f>
        <v>2596</v>
      </c>
      <c r="W427" s="150">
        <f t="shared" ref="W427" si="1257">M427</f>
        <v>20540</v>
      </c>
      <c r="X427" s="150"/>
      <c r="Y427" s="150">
        <f t="shared" ref="Y427" si="1258">O427</f>
        <v>1324</v>
      </c>
      <c r="Z427" s="150">
        <f t="shared" ref="Z427" si="1259">P427</f>
        <v>0</v>
      </c>
      <c r="AA427" s="150">
        <f t="shared" ref="AA427" si="1260">Q427</f>
        <v>0</v>
      </c>
      <c r="AB427" s="150">
        <f t="shared" ref="AB427" si="1261">R427</f>
        <v>0</v>
      </c>
      <c r="AC427" s="150">
        <f t="shared" ref="AC427" si="1262">S427</f>
        <v>0</v>
      </c>
      <c r="AD427" s="150">
        <f t="shared" ref="AD427" si="1263">T427</f>
        <v>2283</v>
      </c>
      <c r="AF427" s="187">
        <f t="shared" si="1198"/>
        <v>32450</v>
      </c>
      <c r="AG427" s="193">
        <v>338.82010000000002</v>
      </c>
      <c r="AH427" s="194">
        <v>98.311599999999999</v>
      </c>
      <c r="AI427" s="194">
        <v>106.76</v>
      </c>
      <c r="AJ427" s="194">
        <v>145.2646</v>
      </c>
      <c r="AK427" s="194">
        <v>146.79660000000001</v>
      </c>
      <c r="AL427" s="194">
        <v>169.6174</v>
      </c>
      <c r="AM427" s="194">
        <v>154.65620000000001</v>
      </c>
      <c r="AN427" s="194">
        <v>187.58359999999999</v>
      </c>
      <c r="AO427" s="194">
        <v>156.01079999999999</v>
      </c>
      <c r="AP427" s="193"/>
      <c r="AQ427" s="193"/>
      <c r="AR427" s="193"/>
      <c r="AS427" s="193"/>
      <c r="AT427" s="193"/>
      <c r="AU427" s="193"/>
      <c r="AV427" s="193"/>
      <c r="AW427" s="193"/>
      <c r="AX427" s="193">
        <v>11024.419400000001</v>
      </c>
      <c r="AY427" s="193"/>
      <c r="AZ427" s="193"/>
      <c r="BA427" s="193"/>
      <c r="BB427" s="193"/>
      <c r="BC427" s="193"/>
      <c r="BD427" s="193"/>
      <c r="BE427" s="193"/>
      <c r="BF427" s="193"/>
      <c r="BG427" s="193"/>
      <c r="BH427" s="193"/>
      <c r="BI427" s="193"/>
      <c r="BJ427" s="193"/>
      <c r="BK427" s="193">
        <v>769.96619999999996</v>
      </c>
      <c r="BL427" s="193"/>
      <c r="BM427" s="193"/>
      <c r="BN427" s="193"/>
      <c r="BO427" s="193"/>
      <c r="BP427" s="193"/>
      <c r="BQ427" s="193"/>
      <c r="BR427" s="193"/>
      <c r="BS427" s="193"/>
      <c r="BT427" s="193"/>
      <c r="BU427" s="193"/>
      <c r="BV427" s="193"/>
      <c r="BW427" s="193"/>
      <c r="BX427" s="193"/>
      <c r="BY427" s="193"/>
      <c r="BZ427" s="193"/>
      <c r="CA427" s="193"/>
      <c r="CB427" s="193">
        <v>428.18</v>
      </c>
      <c r="CC427" s="231">
        <f t="shared" si="1212"/>
        <v>32450</v>
      </c>
    </row>
    <row r="428" spans="2:81" x14ac:dyDescent="0.25">
      <c r="B428" s="155">
        <v>32500</v>
      </c>
      <c r="C428" s="147">
        <f t="shared" si="1188"/>
        <v>1318.5915999999997</v>
      </c>
      <c r="D428" s="147">
        <f t="shared" si="1189"/>
        <v>10961.3621</v>
      </c>
      <c r="E428" s="147">
        <f t="shared" si="1206"/>
        <v>0</v>
      </c>
      <c r="F428" s="147">
        <f t="shared" si="1190"/>
        <v>748.79880000000003</v>
      </c>
      <c r="G428" s="147">
        <f t="shared" si="1207"/>
        <v>0</v>
      </c>
      <c r="H428" s="147">
        <f t="shared" si="1208"/>
        <v>0</v>
      </c>
      <c r="I428" s="147">
        <f t="shared" si="1209"/>
        <v>0</v>
      </c>
      <c r="J428" s="156">
        <f t="shared" si="1210"/>
        <v>0</v>
      </c>
      <c r="K428" s="157">
        <f t="shared" si="1211"/>
        <v>413.11</v>
      </c>
      <c r="L428" s="151">
        <f t="shared" si="1085"/>
        <v>2614</v>
      </c>
      <c r="M428" s="147">
        <f t="shared" si="1086"/>
        <v>20358</v>
      </c>
      <c r="N428" s="147"/>
      <c r="O428" s="147">
        <f t="shared" si="1087"/>
        <v>1407</v>
      </c>
      <c r="P428" s="147">
        <f t="shared" si="1088"/>
        <v>0</v>
      </c>
      <c r="Q428" s="147">
        <f t="shared" si="1089"/>
        <v>0</v>
      </c>
      <c r="R428" s="147">
        <f t="shared" si="1090"/>
        <v>0</v>
      </c>
      <c r="S428" s="147">
        <f t="shared" si="1091"/>
        <v>0</v>
      </c>
      <c r="T428" s="147">
        <f t="shared" si="1213"/>
        <v>2337</v>
      </c>
      <c r="V428" s="146"/>
      <c r="W428" s="147"/>
      <c r="X428" s="147"/>
      <c r="Y428" s="147"/>
      <c r="Z428" s="147"/>
      <c r="AA428" s="147"/>
      <c r="AB428" s="147"/>
      <c r="AC428" s="147"/>
      <c r="AD428" s="148"/>
      <c r="AF428" s="155">
        <f t="shared" si="1198"/>
        <v>32500</v>
      </c>
      <c r="AG428" s="78">
        <v>169.46270000000001</v>
      </c>
      <c r="AH428" s="185">
        <v>78.297499999999999</v>
      </c>
      <c r="AI428" s="185">
        <v>54.876899999999999</v>
      </c>
      <c r="AJ428" s="185">
        <v>80.862300000000005</v>
      </c>
      <c r="AK428" s="185">
        <v>74.111999999999995</v>
      </c>
      <c r="AL428" s="185">
        <v>132.74510000000001</v>
      </c>
      <c r="AM428" s="185">
        <v>147.5994</v>
      </c>
      <c r="AN428" s="185">
        <v>182.8715</v>
      </c>
      <c r="AO428" s="185">
        <v>219.65520000000001</v>
      </c>
      <c r="AP428" s="185">
        <v>178.10900000000001</v>
      </c>
      <c r="AQ428" s="78"/>
      <c r="AR428" s="78"/>
      <c r="AS428" s="78"/>
      <c r="AT428" s="78"/>
      <c r="AU428" s="78"/>
      <c r="AV428" s="78"/>
      <c r="AW428" s="78"/>
      <c r="AX428" s="78">
        <v>10961.3621</v>
      </c>
      <c r="AY428" s="78"/>
      <c r="AZ428" s="78"/>
      <c r="BA428" s="78"/>
      <c r="BB428" s="78"/>
      <c r="BC428" s="78"/>
      <c r="BD428" s="78"/>
      <c r="BE428" s="78"/>
      <c r="BF428" s="78"/>
      <c r="BG428" s="78"/>
      <c r="BH428" s="78"/>
      <c r="BI428" s="78"/>
      <c r="BJ428" s="78"/>
      <c r="BK428" s="78">
        <v>748.79880000000003</v>
      </c>
      <c r="BL428" s="78"/>
      <c r="BM428" s="78"/>
      <c r="BN428" s="78"/>
      <c r="BO428" s="78"/>
      <c r="BP428" s="78"/>
      <c r="BQ428" s="78"/>
      <c r="BR428" s="78"/>
      <c r="BS428" s="78"/>
      <c r="BT428" s="78"/>
      <c r="BU428" s="78"/>
      <c r="BV428" s="78"/>
      <c r="BW428" s="78"/>
      <c r="BX428" s="78"/>
      <c r="BY428" s="78"/>
      <c r="BZ428" s="78"/>
      <c r="CA428" s="78"/>
      <c r="CB428" s="78">
        <v>413.11</v>
      </c>
      <c r="CC428" s="231">
        <f t="shared" si="1212"/>
        <v>32500</v>
      </c>
    </row>
    <row r="429" spans="2:81" s="3" customFormat="1" ht="15.75" thickBot="1" x14ac:dyDescent="0.3">
      <c r="B429" s="158">
        <v>32550</v>
      </c>
      <c r="C429" s="144">
        <f t="shared" si="1188"/>
        <v>1394.8317999999999</v>
      </c>
      <c r="D429" s="144">
        <f t="shared" si="1189"/>
        <v>12045.0085</v>
      </c>
      <c r="E429" s="144">
        <f t="shared" si="1206"/>
        <v>0</v>
      </c>
      <c r="F429" s="144">
        <f t="shared" si="1190"/>
        <v>648.66679999999997</v>
      </c>
      <c r="G429" s="144">
        <f t="shared" si="1207"/>
        <v>0</v>
      </c>
      <c r="H429" s="144">
        <f t="shared" si="1208"/>
        <v>0</v>
      </c>
      <c r="I429" s="144">
        <f t="shared" si="1209"/>
        <v>0</v>
      </c>
      <c r="J429" s="159">
        <f t="shared" si="1210"/>
        <v>0</v>
      </c>
      <c r="K429" s="160">
        <f t="shared" si="1211"/>
        <v>369.69</v>
      </c>
      <c r="L429" s="152">
        <f t="shared" si="1085"/>
        <v>2513</v>
      </c>
      <c r="M429" s="144">
        <f t="shared" si="1086"/>
        <v>21303</v>
      </c>
      <c r="N429" s="144"/>
      <c r="O429" s="144">
        <f t="shared" si="1087"/>
        <v>1294</v>
      </c>
      <c r="P429" s="144">
        <f t="shared" si="1088"/>
        <v>0</v>
      </c>
      <c r="Q429" s="144">
        <f t="shared" si="1089"/>
        <v>0</v>
      </c>
      <c r="R429" s="144">
        <f t="shared" si="1090"/>
        <v>0</v>
      </c>
      <c r="S429" s="144">
        <f t="shared" si="1091"/>
        <v>0</v>
      </c>
      <c r="T429" s="144">
        <f t="shared" si="1213"/>
        <v>2175</v>
      </c>
      <c r="V429" s="150">
        <f>L428+L429</f>
        <v>5127</v>
      </c>
      <c r="W429" s="150">
        <f t="shared" ref="W429" si="1264">M428+M429</f>
        <v>41661</v>
      </c>
      <c r="X429" s="150"/>
      <c r="Y429" s="150">
        <f t="shared" ref="Y429" si="1265">O428+O429</f>
        <v>2701</v>
      </c>
      <c r="Z429" s="150">
        <f t="shared" ref="Z429" si="1266">P428+P429</f>
        <v>0</v>
      </c>
      <c r="AA429" s="150">
        <f t="shared" ref="AA429" si="1267">Q428+Q429</f>
        <v>0</v>
      </c>
      <c r="AB429" s="150">
        <f t="shared" ref="AB429" si="1268">R428+R429</f>
        <v>0</v>
      </c>
      <c r="AC429" s="150">
        <f t="shared" ref="AC429" si="1269">S428+S429</f>
        <v>0</v>
      </c>
      <c r="AD429" s="150">
        <f t="shared" ref="AD429" si="1270">T428+T429</f>
        <v>4512</v>
      </c>
      <c r="AF429" s="158">
        <f t="shared" si="1198"/>
        <v>32550</v>
      </c>
      <c r="AG429" s="186">
        <v>103.0441</v>
      </c>
      <c r="AH429" s="186">
        <v>130.32939999999999</v>
      </c>
      <c r="AI429" s="186">
        <v>70.56</v>
      </c>
      <c r="AJ429" s="186">
        <v>56.308599999999998</v>
      </c>
      <c r="AK429" s="186">
        <v>133.04599999999999</v>
      </c>
      <c r="AL429" s="186">
        <v>151.51679999999999</v>
      </c>
      <c r="AM429" s="186">
        <v>264.19929999999999</v>
      </c>
      <c r="AN429" s="186">
        <v>174.64080000000001</v>
      </c>
      <c r="AO429" s="186">
        <v>311.18680000000001</v>
      </c>
      <c r="AP429" s="149"/>
      <c r="AQ429" s="149"/>
      <c r="AR429" s="149"/>
      <c r="AS429" s="149"/>
      <c r="AT429" s="149"/>
      <c r="AU429" s="149"/>
      <c r="AV429" s="149"/>
      <c r="AW429" s="149"/>
      <c r="AX429" s="149">
        <v>12045.0085</v>
      </c>
      <c r="AY429" s="149"/>
      <c r="AZ429" s="149"/>
      <c r="BA429" s="149"/>
      <c r="BB429" s="149"/>
      <c r="BC429" s="149"/>
      <c r="BD429" s="149"/>
      <c r="BE429" s="149"/>
      <c r="BF429" s="149"/>
      <c r="BG429" s="149"/>
      <c r="BH429" s="149"/>
      <c r="BI429" s="149"/>
      <c r="BJ429" s="149"/>
      <c r="BK429" s="149">
        <v>648.66679999999997</v>
      </c>
      <c r="BL429" s="149"/>
      <c r="BM429" s="149"/>
      <c r="BN429" s="149"/>
      <c r="BO429" s="149"/>
      <c r="BP429" s="149"/>
      <c r="BQ429" s="149"/>
      <c r="BR429" s="149"/>
      <c r="BS429" s="149"/>
      <c r="BT429" s="149"/>
      <c r="BU429" s="149"/>
      <c r="BV429" s="149"/>
      <c r="BW429" s="149"/>
      <c r="BX429" s="149"/>
      <c r="BY429" s="149"/>
      <c r="BZ429" s="149"/>
      <c r="CA429" s="149"/>
      <c r="CB429" s="149">
        <v>369.69</v>
      </c>
      <c r="CC429" s="231">
        <f t="shared" si="1212"/>
        <v>32550</v>
      </c>
    </row>
    <row r="430" spans="2:81" x14ac:dyDescent="0.25">
      <c r="B430" s="155">
        <v>32600</v>
      </c>
      <c r="C430" s="147">
        <f t="shared" si="1188"/>
        <v>1584.3688</v>
      </c>
      <c r="D430" s="147">
        <f t="shared" si="1189"/>
        <v>12657.087799999999</v>
      </c>
      <c r="E430" s="147">
        <f t="shared" si="1206"/>
        <v>0</v>
      </c>
      <c r="F430" s="147">
        <f t="shared" si="1190"/>
        <v>695.5924</v>
      </c>
      <c r="G430" s="147">
        <f t="shared" si="1207"/>
        <v>0</v>
      </c>
      <c r="H430" s="147">
        <f t="shared" si="1208"/>
        <v>0</v>
      </c>
      <c r="I430" s="147">
        <f t="shared" si="1209"/>
        <v>0</v>
      </c>
      <c r="J430" s="156">
        <f t="shared" si="1210"/>
        <v>0</v>
      </c>
      <c r="K430" s="157">
        <f t="shared" si="1211"/>
        <v>412.29</v>
      </c>
      <c r="L430" s="151">
        <f t="shared" si="1085"/>
        <v>2759</v>
      </c>
      <c r="M430" s="147">
        <f t="shared" si="1086"/>
        <v>22873</v>
      </c>
      <c r="N430" s="147"/>
      <c r="O430" s="147">
        <f t="shared" si="1087"/>
        <v>1245</v>
      </c>
      <c r="P430" s="147">
        <f t="shared" si="1088"/>
        <v>0</v>
      </c>
      <c r="Q430" s="147">
        <f t="shared" si="1089"/>
        <v>0</v>
      </c>
      <c r="R430" s="147">
        <f t="shared" si="1090"/>
        <v>0</v>
      </c>
      <c r="S430" s="147">
        <f t="shared" si="1091"/>
        <v>0</v>
      </c>
      <c r="T430" s="147">
        <f t="shared" si="1213"/>
        <v>2173</v>
      </c>
      <c r="V430" s="146"/>
      <c r="W430" s="147"/>
      <c r="X430" s="147"/>
      <c r="Y430" s="147"/>
      <c r="Z430" s="147"/>
      <c r="AA430" s="147"/>
      <c r="AB430" s="147"/>
      <c r="AC430" s="147"/>
      <c r="AD430" s="148"/>
      <c r="AF430" s="155">
        <f t="shared" si="1198"/>
        <v>32600</v>
      </c>
      <c r="AG430" s="185">
        <v>44.422699999999999</v>
      </c>
      <c r="AH430" s="185">
        <v>85.7179</v>
      </c>
      <c r="AI430" s="185">
        <v>118.7627</v>
      </c>
      <c r="AJ430" s="185">
        <v>169.4708</v>
      </c>
      <c r="AK430" s="185">
        <v>278.79919999999998</v>
      </c>
      <c r="AL430" s="185">
        <v>159.72059999999999</v>
      </c>
      <c r="AM430" s="185">
        <v>168.4161</v>
      </c>
      <c r="AN430" s="185">
        <v>149.07730000000001</v>
      </c>
      <c r="AO430" s="185">
        <v>156.01779999999999</v>
      </c>
      <c r="AP430" s="185">
        <v>253.96369999999999</v>
      </c>
      <c r="AQ430" s="78"/>
      <c r="AR430" s="78"/>
      <c r="AS430" s="78"/>
      <c r="AT430" s="78"/>
      <c r="AU430" s="78"/>
      <c r="AV430" s="78"/>
      <c r="AW430" s="78"/>
      <c r="AX430" s="78">
        <v>12657.087799999999</v>
      </c>
      <c r="AY430" s="78"/>
      <c r="AZ430" s="78"/>
      <c r="BA430" s="78"/>
      <c r="BB430" s="78"/>
      <c r="BC430" s="78"/>
      <c r="BD430" s="78"/>
      <c r="BE430" s="78"/>
      <c r="BF430" s="78"/>
      <c r="BG430" s="78"/>
      <c r="BH430" s="78"/>
      <c r="BI430" s="78"/>
      <c r="BJ430" s="78"/>
      <c r="BK430" s="78">
        <v>695.5924</v>
      </c>
      <c r="BL430" s="78"/>
      <c r="BM430" s="78"/>
      <c r="BN430" s="78"/>
      <c r="BO430" s="78"/>
      <c r="BP430" s="78"/>
      <c r="BQ430" s="78"/>
      <c r="BR430" s="78"/>
      <c r="BS430" s="78"/>
      <c r="BT430" s="78"/>
      <c r="BU430" s="78"/>
      <c r="BV430" s="78"/>
      <c r="BW430" s="78"/>
      <c r="BX430" s="78"/>
      <c r="BY430" s="78"/>
      <c r="BZ430" s="78"/>
      <c r="CA430" s="78"/>
      <c r="CB430" s="78">
        <v>412.29</v>
      </c>
      <c r="CC430" s="231">
        <f t="shared" si="1212"/>
        <v>32600</v>
      </c>
    </row>
    <row r="431" spans="2:81" s="3" customFormat="1" ht="15.75" thickBot="1" x14ac:dyDescent="0.3">
      <c r="B431" s="158">
        <v>32650</v>
      </c>
      <c r="C431" s="144">
        <f t="shared" si="1188"/>
        <v>1252.9533999999999</v>
      </c>
      <c r="D431" s="144">
        <f t="shared" si="1189"/>
        <v>11012.869199999999</v>
      </c>
      <c r="E431" s="144">
        <f t="shared" si="1206"/>
        <v>0</v>
      </c>
      <c r="F431" s="144">
        <f t="shared" si="1190"/>
        <v>748.42610000000002</v>
      </c>
      <c r="G431" s="144">
        <f t="shared" si="1207"/>
        <v>0</v>
      </c>
      <c r="H431" s="144">
        <f t="shared" si="1208"/>
        <v>0</v>
      </c>
      <c r="I431" s="144">
        <f t="shared" si="1209"/>
        <v>0</v>
      </c>
      <c r="J431" s="159">
        <f t="shared" si="1210"/>
        <v>0</v>
      </c>
      <c r="K431" s="160">
        <f t="shared" si="1211"/>
        <v>387.35</v>
      </c>
      <c r="L431" s="152">
        <f t="shared" si="1085"/>
        <v>2628</v>
      </c>
      <c r="M431" s="144">
        <f t="shared" si="1086"/>
        <v>21917</v>
      </c>
      <c r="N431" s="144"/>
      <c r="O431" s="144">
        <f t="shared" si="1087"/>
        <v>1338</v>
      </c>
      <c r="P431" s="144">
        <f t="shared" si="1088"/>
        <v>0</v>
      </c>
      <c r="Q431" s="144">
        <f t="shared" si="1089"/>
        <v>0</v>
      </c>
      <c r="R431" s="144">
        <f t="shared" si="1090"/>
        <v>0</v>
      </c>
      <c r="S431" s="144">
        <f t="shared" si="1091"/>
        <v>0</v>
      </c>
      <c r="T431" s="144">
        <f t="shared" si="1213"/>
        <v>2222</v>
      </c>
      <c r="V431" s="150">
        <f>L430+L431</f>
        <v>5387</v>
      </c>
      <c r="W431" s="150">
        <f t="shared" ref="W431" si="1271">M430+M431</f>
        <v>44790</v>
      </c>
      <c r="X431" s="150"/>
      <c r="Y431" s="150">
        <f t="shared" ref="Y431" si="1272">O430+O431</f>
        <v>2583</v>
      </c>
      <c r="Z431" s="150">
        <f t="shared" ref="Z431" si="1273">P430+P431</f>
        <v>0</v>
      </c>
      <c r="AA431" s="150">
        <f t="shared" ref="AA431" si="1274">Q430+Q431</f>
        <v>0</v>
      </c>
      <c r="AB431" s="150">
        <f t="shared" ref="AB431" si="1275">R430+R431</f>
        <v>0</v>
      </c>
      <c r="AC431" s="150">
        <f t="shared" ref="AC431" si="1276">S430+S431</f>
        <v>0</v>
      </c>
      <c r="AD431" s="150">
        <f t="shared" ref="AD431" si="1277">T430+T431</f>
        <v>4395</v>
      </c>
      <c r="AF431" s="158">
        <f t="shared" si="1198"/>
        <v>32650</v>
      </c>
      <c r="AG431" s="186">
        <v>32.252299999999998</v>
      </c>
      <c r="AH431" s="186">
        <v>67.079899999999995</v>
      </c>
      <c r="AI431" s="186">
        <v>148.49359999999999</v>
      </c>
      <c r="AJ431" s="186">
        <v>232.2285</v>
      </c>
      <c r="AK431" s="186">
        <v>77.662099999999995</v>
      </c>
      <c r="AL431" s="186">
        <v>147.51730000000001</v>
      </c>
      <c r="AM431" s="186">
        <v>146.66720000000001</v>
      </c>
      <c r="AN431" s="186">
        <v>97.290499999999994</v>
      </c>
      <c r="AO431" s="186">
        <v>117.4474</v>
      </c>
      <c r="AP431" s="186">
        <v>186.31460000000001</v>
      </c>
      <c r="AQ431" s="149"/>
      <c r="AR431" s="149"/>
      <c r="AS431" s="149"/>
      <c r="AT431" s="149"/>
      <c r="AU431" s="149"/>
      <c r="AV431" s="149"/>
      <c r="AW431" s="149"/>
      <c r="AX431" s="149">
        <v>11012.869199999999</v>
      </c>
      <c r="AY431" s="149"/>
      <c r="AZ431" s="149"/>
      <c r="BA431" s="149"/>
      <c r="BB431" s="149"/>
      <c r="BC431" s="149"/>
      <c r="BD431" s="149"/>
      <c r="BE431" s="149"/>
      <c r="BF431" s="149"/>
      <c r="BG431" s="149"/>
      <c r="BH431" s="149"/>
      <c r="BI431" s="149"/>
      <c r="BJ431" s="149"/>
      <c r="BK431" s="149">
        <v>748.42610000000002</v>
      </c>
      <c r="BL431" s="149"/>
      <c r="BM431" s="149"/>
      <c r="BN431" s="149"/>
      <c r="BO431" s="149"/>
      <c r="BP431" s="149"/>
      <c r="BQ431" s="149"/>
      <c r="BR431" s="149"/>
      <c r="BS431" s="149"/>
      <c r="BT431" s="149"/>
      <c r="BU431" s="149"/>
      <c r="BV431" s="149"/>
      <c r="BW431" s="149"/>
      <c r="BX431" s="149"/>
      <c r="BY431" s="149"/>
      <c r="BZ431" s="149"/>
      <c r="CA431" s="149"/>
      <c r="CB431" s="149">
        <v>387.35</v>
      </c>
      <c r="CC431" s="231">
        <f t="shared" si="1212"/>
        <v>32650</v>
      </c>
    </row>
    <row r="432" spans="2:81" s="192" customFormat="1" ht="15.75" thickBot="1" x14ac:dyDescent="0.3">
      <c r="B432" s="187">
        <v>32700</v>
      </c>
      <c r="C432" s="188">
        <f t="shared" si="1188"/>
        <v>4558.9783000000007</v>
      </c>
      <c r="D432" s="188">
        <f t="shared" si="1189"/>
        <v>10463.382100000001</v>
      </c>
      <c r="E432" s="188">
        <f t="shared" si="1206"/>
        <v>0</v>
      </c>
      <c r="F432" s="188">
        <f t="shared" si="1190"/>
        <v>814.19799999999998</v>
      </c>
      <c r="G432" s="188">
        <f t="shared" si="1207"/>
        <v>0</v>
      </c>
      <c r="H432" s="188">
        <f t="shared" si="1208"/>
        <v>0</v>
      </c>
      <c r="I432" s="188">
        <f t="shared" si="1209"/>
        <v>0</v>
      </c>
      <c r="J432" s="189">
        <f t="shared" si="1210"/>
        <v>0</v>
      </c>
      <c r="K432" s="190">
        <f t="shared" si="1211"/>
        <v>638.63</v>
      </c>
      <c r="L432" s="191">
        <f t="shared" si="1085"/>
        <v>5382</v>
      </c>
      <c r="M432" s="188">
        <f t="shared" si="1086"/>
        <v>19886</v>
      </c>
      <c r="N432" s="188"/>
      <c r="O432" s="188">
        <f t="shared" si="1087"/>
        <v>1447</v>
      </c>
      <c r="P432" s="188">
        <f t="shared" si="1088"/>
        <v>0</v>
      </c>
      <c r="Q432" s="188">
        <f t="shared" si="1089"/>
        <v>0</v>
      </c>
      <c r="R432" s="188">
        <f t="shared" si="1090"/>
        <v>0</v>
      </c>
      <c r="S432" s="188">
        <f t="shared" si="1091"/>
        <v>0</v>
      </c>
      <c r="T432" s="188">
        <f t="shared" si="1213"/>
        <v>2850</v>
      </c>
      <c r="V432" s="150">
        <f t="shared" ref="V432:V444" si="1278">L432</f>
        <v>5382</v>
      </c>
      <c r="W432" s="150">
        <f t="shared" ref="W432:W444" si="1279">M432</f>
        <v>19886</v>
      </c>
      <c r="X432" s="150"/>
      <c r="Y432" s="150">
        <f t="shared" ref="Y432:Y444" si="1280">O432</f>
        <v>1447</v>
      </c>
      <c r="Z432" s="150">
        <f t="shared" ref="Z432:Z444" si="1281">P432</f>
        <v>0</v>
      </c>
      <c r="AA432" s="150">
        <f t="shared" ref="AA432:AA444" si="1282">Q432</f>
        <v>0</v>
      </c>
      <c r="AB432" s="150">
        <f t="shared" ref="AB432:AB444" si="1283">R432</f>
        <v>0</v>
      </c>
      <c r="AC432" s="150">
        <f t="shared" ref="AC432:AC444" si="1284">S432</f>
        <v>0</v>
      </c>
      <c r="AD432" s="150">
        <f t="shared" ref="AD432:AD444" si="1285">T432</f>
        <v>2850</v>
      </c>
      <c r="AF432" s="187">
        <f t="shared" si="1198"/>
        <v>32700</v>
      </c>
      <c r="AG432" s="193">
        <v>3416.4940000000001</v>
      </c>
      <c r="AH432" s="194">
        <v>88.131600000000006</v>
      </c>
      <c r="AI432" s="194">
        <v>226.81630000000001</v>
      </c>
      <c r="AJ432" s="194">
        <v>74.729600000000005</v>
      </c>
      <c r="AK432" s="194">
        <v>116.455</v>
      </c>
      <c r="AL432" s="194">
        <v>112.0659</v>
      </c>
      <c r="AM432" s="194">
        <v>141.83260000000001</v>
      </c>
      <c r="AN432" s="194">
        <v>111.05</v>
      </c>
      <c r="AO432" s="194">
        <v>114.28789999999999</v>
      </c>
      <c r="AP432" s="194">
        <v>157.11539999999999</v>
      </c>
      <c r="AQ432" s="193"/>
      <c r="AR432" s="193"/>
      <c r="AS432" s="193"/>
      <c r="AT432" s="193"/>
      <c r="AU432" s="193"/>
      <c r="AV432" s="193"/>
      <c r="AW432" s="193"/>
      <c r="AX432" s="193">
        <v>10463.382100000001</v>
      </c>
      <c r="AY432" s="193"/>
      <c r="AZ432" s="193"/>
      <c r="BA432" s="193"/>
      <c r="BB432" s="193"/>
      <c r="BC432" s="193"/>
      <c r="BD432" s="193"/>
      <c r="BE432" s="193"/>
      <c r="BF432" s="193"/>
      <c r="BG432" s="193"/>
      <c r="BH432" s="193"/>
      <c r="BI432" s="193"/>
      <c r="BJ432" s="193"/>
      <c r="BK432" s="193">
        <v>814.19799999999998</v>
      </c>
      <c r="BL432" s="193"/>
      <c r="BM432" s="193"/>
      <c r="BN432" s="193"/>
      <c r="BO432" s="193"/>
      <c r="BP432" s="193"/>
      <c r="BQ432" s="193"/>
      <c r="BR432" s="193"/>
      <c r="BS432" s="193"/>
      <c r="BT432" s="193"/>
      <c r="BU432" s="193"/>
      <c r="BV432" s="193"/>
      <c r="BW432" s="193"/>
      <c r="BX432" s="193"/>
      <c r="BY432" s="193"/>
      <c r="BZ432" s="193"/>
      <c r="CA432" s="193"/>
      <c r="CB432" s="193">
        <v>638.63</v>
      </c>
      <c r="CC432" s="231">
        <f t="shared" si="1212"/>
        <v>32700</v>
      </c>
    </row>
    <row r="433" spans="2:81" s="192" customFormat="1" ht="15.75" thickBot="1" x14ac:dyDescent="0.3">
      <c r="B433" s="187">
        <v>32750</v>
      </c>
      <c r="C433" s="188">
        <f>AG433+AH433+AI433+AJ433+AK433+AL433+AM433+AN433+AO433+AP433+AQ433</f>
        <v>6365.6415999999999</v>
      </c>
      <c r="D433" s="188">
        <f t="shared" si="1189"/>
        <v>9657.4901000000009</v>
      </c>
      <c r="E433" s="188">
        <f t="shared" si="1206"/>
        <v>0</v>
      </c>
      <c r="F433" s="188">
        <f t="shared" si="1190"/>
        <v>955.22640000000001</v>
      </c>
      <c r="G433" s="188">
        <f t="shared" si="1207"/>
        <v>0</v>
      </c>
      <c r="H433" s="188">
        <f t="shared" si="1208"/>
        <v>0</v>
      </c>
      <c r="I433" s="188">
        <f t="shared" si="1209"/>
        <v>0</v>
      </c>
      <c r="J433" s="189">
        <f t="shared" si="1210"/>
        <v>0</v>
      </c>
      <c r="K433" s="190">
        <f t="shared" si="1211"/>
        <v>666.22</v>
      </c>
      <c r="L433" s="191">
        <f t="shared" si="1085"/>
        <v>10116</v>
      </c>
      <c r="M433" s="188">
        <f t="shared" si="1086"/>
        <v>18631</v>
      </c>
      <c r="N433" s="188"/>
      <c r="O433" s="188">
        <f t="shared" si="1087"/>
        <v>1639</v>
      </c>
      <c r="P433" s="188">
        <f t="shared" si="1088"/>
        <v>0</v>
      </c>
      <c r="Q433" s="188">
        <f t="shared" si="1089"/>
        <v>0</v>
      </c>
      <c r="R433" s="188">
        <f t="shared" si="1090"/>
        <v>0</v>
      </c>
      <c r="S433" s="188">
        <f t="shared" si="1091"/>
        <v>0</v>
      </c>
      <c r="T433" s="188">
        <f t="shared" si="1213"/>
        <v>3625</v>
      </c>
      <c r="V433" s="150">
        <f t="shared" si="1278"/>
        <v>10116</v>
      </c>
      <c r="W433" s="150">
        <f t="shared" si="1279"/>
        <v>18631</v>
      </c>
      <c r="X433" s="150"/>
      <c r="Y433" s="150">
        <f t="shared" si="1280"/>
        <v>1639</v>
      </c>
      <c r="Z433" s="150">
        <f t="shared" si="1281"/>
        <v>0</v>
      </c>
      <c r="AA433" s="150">
        <f t="shared" si="1282"/>
        <v>0</v>
      </c>
      <c r="AB433" s="150">
        <f t="shared" si="1283"/>
        <v>0</v>
      </c>
      <c r="AC433" s="150">
        <f t="shared" si="1284"/>
        <v>0</v>
      </c>
      <c r="AD433" s="150">
        <f t="shared" si="1285"/>
        <v>3625</v>
      </c>
      <c r="AF433" s="187">
        <f t="shared" si="1198"/>
        <v>32750</v>
      </c>
      <c r="AG433" s="193">
        <v>5439.5096999999996</v>
      </c>
      <c r="AH433" s="194">
        <v>61.813299999999998</v>
      </c>
      <c r="AI433" s="194">
        <v>80.070099999999996</v>
      </c>
      <c r="AJ433" s="194">
        <v>52.145800000000001</v>
      </c>
      <c r="AK433" s="194">
        <v>71.252899999999997</v>
      </c>
      <c r="AL433" s="194">
        <v>75.960400000000007</v>
      </c>
      <c r="AM433" s="194">
        <v>113.60939999999999</v>
      </c>
      <c r="AN433" s="194">
        <v>96.898499999999999</v>
      </c>
      <c r="AO433" s="194">
        <v>100.9123</v>
      </c>
      <c r="AP433" s="194">
        <v>105.4491</v>
      </c>
      <c r="AQ433" s="194">
        <v>168.02010000000001</v>
      </c>
      <c r="AR433" s="193"/>
      <c r="AS433" s="193"/>
      <c r="AT433" s="193"/>
      <c r="AU433" s="193"/>
      <c r="AV433" s="193"/>
      <c r="AW433" s="193"/>
      <c r="AX433" s="193">
        <v>9657.4901000000009</v>
      </c>
      <c r="AY433" s="193"/>
      <c r="AZ433" s="193"/>
      <c r="BA433" s="193"/>
      <c r="BB433" s="193"/>
      <c r="BC433" s="193"/>
      <c r="BD433" s="193"/>
      <c r="BE433" s="193"/>
      <c r="BF433" s="193"/>
      <c r="BG433" s="193"/>
      <c r="BH433" s="193"/>
      <c r="BI433" s="193"/>
      <c r="BJ433" s="193"/>
      <c r="BK433" s="193">
        <v>955.22640000000001</v>
      </c>
      <c r="BL433" s="193"/>
      <c r="BM433" s="193"/>
      <c r="BN433" s="193"/>
      <c r="BO433" s="193"/>
      <c r="BP433" s="193"/>
      <c r="BQ433" s="193"/>
      <c r="BR433" s="193"/>
      <c r="BS433" s="193"/>
      <c r="BT433" s="193"/>
      <c r="BU433" s="193"/>
      <c r="BV433" s="193"/>
      <c r="BW433" s="193"/>
      <c r="BX433" s="193"/>
      <c r="BY433" s="193"/>
      <c r="BZ433" s="193"/>
      <c r="CA433" s="193"/>
      <c r="CB433" s="193">
        <v>666.22</v>
      </c>
      <c r="CC433" s="231">
        <f t="shared" si="1212"/>
        <v>32750</v>
      </c>
    </row>
    <row r="434" spans="2:81" s="192" customFormat="1" ht="15.75" thickBot="1" x14ac:dyDescent="0.3">
      <c r="B434" s="187">
        <v>32800</v>
      </c>
      <c r="C434" s="188">
        <f>AG434+AH434+AI434+AJ434+AK434+AL434+AM434+AN434+AO434+AP434+AQ434+AR434+AS434</f>
        <v>7385.1817999999994</v>
      </c>
      <c r="D434" s="188">
        <f t="shared" si="1189"/>
        <v>9784.2556000000004</v>
      </c>
      <c r="E434" s="188">
        <f t="shared" si="1206"/>
        <v>0</v>
      </c>
      <c r="F434" s="188">
        <f t="shared" si="1190"/>
        <v>1142.819</v>
      </c>
      <c r="G434" s="188">
        <f t="shared" si="1207"/>
        <v>0</v>
      </c>
      <c r="H434" s="188">
        <f t="shared" si="1208"/>
        <v>0</v>
      </c>
      <c r="I434" s="188">
        <f t="shared" si="1209"/>
        <v>0</v>
      </c>
      <c r="J434" s="189">
        <f t="shared" si="1210"/>
        <v>0</v>
      </c>
      <c r="K434" s="190">
        <f t="shared" si="1211"/>
        <v>702.88</v>
      </c>
      <c r="L434" s="191">
        <f t="shared" si="1085"/>
        <v>12733</v>
      </c>
      <c r="M434" s="188">
        <f t="shared" si="1086"/>
        <v>18002</v>
      </c>
      <c r="N434" s="188"/>
      <c r="O434" s="188">
        <f t="shared" si="1087"/>
        <v>1943</v>
      </c>
      <c r="P434" s="188">
        <f t="shared" si="1088"/>
        <v>0</v>
      </c>
      <c r="Q434" s="188">
        <f t="shared" si="1089"/>
        <v>0</v>
      </c>
      <c r="R434" s="188">
        <f t="shared" si="1090"/>
        <v>0</v>
      </c>
      <c r="S434" s="188">
        <f t="shared" si="1091"/>
        <v>0</v>
      </c>
      <c r="T434" s="188">
        <f t="shared" si="1213"/>
        <v>3804</v>
      </c>
      <c r="V434" s="150">
        <f t="shared" si="1278"/>
        <v>12733</v>
      </c>
      <c r="W434" s="150">
        <f t="shared" si="1279"/>
        <v>18002</v>
      </c>
      <c r="X434" s="150"/>
      <c r="Y434" s="150">
        <f t="shared" si="1280"/>
        <v>1943</v>
      </c>
      <c r="Z434" s="150">
        <f t="shared" si="1281"/>
        <v>0</v>
      </c>
      <c r="AA434" s="150">
        <f t="shared" si="1282"/>
        <v>0</v>
      </c>
      <c r="AB434" s="150">
        <f t="shared" si="1283"/>
        <v>0</v>
      </c>
      <c r="AC434" s="150">
        <f t="shared" si="1284"/>
        <v>0</v>
      </c>
      <c r="AD434" s="150">
        <f t="shared" si="1285"/>
        <v>3804</v>
      </c>
      <c r="AF434" s="187">
        <f t="shared" si="1198"/>
        <v>32800</v>
      </c>
      <c r="AG434" s="193">
        <v>6221.4456</v>
      </c>
      <c r="AH434" s="194">
        <v>84.6935</v>
      </c>
      <c r="AI434" s="194">
        <v>80.799800000000005</v>
      </c>
      <c r="AJ434" s="194">
        <v>41.692300000000003</v>
      </c>
      <c r="AK434" s="194">
        <v>41.838099999999997</v>
      </c>
      <c r="AL434" s="194">
        <v>46.544800000000002</v>
      </c>
      <c r="AM434" s="194">
        <v>140.24</v>
      </c>
      <c r="AN434" s="194">
        <v>144.8288</v>
      </c>
      <c r="AO434" s="194">
        <v>122.8413</v>
      </c>
      <c r="AP434" s="194">
        <v>135.41050000000001</v>
      </c>
      <c r="AQ434" s="194">
        <v>158.23310000000001</v>
      </c>
      <c r="AR434" s="194">
        <v>166.614</v>
      </c>
      <c r="AS434" s="193"/>
      <c r="AT434" s="193"/>
      <c r="AU434" s="193"/>
      <c r="AV434" s="193"/>
      <c r="AW434" s="193"/>
      <c r="AX434" s="193">
        <v>9784.2556000000004</v>
      </c>
      <c r="AY434" s="193"/>
      <c r="AZ434" s="193"/>
      <c r="BA434" s="193"/>
      <c r="BB434" s="193"/>
      <c r="BC434" s="193"/>
      <c r="BD434" s="193"/>
      <c r="BE434" s="193"/>
      <c r="BF434" s="193"/>
      <c r="BG434" s="193"/>
      <c r="BH434" s="193"/>
      <c r="BI434" s="193"/>
      <c r="BJ434" s="193"/>
      <c r="BK434" s="193">
        <v>1142.819</v>
      </c>
      <c r="BL434" s="193"/>
      <c r="BM434" s="193"/>
      <c r="BN434" s="193"/>
      <c r="BO434" s="193"/>
      <c r="BP434" s="193"/>
      <c r="BQ434" s="193"/>
      <c r="BR434" s="193"/>
      <c r="BS434" s="193"/>
      <c r="BT434" s="193"/>
      <c r="BU434" s="193"/>
      <c r="BV434" s="193"/>
      <c r="BW434" s="193"/>
      <c r="BX434" s="193"/>
      <c r="BY434" s="193"/>
      <c r="BZ434" s="193"/>
      <c r="CA434" s="193"/>
      <c r="CB434" s="193">
        <v>702.88</v>
      </c>
      <c r="CC434" s="231">
        <f t="shared" si="1212"/>
        <v>32800</v>
      </c>
    </row>
    <row r="435" spans="2:81" s="192" customFormat="1" ht="15.75" thickBot="1" x14ac:dyDescent="0.3">
      <c r="B435" s="187">
        <v>32850</v>
      </c>
      <c r="C435" s="188">
        <f>AG435+AH435+AI435+AJ435+AK435+AL435+AM435+AN435+AO435+AP435+AQ435+AR435+AS435+AT435+AU435+AV435+AW435</f>
        <v>6244.2221</v>
      </c>
      <c r="D435" s="188">
        <f t="shared" si="1189"/>
        <v>12164.3833</v>
      </c>
      <c r="E435" s="188">
        <f t="shared" si="1206"/>
        <v>0</v>
      </c>
      <c r="F435" s="188">
        <f t="shared" si="1190"/>
        <v>1090.9329</v>
      </c>
      <c r="G435" s="188">
        <f t="shared" si="1207"/>
        <v>0</v>
      </c>
      <c r="H435" s="188">
        <f t="shared" si="1208"/>
        <v>0</v>
      </c>
      <c r="I435" s="188">
        <f t="shared" si="1209"/>
        <v>0</v>
      </c>
      <c r="J435" s="189">
        <f t="shared" si="1210"/>
        <v>0</v>
      </c>
      <c r="K435" s="190">
        <f t="shared" si="1211"/>
        <v>707.06</v>
      </c>
      <c r="L435" s="191">
        <f t="shared" si="1085"/>
        <v>12620</v>
      </c>
      <c r="M435" s="188">
        <f t="shared" si="1086"/>
        <v>20323</v>
      </c>
      <c r="N435" s="188"/>
      <c r="O435" s="188">
        <f t="shared" si="1087"/>
        <v>2069</v>
      </c>
      <c r="P435" s="188">
        <f t="shared" si="1088"/>
        <v>0</v>
      </c>
      <c r="Q435" s="188">
        <f t="shared" si="1089"/>
        <v>0</v>
      </c>
      <c r="R435" s="188">
        <f t="shared" si="1090"/>
        <v>0</v>
      </c>
      <c r="S435" s="188">
        <f t="shared" si="1091"/>
        <v>0</v>
      </c>
      <c r="T435" s="188">
        <f t="shared" si="1213"/>
        <v>3917</v>
      </c>
      <c r="V435" s="150">
        <f t="shared" si="1278"/>
        <v>12620</v>
      </c>
      <c r="W435" s="150">
        <f t="shared" si="1279"/>
        <v>20323</v>
      </c>
      <c r="X435" s="150"/>
      <c r="Y435" s="150">
        <f t="shared" si="1280"/>
        <v>2069</v>
      </c>
      <c r="Z435" s="150">
        <f t="shared" si="1281"/>
        <v>0</v>
      </c>
      <c r="AA435" s="150">
        <f t="shared" si="1282"/>
        <v>0</v>
      </c>
      <c r="AB435" s="150">
        <f t="shared" si="1283"/>
        <v>0</v>
      </c>
      <c r="AC435" s="150">
        <f t="shared" si="1284"/>
        <v>0</v>
      </c>
      <c r="AD435" s="150">
        <f t="shared" si="1285"/>
        <v>3917</v>
      </c>
      <c r="AF435" s="187">
        <f t="shared" si="1198"/>
        <v>32850</v>
      </c>
      <c r="AG435" s="193">
        <v>4860.8131000000003</v>
      </c>
      <c r="AH435" s="194">
        <v>22.425699999999999</v>
      </c>
      <c r="AI435" s="194">
        <v>75.135400000000004</v>
      </c>
      <c r="AJ435" s="194">
        <v>88.826499999999996</v>
      </c>
      <c r="AK435" s="194">
        <v>39.309600000000003</v>
      </c>
      <c r="AL435" s="194">
        <v>45.520699999999998</v>
      </c>
      <c r="AM435" s="194">
        <v>87.161900000000003</v>
      </c>
      <c r="AN435" s="194">
        <v>144.8519</v>
      </c>
      <c r="AO435" s="194">
        <v>159.66909999999999</v>
      </c>
      <c r="AP435" s="194">
        <v>204.66409999999999</v>
      </c>
      <c r="AQ435" s="194">
        <v>112.364</v>
      </c>
      <c r="AR435" s="194">
        <v>105.2021</v>
      </c>
      <c r="AS435" s="194">
        <v>298.27800000000002</v>
      </c>
      <c r="AT435" s="193"/>
      <c r="AU435" s="193"/>
      <c r="AV435" s="193"/>
      <c r="AW435" s="193"/>
      <c r="AX435" s="193">
        <v>12164.3833</v>
      </c>
      <c r="AY435" s="193"/>
      <c r="AZ435" s="193"/>
      <c r="BA435" s="193"/>
      <c r="BB435" s="193"/>
      <c r="BC435" s="193"/>
      <c r="BD435" s="193"/>
      <c r="BE435" s="193"/>
      <c r="BF435" s="193"/>
      <c r="BG435" s="193"/>
      <c r="BH435" s="193"/>
      <c r="BI435" s="193"/>
      <c r="BJ435" s="193"/>
      <c r="BK435" s="193">
        <v>1090.9329</v>
      </c>
      <c r="BL435" s="193"/>
      <c r="BM435" s="193"/>
      <c r="BN435" s="193"/>
      <c r="BO435" s="193"/>
      <c r="BP435" s="193"/>
      <c r="BQ435" s="193"/>
      <c r="BR435" s="193"/>
      <c r="BS435" s="193"/>
      <c r="BT435" s="193"/>
      <c r="BU435" s="193"/>
      <c r="BV435" s="193"/>
      <c r="BW435" s="193"/>
      <c r="BX435" s="193"/>
      <c r="BY435" s="193"/>
      <c r="BZ435" s="193"/>
      <c r="CA435" s="193"/>
      <c r="CB435" s="193">
        <v>707.06</v>
      </c>
      <c r="CC435" s="231">
        <f t="shared" si="1212"/>
        <v>32850</v>
      </c>
    </row>
    <row r="436" spans="2:81" s="192" customFormat="1" ht="15.75" thickBot="1" x14ac:dyDescent="0.3">
      <c r="B436" s="187">
        <v>32900</v>
      </c>
      <c r="C436" s="188">
        <f t="shared" ref="C436:C499" si="1286">AG436+AH436+AI436+AJ436+AK436+AL436+AM436+AN436+AO436+AP436+AQ436+AR436+AS436+AT436+AU436+AV436+AW436</f>
        <v>6204.0479000000005</v>
      </c>
      <c r="D436" s="188">
        <f t="shared" si="1189"/>
        <v>14098.929599999999</v>
      </c>
      <c r="E436" s="188">
        <f t="shared" si="1206"/>
        <v>0</v>
      </c>
      <c r="F436" s="188">
        <f t="shared" si="1190"/>
        <v>1147.9647</v>
      </c>
      <c r="G436" s="188">
        <f t="shared" si="1207"/>
        <v>0</v>
      </c>
      <c r="H436" s="188">
        <f t="shared" si="1208"/>
        <v>0</v>
      </c>
      <c r="I436" s="188">
        <f t="shared" si="1209"/>
        <v>0</v>
      </c>
      <c r="J436" s="189">
        <f t="shared" si="1210"/>
        <v>0</v>
      </c>
      <c r="K436" s="190">
        <f t="shared" si="1211"/>
        <v>709.16</v>
      </c>
      <c r="L436" s="191">
        <f t="shared" si="1085"/>
        <v>11527</v>
      </c>
      <c r="M436" s="188">
        <f t="shared" si="1086"/>
        <v>24318</v>
      </c>
      <c r="N436" s="188"/>
      <c r="O436" s="188">
        <f t="shared" si="1087"/>
        <v>2074</v>
      </c>
      <c r="P436" s="188">
        <f t="shared" si="1088"/>
        <v>0</v>
      </c>
      <c r="Q436" s="188">
        <f t="shared" si="1089"/>
        <v>0</v>
      </c>
      <c r="R436" s="188">
        <f t="shared" si="1090"/>
        <v>0</v>
      </c>
      <c r="S436" s="188">
        <f t="shared" si="1091"/>
        <v>0</v>
      </c>
      <c r="T436" s="188">
        <f t="shared" si="1213"/>
        <v>3934</v>
      </c>
      <c r="V436" s="150">
        <f t="shared" si="1278"/>
        <v>11527</v>
      </c>
      <c r="W436" s="150">
        <f t="shared" si="1279"/>
        <v>24318</v>
      </c>
      <c r="X436" s="150"/>
      <c r="Y436" s="150">
        <f t="shared" si="1280"/>
        <v>2074</v>
      </c>
      <c r="Z436" s="150">
        <f t="shared" si="1281"/>
        <v>0</v>
      </c>
      <c r="AA436" s="150">
        <f t="shared" si="1282"/>
        <v>0</v>
      </c>
      <c r="AB436" s="150">
        <f t="shared" si="1283"/>
        <v>0</v>
      </c>
      <c r="AC436" s="150">
        <f t="shared" si="1284"/>
        <v>0</v>
      </c>
      <c r="AD436" s="150">
        <f t="shared" si="1285"/>
        <v>3934</v>
      </c>
      <c r="AF436" s="187">
        <f t="shared" si="1198"/>
        <v>32900</v>
      </c>
      <c r="AG436" s="193">
        <v>4471.1306000000004</v>
      </c>
      <c r="AH436" s="194">
        <v>20.904900000000001</v>
      </c>
      <c r="AI436" s="194">
        <v>54.287999999999997</v>
      </c>
      <c r="AJ436" s="194">
        <v>71.325100000000006</v>
      </c>
      <c r="AK436" s="194">
        <v>49.053800000000003</v>
      </c>
      <c r="AL436" s="194">
        <v>118.6534</v>
      </c>
      <c r="AM436" s="194">
        <v>141.18469999999999</v>
      </c>
      <c r="AN436" s="194">
        <v>172.59739999999999</v>
      </c>
      <c r="AO436" s="194">
        <v>120.8383</v>
      </c>
      <c r="AP436" s="194">
        <v>414.60390000000001</v>
      </c>
      <c r="AQ436" s="194">
        <v>68.993600000000001</v>
      </c>
      <c r="AR436" s="194">
        <v>224.71190000000001</v>
      </c>
      <c r="AS436" s="194">
        <v>275.76229999999998</v>
      </c>
      <c r="AT436" s="193"/>
      <c r="AU436" s="193"/>
      <c r="AV436" s="193"/>
      <c r="AW436" s="193"/>
      <c r="AX436" s="193">
        <v>14098.929599999999</v>
      </c>
      <c r="AY436" s="193"/>
      <c r="AZ436" s="193"/>
      <c r="BA436" s="193"/>
      <c r="BB436" s="193"/>
      <c r="BC436" s="193"/>
      <c r="BD436" s="193"/>
      <c r="BE436" s="193"/>
      <c r="BF436" s="193"/>
      <c r="BG436" s="193"/>
      <c r="BH436" s="193"/>
      <c r="BI436" s="193"/>
      <c r="BJ436" s="193"/>
      <c r="BK436" s="193">
        <v>1147.9647</v>
      </c>
      <c r="BL436" s="193"/>
      <c r="BM436" s="193"/>
      <c r="BN436" s="193"/>
      <c r="BO436" s="193"/>
      <c r="BP436" s="193"/>
      <c r="BQ436" s="193"/>
      <c r="BR436" s="193"/>
      <c r="BS436" s="193"/>
      <c r="BT436" s="193"/>
      <c r="BU436" s="193"/>
      <c r="BV436" s="193"/>
      <c r="BW436" s="193"/>
      <c r="BX436" s="193"/>
      <c r="BY436" s="193"/>
      <c r="BZ436" s="193"/>
      <c r="CA436" s="193"/>
      <c r="CB436" s="193">
        <v>709.16</v>
      </c>
      <c r="CC436" s="231">
        <f t="shared" si="1212"/>
        <v>32900</v>
      </c>
    </row>
    <row r="437" spans="2:81" s="192" customFormat="1" ht="15.75" thickBot="1" x14ac:dyDescent="0.3">
      <c r="B437" s="187">
        <v>32950</v>
      </c>
      <c r="C437" s="188">
        <f t="shared" si="1286"/>
        <v>4960.389000000001</v>
      </c>
      <c r="D437" s="188">
        <f t="shared" si="1189"/>
        <v>15046.711600000001</v>
      </c>
      <c r="E437" s="188">
        <f t="shared" si="1206"/>
        <v>0</v>
      </c>
      <c r="F437" s="188">
        <f t="shared" si="1190"/>
        <v>1064.3507999999999</v>
      </c>
      <c r="G437" s="188">
        <f t="shared" si="1207"/>
        <v>0</v>
      </c>
      <c r="H437" s="188">
        <f t="shared" si="1208"/>
        <v>0</v>
      </c>
      <c r="I437" s="188">
        <f t="shared" si="1209"/>
        <v>0</v>
      </c>
      <c r="J437" s="189">
        <f t="shared" si="1210"/>
        <v>0</v>
      </c>
      <c r="K437" s="190">
        <f t="shared" si="1211"/>
        <v>711.1</v>
      </c>
      <c r="L437" s="191">
        <f t="shared" si="1085"/>
        <v>10338</v>
      </c>
      <c r="M437" s="188">
        <f t="shared" si="1086"/>
        <v>26987</v>
      </c>
      <c r="N437" s="188"/>
      <c r="O437" s="188">
        <f t="shared" si="1087"/>
        <v>2049</v>
      </c>
      <c r="P437" s="188">
        <f t="shared" si="1088"/>
        <v>0</v>
      </c>
      <c r="Q437" s="188">
        <f t="shared" si="1089"/>
        <v>0</v>
      </c>
      <c r="R437" s="188">
        <f t="shared" si="1090"/>
        <v>0</v>
      </c>
      <c r="S437" s="188">
        <f t="shared" si="1091"/>
        <v>0</v>
      </c>
      <c r="T437" s="188">
        <f t="shared" si="1213"/>
        <v>3946</v>
      </c>
      <c r="V437" s="150">
        <f t="shared" si="1278"/>
        <v>10338</v>
      </c>
      <c r="W437" s="150">
        <f t="shared" si="1279"/>
        <v>26987</v>
      </c>
      <c r="X437" s="150"/>
      <c r="Y437" s="150">
        <f t="shared" si="1280"/>
        <v>2049</v>
      </c>
      <c r="Z437" s="150">
        <f t="shared" si="1281"/>
        <v>0</v>
      </c>
      <c r="AA437" s="150">
        <f t="shared" si="1282"/>
        <v>0</v>
      </c>
      <c r="AB437" s="150">
        <f t="shared" si="1283"/>
        <v>0</v>
      </c>
      <c r="AC437" s="150">
        <f t="shared" si="1284"/>
        <v>0</v>
      </c>
      <c r="AD437" s="150">
        <f t="shared" si="1285"/>
        <v>3946</v>
      </c>
      <c r="AF437" s="187">
        <f t="shared" si="1198"/>
        <v>32950</v>
      </c>
      <c r="AG437" s="193">
        <v>3689.5322999999999</v>
      </c>
      <c r="AH437" s="194">
        <v>60.561100000000003</v>
      </c>
      <c r="AI437" s="194">
        <v>28.192</v>
      </c>
      <c r="AJ437" s="194">
        <v>66.970600000000005</v>
      </c>
      <c r="AK437" s="194">
        <v>80.510499999999993</v>
      </c>
      <c r="AL437" s="194">
        <v>73.130899999999997</v>
      </c>
      <c r="AM437" s="194">
        <v>81.974100000000007</v>
      </c>
      <c r="AN437" s="194">
        <v>165.54560000000001</v>
      </c>
      <c r="AO437" s="194">
        <v>88.837000000000003</v>
      </c>
      <c r="AP437" s="194">
        <v>34.238500000000002</v>
      </c>
      <c r="AQ437" s="194">
        <v>122.1917</v>
      </c>
      <c r="AR437" s="194">
        <v>267.01679999999999</v>
      </c>
      <c r="AS437" s="194">
        <v>201.68790000000001</v>
      </c>
      <c r="AT437" s="193"/>
      <c r="AU437" s="193"/>
      <c r="AV437" s="193"/>
      <c r="AW437" s="193"/>
      <c r="AX437" s="193">
        <v>15046.711600000001</v>
      </c>
      <c r="AY437" s="193"/>
      <c r="AZ437" s="193"/>
      <c r="BA437" s="193"/>
      <c r="BB437" s="193"/>
      <c r="BC437" s="193"/>
      <c r="BD437" s="193"/>
      <c r="BE437" s="193"/>
      <c r="BF437" s="193"/>
      <c r="BG437" s="193"/>
      <c r="BH437" s="193"/>
      <c r="BI437" s="193"/>
      <c r="BJ437" s="193"/>
      <c r="BK437" s="193">
        <v>1064.3507999999999</v>
      </c>
      <c r="BL437" s="193"/>
      <c r="BM437" s="193"/>
      <c r="BN437" s="193"/>
      <c r="BO437" s="193"/>
      <c r="BP437" s="193"/>
      <c r="BQ437" s="193"/>
      <c r="BR437" s="193"/>
      <c r="BS437" s="193"/>
      <c r="BT437" s="193"/>
      <c r="BU437" s="193"/>
      <c r="BV437" s="193"/>
      <c r="BW437" s="193"/>
      <c r="BX437" s="193"/>
      <c r="BY437" s="193"/>
      <c r="BZ437" s="193"/>
      <c r="CA437" s="193"/>
      <c r="CB437" s="193">
        <v>711.1</v>
      </c>
      <c r="CC437" s="231">
        <f t="shared" si="1212"/>
        <v>32950</v>
      </c>
    </row>
    <row r="438" spans="2:81" s="192" customFormat="1" ht="15.75" thickBot="1" x14ac:dyDescent="0.3">
      <c r="B438" s="187">
        <v>33000</v>
      </c>
      <c r="C438" s="188">
        <f t="shared" si="1286"/>
        <v>5820.3001000000013</v>
      </c>
      <c r="D438" s="188">
        <f t="shared" si="1189"/>
        <v>14834.762500000001</v>
      </c>
      <c r="E438" s="188">
        <f t="shared" si="1206"/>
        <v>0</v>
      </c>
      <c r="F438" s="188">
        <f t="shared" si="1190"/>
        <v>1087.4914000000001</v>
      </c>
      <c r="G438" s="188">
        <f t="shared" si="1207"/>
        <v>0</v>
      </c>
      <c r="H438" s="188">
        <f t="shared" si="1208"/>
        <v>0</v>
      </c>
      <c r="I438" s="188">
        <f t="shared" si="1209"/>
        <v>0</v>
      </c>
      <c r="J438" s="189">
        <f t="shared" si="1210"/>
        <v>0</v>
      </c>
      <c r="K438" s="190">
        <f t="shared" si="1211"/>
        <v>728.6</v>
      </c>
      <c r="L438" s="191">
        <f t="shared" si="1085"/>
        <v>9983</v>
      </c>
      <c r="M438" s="188">
        <f t="shared" si="1086"/>
        <v>27669</v>
      </c>
      <c r="N438" s="188"/>
      <c r="O438" s="188">
        <f t="shared" si="1087"/>
        <v>1993</v>
      </c>
      <c r="P438" s="188">
        <f t="shared" si="1088"/>
        <v>0</v>
      </c>
      <c r="Q438" s="188">
        <f t="shared" si="1089"/>
        <v>0</v>
      </c>
      <c r="R438" s="188">
        <f t="shared" si="1090"/>
        <v>0</v>
      </c>
      <c r="S438" s="188">
        <f t="shared" si="1091"/>
        <v>0</v>
      </c>
      <c r="T438" s="188">
        <f t="shared" si="1213"/>
        <v>4000</v>
      </c>
      <c r="V438" s="150">
        <f t="shared" si="1278"/>
        <v>9983</v>
      </c>
      <c r="W438" s="150">
        <f t="shared" si="1279"/>
        <v>27669</v>
      </c>
      <c r="X438" s="150"/>
      <c r="Y438" s="150">
        <f t="shared" si="1280"/>
        <v>1993</v>
      </c>
      <c r="Z438" s="150">
        <f t="shared" si="1281"/>
        <v>0</v>
      </c>
      <c r="AA438" s="150">
        <f t="shared" si="1282"/>
        <v>0</v>
      </c>
      <c r="AB438" s="150">
        <f t="shared" si="1283"/>
        <v>0</v>
      </c>
      <c r="AC438" s="150">
        <f t="shared" si="1284"/>
        <v>0</v>
      </c>
      <c r="AD438" s="150">
        <f t="shared" si="1285"/>
        <v>4000</v>
      </c>
      <c r="AF438" s="187">
        <f t="shared" si="1198"/>
        <v>33000</v>
      </c>
      <c r="AG438" s="193">
        <v>4422.2156000000004</v>
      </c>
      <c r="AH438" s="194">
        <v>43.727499999999999</v>
      </c>
      <c r="AI438" s="194">
        <v>43.192500000000003</v>
      </c>
      <c r="AJ438" s="194">
        <v>42.764000000000003</v>
      </c>
      <c r="AK438" s="194">
        <v>51.839300000000001</v>
      </c>
      <c r="AL438" s="194">
        <v>63.202399999999997</v>
      </c>
      <c r="AM438" s="194">
        <v>49.057200000000002</v>
      </c>
      <c r="AN438" s="194">
        <v>101.449</v>
      </c>
      <c r="AO438" s="194">
        <v>144.75049999999999</v>
      </c>
      <c r="AP438" s="194">
        <v>477.31450000000001</v>
      </c>
      <c r="AQ438" s="194">
        <v>125.93770000000001</v>
      </c>
      <c r="AR438" s="194">
        <v>254.84989999999999</v>
      </c>
      <c r="AS438" s="193"/>
      <c r="AT438" s="193"/>
      <c r="AU438" s="193"/>
      <c r="AV438" s="193"/>
      <c r="AW438" s="193"/>
      <c r="AX438" s="193">
        <v>14834.762500000001</v>
      </c>
      <c r="AY438" s="193"/>
      <c r="AZ438" s="193"/>
      <c r="BA438" s="193"/>
      <c r="BB438" s="193"/>
      <c r="BC438" s="193"/>
      <c r="BD438" s="193"/>
      <c r="BE438" s="193"/>
      <c r="BF438" s="193"/>
      <c r="BG438" s="193"/>
      <c r="BH438" s="193"/>
      <c r="BI438" s="193"/>
      <c r="BJ438" s="193"/>
      <c r="BK438" s="193">
        <v>1087.4914000000001</v>
      </c>
      <c r="BL438" s="193"/>
      <c r="BM438" s="193"/>
      <c r="BN438" s="193"/>
      <c r="BO438" s="193"/>
      <c r="BP438" s="193"/>
      <c r="BQ438" s="193"/>
      <c r="BR438" s="193"/>
      <c r="BS438" s="193"/>
      <c r="BT438" s="193"/>
      <c r="BU438" s="193"/>
      <c r="BV438" s="193"/>
      <c r="BW438" s="193"/>
      <c r="BX438" s="193"/>
      <c r="BY438" s="193"/>
      <c r="BZ438" s="193"/>
      <c r="CA438" s="193"/>
      <c r="CB438" s="193">
        <v>728.6</v>
      </c>
      <c r="CC438" s="231">
        <f t="shared" si="1212"/>
        <v>33000</v>
      </c>
    </row>
    <row r="439" spans="2:81" s="3" customFormat="1" ht="15.75" thickBot="1" x14ac:dyDescent="0.3">
      <c r="B439" s="195">
        <v>33050</v>
      </c>
      <c r="C439" s="196">
        <f t="shared" si="1286"/>
        <v>7570.5860000000011</v>
      </c>
      <c r="D439" s="196">
        <f t="shared" si="1189"/>
        <v>12733.6546</v>
      </c>
      <c r="E439" s="196">
        <f t="shared" si="1206"/>
        <v>0</v>
      </c>
      <c r="F439" s="196">
        <f t="shared" si="1190"/>
        <v>1040.1496999999999</v>
      </c>
      <c r="G439" s="196">
        <f t="shared" si="1207"/>
        <v>0</v>
      </c>
      <c r="H439" s="196">
        <f t="shared" si="1208"/>
        <v>0</v>
      </c>
      <c r="I439" s="196">
        <f t="shared" si="1209"/>
        <v>0</v>
      </c>
      <c r="J439" s="197">
        <f t="shared" si="1210"/>
        <v>0</v>
      </c>
      <c r="K439" s="198">
        <f t="shared" si="1211"/>
        <v>745.31</v>
      </c>
      <c r="L439" s="199">
        <f t="shared" si="1085"/>
        <v>12399</v>
      </c>
      <c r="M439" s="196">
        <f t="shared" si="1086"/>
        <v>25527</v>
      </c>
      <c r="N439" s="196"/>
      <c r="O439" s="196">
        <f t="shared" si="1087"/>
        <v>1971</v>
      </c>
      <c r="P439" s="196">
        <f t="shared" si="1088"/>
        <v>0</v>
      </c>
      <c r="Q439" s="196">
        <f t="shared" si="1089"/>
        <v>0</v>
      </c>
      <c r="R439" s="196">
        <f t="shared" si="1090"/>
        <v>0</v>
      </c>
      <c r="S439" s="196">
        <f t="shared" si="1091"/>
        <v>0</v>
      </c>
      <c r="T439" s="196">
        <f t="shared" si="1213"/>
        <v>4095</v>
      </c>
      <c r="V439" s="150">
        <f t="shared" si="1278"/>
        <v>12399</v>
      </c>
      <c r="W439" s="150">
        <f t="shared" si="1279"/>
        <v>25527</v>
      </c>
      <c r="X439" s="150"/>
      <c r="Y439" s="150">
        <f t="shared" si="1280"/>
        <v>1971</v>
      </c>
      <c r="Z439" s="150">
        <f t="shared" si="1281"/>
        <v>0</v>
      </c>
      <c r="AA439" s="150">
        <f t="shared" si="1282"/>
        <v>0</v>
      </c>
      <c r="AB439" s="150">
        <f t="shared" si="1283"/>
        <v>0</v>
      </c>
      <c r="AC439" s="150">
        <f t="shared" si="1284"/>
        <v>0</v>
      </c>
      <c r="AD439" s="150">
        <f t="shared" si="1285"/>
        <v>4095</v>
      </c>
      <c r="AF439" s="195">
        <f t="shared" si="1198"/>
        <v>33050</v>
      </c>
      <c r="AG439" s="200">
        <v>6610.4444000000003</v>
      </c>
      <c r="AH439" s="201">
        <v>11.5609</v>
      </c>
      <c r="AI439" s="201">
        <v>42.587400000000002</v>
      </c>
      <c r="AJ439" s="201">
        <v>55.468800000000002</v>
      </c>
      <c r="AK439" s="201">
        <v>29.244800000000001</v>
      </c>
      <c r="AL439" s="201">
        <v>32.1402</v>
      </c>
      <c r="AM439" s="201">
        <v>57.3371</v>
      </c>
      <c r="AN439" s="201">
        <v>40.925699999999999</v>
      </c>
      <c r="AO439" s="201">
        <v>137.5429</v>
      </c>
      <c r="AP439" s="201">
        <v>147.58240000000001</v>
      </c>
      <c r="AQ439" s="201">
        <v>99.320999999999998</v>
      </c>
      <c r="AR439" s="201">
        <v>141.3108</v>
      </c>
      <c r="AS439" s="201">
        <v>98.396299999999997</v>
      </c>
      <c r="AT439" s="201">
        <v>66.723299999999995</v>
      </c>
      <c r="AU439" s="200"/>
      <c r="AV439" s="200"/>
      <c r="AW439" s="200"/>
      <c r="AX439" s="200">
        <v>12733.6546</v>
      </c>
      <c r="AY439" s="200"/>
      <c r="AZ439" s="200"/>
      <c r="BA439" s="200"/>
      <c r="BB439" s="200"/>
      <c r="BC439" s="200"/>
      <c r="BD439" s="200"/>
      <c r="BE439" s="200"/>
      <c r="BF439" s="200"/>
      <c r="BG439" s="200"/>
      <c r="BH439" s="200"/>
      <c r="BI439" s="200"/>
      <c r="BJ439" s="200"/>
      <c r="BK439" s="200">
        <v>1040.1496999999999</v>
      </c>
      <c r="BL439" s="200"/>
      <c r="BM439" s="200"/>
      <c r="BN439" s="200"/>
      <c r="BO439" s="200"/>
      <c r="BP439" s="200"/>
      <c r="BQ439" s="200"/>
      <c r="BR439" s="200"/>
      <c r="BS439" s="200"/>
      <c r="BT439" s="200"/>
      <c r="BU439" s="200"/>
      <c r="BV439" s="200"/>
      <c r="BW439" s="200"/>
      <c r="BX439" s="200"/>
      <c r="BY439" s="200"/>
      <c r="BZ439" s="200"/>
      <c r="CA439" s="200"/>
      <c r="CB439" s="200">
        <v>745.31</v>
      </c>
      <c r="CC439" s="231">
        <f t="shared" si="1212"/>
        <v>33050</v>
      </c>
    </row>
    <row r="440" spans="2:81" s="3" customFormat="1" ht="15.75" thickBot="1" x14ac:dyDescent="0.3">
      <c r="B440" s="195">
        <v>33100</v>
      </c>
      <c r="C440" s="196">
        <f t="shared" si="1286"/>
        <v>8338.235200000001</v>
      </c>
      <c r="D440" s="196">
        <f t="shared" si="1189"/>
        <v>12636.957700000001</v>
      </c>
      <c r="E440" s="196">
        <f t="shared" si="1206"/>
        <v>0</v>
      </c>
      <c r="F440" s="196">
        <f t="shared" si="1190"/>
        <v>983.30219999999997</v>
      </c>
      <c r="G440" s="196">
        <f t="shared" si="1207"/>
        <v>0</v>
      </c>
      <c r="H440" s="196">
        <f t="shared" si="1208"/>
        <v>0</v>
      </c>
      <c r="I440" s="196">
        <f t="shared" si="1209"/>
        <v>0</v>
      </c>
      <c r="J440" s="197">
        <f t="shared" si="1210"/>
        <v>0</v>
      </c>
      <c r="K440" s="198">
        <f t="shared" si="1211"/>
        <v>751.73</v>
      </c>
      <c r="L440" s="199">
        <f t="shared" si="1085"/>
        <v>14731</v>
      </c>
      <c r="M440" s="196">
        <f t="shared" si="1086"/>
        <v>23492</v>
      </c>
      <c r="N440" s="196"/>
      <c r="O440" s="196">
        <f t="shared" si="1087"/>
        <v>1874</v>
      </c>
      <c r="P440" s="196">
        <f t="shared" si="1088"/>
        <v>0</v>
      </c>
      <c r="Q440" s="196">
        <f t="shared" si="1089"/>
        <v>0</v>
      </c>
      <c r="R440" s="196">
        <f t="shared" si="1090"/>
        <v>0</v>
      </c>
      <c r="S440" s="196">
        <f t="shared" si="1091"/>
        <v>0</v>
      </c>
      <c r="T440" s="196">
        <f t="shared" si="1213"/>
        <v>4159</v>
      </c>
      <c r="V440" s="150">
        <f t="shared" si="1278"/>
        <v>14731</v>
      </c>
      <c r="W440" s="150">
        <f t="shared" si="1279"/>
        <v>23492</v>
      </c>
      <c r="X440" s="150"/>
      <c r="Y440" s="150">
        <f t="shared" si="1280"/>
        <v>1874</v>
      </c>
      <c r="Z440" s="150">
        <f t="shared" si="1281"/>
        <v>0</v>
      </c>
      <c r="AA440" s="150">
        <f t="shared" si="1282"/>
        <v>0</v>
      </c>
      <c r="AB440" s="150">
        <f t="shared" si="1283"/>
        <v>0</v>
      </c>
      <c r="AC440" s="150">
        <f t="shared" si="1284"/>
        <v>0</v>
      </c>
      <c r="AD440" s="150">
        <f t="shared" si="1285"/>
        <v>4159</v>
      </c>
      <c r="AF440" s="195">
        <f t="shared" si="1198"/>
        <v>33100</v>
      </c>
      <c r="AG440" s="200">
        <v>6853.8689999999997</v>
      </c>
      <c r="AH440" s="201">
        <v>27.939399999999999</v>
      </c>
      <c r="AI440" s="201">
        <v>86.891900000000007</v>
      </c>
      <c r="AJ440" s="201">
        <v>84.210599999999999</v>
      </c>
      <c r="AK440" s="201">
        <v>58.601199999999999</v>
      </c>
      <c r="AL440" s="201">
        <v>31.1265</v>
      </c>
      <c r="AM440" s="201">
        <v>113.56529999999999</v>
      </c>
      <c r="AN440" s="201">
        <v>388.9932</v>
      </c>
      <c r="AO440" s="201">
        <v>162.95480000000001</v>
      </c>
      <c r="AP440" s="201">
        <v>75.586699999999993</v>
      </c>
      <c r="AQ440" s="201">
        <v>124.6717</v>
      </c>
      <c r="AR440" s="201">
        <v>329.82490000000001</v>
      </c>
      <c r="AS440" s="200"/>
      <c r="AT440" s="200"/>
      <c r="AU440" s="200"/>
      <c r="AV440" s="200"/>
      <c r="AW440" s="200"/>
      <c r="AX440" s="200">
        <v>12636.957700000001</v>
      </c>
      <c r="AY440" s="200"/>
      <c r="AZ440" s="200"/>
      <c r="BA440" s="200"/>
      <c r="BB440" s="200"/>
      <c r="BC440" s="200"/>
      <c r="BD440" s="200"/>
      <c r="BE440" s="200"/>
      <c r="BF440" s="200"/>
      <c r="BG440" s="200"/>
      <c r="BH440" s="200"/>
      <c r="BI440" s="200"/>
      <c r="BJ440" s="200"/>
      <c r="BK440" s="200">
        <v>983.30219999999997</v>
      </c>
      <c r="BL440" s="200"/>
      <c r="BM440" s="200"/>
      <c r="BN440" s="200"/>
      <c r="BO440" s="200"/>
      <c r="BP440" s="200"/>
      <c r="BQ440" s="200"/>
      <c r="BR440" s="200"/>
      <c r="BS440" s="200"/>
      <c r="BT440" s="200"/>
      <c r="BU440" s="200"/>
      <c r="BV440" s="200"/>
      <c r="BW440" s="200"/>
      <c r="BX440" s="200"/>
      <c r="BY440" s="200"/>
      <c r="BZ440" s="200"/>
      <c r="CA440" s="200"/>
      <c r="CB440" s="200">
        <v>751.73</v>
      </c>
      <c r="CC440" s="231">
        <f t="shared" si="1212"/>
        <v>33100</v>
      </c>
    </row>
    <row r="441" spans="2:81" s="3" customFormat="1" ht="15.75" thickBot="1" x14ac:dyDescent="0.3">
      <c r="B441" s="195">
        <v>33150</v>
      </c>
      <c r="C441" s="196">
        <f t="shared" si="1286"/>
        <v>8513.8545000000013</v>
      </c>
      <c r="D441" s="196">
        <f t="shared" si="1189"/>
        <v>14132.1865</v>
      </c>
      <c r="E441" s="196">
        <f t="shared" si="1206"/>
        <v>0</v>
      </c>
      <c r="F441" s="196">
        <f t="shared" si="1190"/>
        <v>1112.2687000000001</v>
      </c>
      <c r="G441" s="196">
        <f t="shared" si="1207"/>
        <v>0</v>
      </c>
      <c r="H441" s="196">
        <f t="shared" si="1208"/>
        <v>0</v>
      </c>
      <c r="I441" s="196">
        <f t="shared" si="1209"/>
        <v>0</v>
      </c>
      <c r="J441" s="197">
        <f t="shared" si="1210"/>
        <v>0</v>
      </c>
      <c r="K441" s="198">
        <f t="shared" si="1211"/>
        <v>789.63</v>
      </c>
      <c r="L441" s="199">
        <f t="shared" si="1085"/>
        <v>15604</v>
      </c>
      <c r="M441" s="196">
        <f t="shared" si="1086"/>
        <v>24787</v>
      </c>
      <c r="N441" s="196"/>
      <c r="O441" s="196">
        <f t="shared" si="1087"/>
        <v>1941</v>
      </c>
      <c r="P441" s="196">
        <f t="shared" si="1088"/>
        <v>0</v>
      </c>
      <c r="Q441" s="196">
        <f t="shared" si="1089"/>
        <v>0</v>
      </c>
      <c r="R441" s="196">
        <f t="shared" si="1090"/>
        <v>0</v>
      </c>
      <c r="S441" s="196">
        <f t="shared" si="1091"/>
        <v>0</v>
      </c>
      <c r="T441" s="196">
        <f t="shared" si="1213"/>
        <v>4282</v>
      </c>
      <c r="V441" s="150">
        <f t="shared" si="1278"/>
        <v>15604</v>
      </c>
      <c r="W441" s="150">
        <f t="shared" si="1279"/>
        <v>24787</v>
      </c>
      <c r="X441" s="150"/>
      <c r="Y441" s="150">
        <f t="shared" si="1280"/>
        <v>1941</v>
      </c>
      <c r="Z441" s="150">
        <f t="shared" si="1281"/>
        <v>0</v>
      </c>
      <c r="AA441" s="150">
        <f t="shared" si="1282"/>
        <v>0</v>
      </c>
      <c r="AB441" s="150">
        <f t="shared" si="1283"/>
        <v>0</v>
      </c>
      <c r="AC441" s="150">
        <f t="shared" si="1284"/>
        <v>0</v>
      </c>
      <c r="AD441" s="150">
        <f t="shared" si="1285"/>
        <v>4282</v>
      </c>
      <c r="AF441" s="195">
        <f t="shared" si="1198"/>
        <v>33150</v>
      </c>
      <c r="AG441" s="200">
        <v>6355.3883999999998</v>
      </c>
      <c r="AH441" s="201">
        <v>36.580399999999997</v>
      </c>
      <c r="AI441" s="201">
        <v>87.749399999999994</v>
      </c>
      <c r="AJ441" s="201">
        <v>87.0672</v>
      </c>
      <c r="AK441" s="201">
        <v>72.897400000000005</v>
      </c>
      <c r="AL441" s="201">
        <v>110.2825</v>
      </c>
      <c r="AM441" s="201">
        <v>47.364800000000002</v>
      </c>
      <c r="AN441" s="201">
        <v>102.3073</v>
      </c>
      <c r="AO441" s="201">
        <v>434.68009999999998</v>
      </c>
      <c r="AP441" s="201">
        <v>172.02269999999999</v>
      </c>
      <c r="AQ441" s="201">
        <v>126.2051</v>
      </c>
      <c r="AR441" s="201">
        <v>333.22269999999997</v>
      </c>
      <c r="AS441" s="201">
        <v>180.4676</v>
      </c>
      <c r="AT441" s="201">
        <v>367.6189</v>
      </c>
      <c r="AU441" s="200"/>
      <c r="AV441" s="200"/>
      <c r="AW441" s="200"/>
      <c r="AX441" s="200">
        <v>14132.1865</v>
      </c>
      <c r="AY441" s="200"/>
      <c r="AZ441" s="200"/>
      <c r="BA441" s="200"/>
      <c r="BB441" s="200"/>
      <c r="BC441" s="200"/>
      <c r="BD441" s="200"/>
      <c r="BE441" s="200"/>
      <c r="BF441" s="200"/>
      <c r="BG441" s="200"/>
      <c r="BH441" s="200"/>
      <c r="BI441" s="200"/>
      <c r="BJ441" s="200"/>
      <c r="BK441" s="200">
        <v>1112.2687000000001</v>
      </c>
      <c r="BL441" s="200"/>
      <c r="BM441" s="200"/>
      <c r="BN441" s="200"/>
      <c r="BO441" s="200"/>
      <c r="BP441" s="200"/>
      <c r="BQ441" s="200"/>
      <c r="BR441" s="200"/>
      <c r="BS441" s="200"/>
      <c r="BT441" s="200"/>
      <c r="BU441" s="200"/>
      <c r="BV441" s="200"/>
      <c r="BW441" s="200"/>
      <c r="BX441" s="200"/>
      <c r="BY441" s="200"/>
      <c r="BZ441" s="200"/>
      <c r="CA441" s="200"/>
      <c r="CB441" s="200">
        <v>789.63</v>
      </c>
      <c r="CC441" s="231">
        <f t="shared" si="1212"/>
        <v>33150</v>
      </c>
    </row>
    <row r="442" spans="2:81" s="192" customFormat="1" ht="15.75" thickBot="1" x14ac:dyDescent="0.3">
      <c r="B442" s="187">
        <v>33200</v>
      </c>
      <c r="C442" s="188">
        <f t="shared" si="1286"/>
        <v>9192.4620000000014</v>
      </c>
      <c r="D442" s="188">
        <f t="shared" si="1189"/>
        <v>12809.0201</v>
      </c>
      <c r="E442" s="188">
        <f t="shared" si="1206"/>
        <v>0</v>
      </c>
      <c r="F442" s="188">
        <f t="shared" si="1190"/>
        <v>912.74789999999996</v>
      </c>
      <c r="G442" s="188">
        <f t="shared" si="1207"/>
        <v>0</v>
      </c>
      <c r="H442" s="188">
        <f t="shared" si="1208"/>
        <v>0</v>
      </c>
      <c r="I442" s="188">
        <f t="shared" si="1209"/>
        <v>0</v>
      </c>
      <c r="J442" s="189">
        <f t="shared" si="1210"/>
        <v>0</v>
      </c>
      <c r="K442" s="190">
        <f t="shared" si="1211"/>
        <v>849.07</v>
      </c>
      <c r="L442" s="191">
        <f t="shared" si="1085"/>
        <v>16395</v>
      </c>
      <c r="M442" s="188">
        <f t="shared" si="1086"/>
        <v>24946</v>
      </c>
      <c r="N442" s="188"/>
      <c r="O442" s="188">
        <f>ROUNDUP(((F441+F442)*0.5)*(B442-B441)/27,0)</f>
        <v>1876</v>
      </c>
      <c r="P442" s="188">
        <f t="shared" si="1088"/>
        <v>0</v>
      </c>
      <c r="Q442" s="188">
        <f t="shared" si="1089"/>
        <v>0</v>
      </c>
      <c r="R442" s="188">
        <f t="shared" si="1090"/>
        <v>0</v>
      </c>
      <c r="S442" s="188">
        <f t="shared" si="1091"/>
        <v>0</v>
      </c>
      <c r="T442" s="188">
        <f t="shared" si="1213"/>
        <v>4552</v>
      </c>
      <c r="V442" s="150">
        <f t="shared" si="1278"/>
        <v>16395</v>
      </c>
      <c r="W442" s="150">
        <f t="shared" si="1279"/>
        <v>24946</v>
      </c>
      <c r="X442" s="150"/>
      <c r="Y442" s="150">
        <f t="shared" si="1280"/>
        <v>1876</v>
      </c>
      <c r="Z442" s="150">
        <f t="shared" si="1281"/>
        <v>0</v>
      </c>
      <c r="AA442" s="150">
        <f t="shared" si="1282"/>
        <v>0</v>
      </c>
      <c r="AB442" s="150">
        <f t="shared" si="1283"/>
        <v>0</v>
      </c>
      <c r="AC442" s="150">
        <f t="shared" si="1284"/>
        <v>0</v>
      </c>
      <c r="AD442" s="150">
        <f t="shared" si="1285"/>
        <v>4552</v>
      </c>
      <c r="AF442" s="187">
        <f t="shared" si="1198"/>
        <v>33200</v>
      </c>
      <c r="AG442" s="193">
        <v>7101.7957999999999</v>
      </c>
      <c r="AH442" s="194">
        <v>92.682900000000004</v>
      </c>
      <c r="AI442" s="194">
        <v>79.721699999999998</v>
      </c>
      <c r="AJ442" s="194">
        <v>104.9337</v>
      </c>
      <c r="AK442" s="194">
        <v>92.604900000000001</v>
      </c>
      <c r="AL442" s="194">
        <v>163.50129999999999</v>
      </c>
      <c r="AM442" s="194">
        <v>68.524500000000003</v>
      </c>
      <c r="AN442" s="194">
        <v>193.38399999999999</v>
      </c>
      <c r="AO442" s="194">
        <v>328.37990000000002</v>
      </c>
      <c r="AP442" s="194">
        <v>264.91269999999997</v>
      </c>
      <c r="AQ442" s="194">
        <v>123.8888</v>
      </c>
      <c r="AR442" s="194">
        <v>87.673699999999997</v>
      </c>
      <c r="AS442" s="194">
        <v>121.9511</v>
      </c>
      <c r="AT442" s="194">
        <v>368.50700000000001</v>
      </c>
      <c r="AU442" s="193"/>
      <c r="AV442" s="193"/>
      <c r="AW442" s="193"/>
      <c r="AX442" s="193">
        <v>12809.0201</v>
      </c>
      <c r="AY442" s="193"/>
      <c r="AZ442" s="193"/>
      <c r="BA442" s="193"/>
      <c r="BB442" s="193"/>
      <c r="BC442" s="193"/>
      <c r="BD442" s="193"/>
      <c r="BE442" s="193"/>
      <c r="BF442" s="193"/>
      <c r="BG442" s="193"/>
      <c r="BH442" s="193"/>
      <c r="BI442" s="193"/>
      <c r="BJ442" s="193"/>
      <c r="BK442" s="193">
        <v>912.74789999999996</v>
      </c>
      <c r="BL442" s="193"/>
      <c r="BM442" s="193"/>
      <c r="BN442" s="193"/>
      <c r="BO442" s="193"/>
      <c r="BP442" s="193"/>
      <c r="BQ442" s="193"/>
      <c r="BR442" s="193"/>
      <c r="BS442" s="193"/>
      <c r="BT442" s="193"/>
      <c r="BU442" s="193"/>
      <c r="BV442" s="193"/>
      <c r="BW442" s="193"/>
      <c r="BX442" s="193"/>
      <c r="BY442" s="193"/>
      <c r="BZ442" s="193"/>
      <c r="CA442" s="193"/>
      <c r="CB442" s="193">
        <v>849.07</v>
      </c>
      <c r="CC442" s="231">
        <f t="shared" si="1212"/>
        <v>33200</v>
      </c>
    </row>
    <row r="443" spans="2:81" s="3" customFormat="1" ht="15.75" thickBot="1" x14ac:dyDescent="0.3">
      <c r="B443" s="195">
        <v>33250</v>
      </c>
      <c r="C443" s="196">
        <f t="shared" si="1286"/>
        <v>11422.287299999998</v>
      </c>
      <c r="D443" s="196">
        <f t="shared" si="1189"/>
        <v>7935.0343999999996</v>
      </c>
      <c r="E443" s="196">
        <f t="shared" si="1206"/>
        <v>0</v>
      </c>
      <c r="F443" s="196">
        <f t="shared" si="1190"/>
        <v>704.21130000000005</v>
      </c>
      <c r="G443" s="196">
        <f t="shared" si="1207"/>
        <v>0</v>
      </c>
      <c r="H443" s="196">
        <f t="shared" si="1208"/>
        <v>0</v>
      </c>
      <c r="I443" s="196">
        <f t="shared" si="1209"/>
        <v>0</v>
      </c>
      <c r="J443" s="197">
        <f t="shared" si="1210"/>
        <v>0</v>
      </c>
      <c r="K443" s="198">
        <f t="shared" si="1211"/>
        <v>906.61</v>
      </c>
      <c r="L443" s="199">
        <f t="shared" ref="L443:L506" si="1287">ROUNDUP(((C442+C443)*0.5)*(B443-B442)/27,0)</f>
        <v>19088</v>
      </c>
      <c r="M443" s="196">
        <f t="shared" ref="M443:M506" si="1288">ROUNDUP(((D442+D443)*0.5)*(B443-B442)/27,0)</f>
        <v>19208</v>
      </c>
      <c r="N443" s="196"/>
      <c r="O443" s="196">
        <f t="shared" ref="O443:O506" si="1289">ROUNDUP(((F442+F443)*0.5)*(B443-B442)/27,0)</f>
        <v>1498</v>
      </c>
      <c r="P443" s="196">
        <f t="shared" ref="P443:P506" si="1290">ROUNDUP(((G443+G442)*0.5)*(B443-B442)/27,0)</f>
        <v>0</v>
      </c>
      <c r="Q443" s="196">
        <f t="shared" ref="Q443:Q506" si="1291">ROUNDUP(((H443+H442)*0.5)*(B443-B442)/27,0)</f>
        <v>0</v>
      </c>
      <c r="R443" s="196">
        <f t="shared" ref="R443:R506" si="1292">ROUNDUP(((I443+I442)*0.5)*(B443-B442)/9,0)</f>
        <v>0</v>
      </c>
      <c r="S443" s="196">
        <f t="shared" ref="S443:S506" si="1293">ROUNDUP(((J443+J442)*0.5)*(B443-B442)/9,0)</f>
        <v>0</v>
      </c>
      <c r="T443" s="196">
        <f t="shared" si="1213"/>
        <v>4877</v>
      </c>
      <c r="V443" s="150">
        <f t="shared" si="1278"/>
        <v>19088</v>
      </c>
      <c r="W443" s="150">
        <f t="shared" si="1279"/>
        <v>19208</v>
      </c>
      <c r="X443" s="150"/>
      <c r="Y443" s="150">
        <f t="shared" si="1280"/>
        <v>1498</v>
      </c>
      <c r="Z443" s="150">
        <f t="shared" si="1281"/>
        <v>0</v>
      </c>
      <c r="AA443" s="150">
        <f t="shared" si="1282"/>
        <v>0</v>
      </c>
      <c r="AB443" s="150">
        <f t="shared" si="1283"/>
        <v>0</v>
      </c>
      <c r="AC443" s="150">
        <f t="shared" si="1284"/>
        <v>0</v>
      </c>
      <c r="AD443" s="150">
        <f t="shared" si="1285"/>
        <v>4877</v>
      </c>
      <c r="AF443" s="195">
        <f t="shared" si="1198"/>
        <v>33250</v>
      </c>
      <c r="AG443" s="200">
        <v>9407.5087999999996</v>
      </c>
      <c r="AH443" s="201">
        <v>253.1087</v>
      </c>
      <c r="AI443" s="201">
        <v>46.233400000000003</v>
      </c>
      <c r="AJ443" s="201">
        <v>148.58779999999999</v>
      </c>
      <c r="AK443" s="201">
        <v>103.3419</v>
      </c>
      <c r="AL443" s="201">
        <v>144.3605</v>
      </c>
      <c r="AM443" s="201">
        <v>192.4701</v>
      </c>
      <c r="AN443" s="201">
        <v>245.57509999999999</v>
      </c>
      <c r="AO443" s="201">
        <v>162.8117</v>
      </c>
      <c r="AP443" s="201">
        <v>117.8197</v>
      </c>
      <c r="AQ443" s="201">
        <v>117.8197</v>
      </c>
      <c r="AR443" s="201">
        <v>56.306100000000001</v>
      </c>
      <c r="AS443" s="201">
        <v>78.191999999999993</v>
      </c>
      <c r="AT443" s="201">
        <v>107.2235</v>
      </c>
      <c r="AU443" s="201">
        <v>118.7478</v>
      </c>
      <c r="AV443" s="201">
        <v>122.18049999999999</v>
      </c>
      <c r="AW443" s="200"/>
      <c r="AX443" s="200">
        <v>7935.0343999999996</v>
      </c>
      <c r="AY443" s="200"/>
      <c r="AZ443" s="200"/>
      <c r="BA443" s="200"/>
      <c r="BB443" s="200"/>
      <c r="BC443" s="200"/>
      <c r="BD443" s="200"/>
      <c r="BE443" s="200"/>
      <c r="BF443" s="200"/>
      <c r="BG443" s="200"/>
      <c r="BH443" s="200"/>
      <c r="BI443" s="200"/>
      <c r="BJ443" s="200"/>
      <c r="BK443" s="200">
        <v>704.21130000000005</v>
      </c>
      <c r="BL443" s="200"/>
      <c r="BM443" s="200"/>
      <c r="BN443" s="200"/>
      <c r="BO443" s="200"/>
      <c r="BP443" s="200"/>
      <c r="BQ443" s="200"/>
      <c r="BR443" s="200"/>
      <c r="BS443" s="200"/>
      <c r="BT443" s="200"/>
      <c r="BU443" s="200"/>
      <c r="BV443" s="200"/>
      <c r="BW443" s="200"/>
      <c r="BX443" s="200"/>
      <c r="BY443" s="200"/>
      <c r="BZ443" s="200"/>
      <c r="CA443" s="200"/>
      <c r="CB443" s="200">
        <v>906.61</v>
      </c>
      <c r="CC443" s="231">
        <f t="shared" si="1212"/>
        <v>33250</v>
      </c>
    </row>
    <row r="444" spans="2:81" s="3" customFormat="1" ht="15.75" thickBot="1" x14ac:dyDescent="0.3">
      <c r="B444" s="195">
        <v>33300</v>
      </c>
      <c r="C444" s="196">
        <f t="shared" si="1286"/>
        <v>13875.255699999998</v>
      </c>
      <c r="D444" s="196">
        <f t="shared" si="1189"/>
        <v>502.07139999999998</v>
      </c>
      <c r="E444" s="196">
        <f t="shared" si="1206"/>
        <v>0</v>
      </c>
      <c r="F444" s="196">
        <f t="shared" si="1190"/>
        <v>0</v>
      </c>
      <c r="G444" s="196">
        <f t="shared" si="1207"/>
        <v>0</v>
      </c>
      <c r="H444" s="196">
        <f t="shared" si="1208"/>
        <v>0</v>
      </c>
      <c r="I444" s="196">
        <f t="shared" si="1209"/>
        <v>0</v>
      </c>
      <c r="J444" s="197">
        <f t="shared" si="1210"/>
        <v>0</v>
      </c>
      <c r="K444" s="198">
        <f t="shared" si="1211"/>
        <v>601.22</v>
      </c>
      <c r="L444" s="199">
        <f t="shared" si="1287"/>
        <v>23424</v>
      </c>
      <c r="M444" s="196">
        <f t="shared" si="1288"/>
        <v>7813</v>
      </c>
      <c r="N444" s="196"/>
      <c r="O444" s="196">
        <f t="shared" si="1289"/>
        <v>653</v>
      </c>
      <c r="P444" s="196">
        <f t="shared" si="1290"/>
        <v>0</v>
      </c>
      <c r="Q444" s="196">
        <f t="shared" si="1291"/>
        <v>0</v>
      </c>
      <c r="R444" s="196">
        <f t="shared" si="1292"/>
        <v>0</v>
      </c>
      <c r="S444" s="196">
        <f t="shared" si="1293"/>
        <v>0</v>
      </c>
      <c r="T444" s="196">
        <f t="shared" si="1213"/>
        <v>4189</v>
      </c>
      <c r="V444" s="150">
        <f t="shared" si="1278"/>
        <v>23424</v>
      </c>
      <c r="W444" s="150">
        <f t="shared" si="1279"/>
        <v>7813</v>
      </c>
      <c r="X444" s="150"/>
      <c r="Y444" s="150">
        <f t="shared" si="1280"/>
        <v>653</v>
      </c>
      <c r="Z444" s="150">
        <f t="shared" si="1281"/>
        <v>0</v>
      </c>
      <c r="AA444" s="150">
        <f t="shared" si="1282"/>
        <v>0</v>
      </c>
      <c r="AB444" s="150">
        <f t="shared" si="1283"/>
        <v>0</v>
      </c>
      <c r="AC444" s="150">
        <f t="shared" si="1284"/>
        <v>0</v>
      </c>
      <c r="AD444" s="150">
        <f t="shared" si="1285"/>
        <v>4189</v>
      </c>
      <c r="AF444" s="195">
        <f t="shared" si="1198"/>
        <v>33300</v>
      </c>
      <c r="AG444" s="200">
        <v>13384.323399999999</v>
      </c>
      <c r="AH444" s="200">
        <v>16.7652</v>
      </c>
      <c r="AI444" s="201">
        <v>71.042299999999997</v>
      </c>
      <c r="AJ444" s="201">
        <v>147.4162</v>
      </c>
      <c r="AK444" s="201">
        <v>154.4632</v>
      </c>
      <c r="AL444" s="201">
        <v>101.2454</v>
      </c>
      <c r="AM444" s="200"/>
      <c r="AN444" s="200"/>
      <c r="AO444" s="200"/>
      <c r="AP444" s="200"/>
      <c r="AQ444" s="200"/>
      <c r="AR444" s="200"/>
      <c r="AS444" s="200"/>
      <c r="AT444" s="200"/>
      <c r="AU444" s="200"/>
      <c r="AV444" s="200"/>
      <c r="AW444" s="200"/>
      <c r="AX444" s="200">
        <v>499.23489999999998</v>
      </c>
      <c r="AY444" s="200">
        <v>2.8365</v>
      </c>
      <c r="AZ444" s="200"/>
      <c r="BA444" s="200"/>
      <c r="BB444" s="200"/>
      <c r="BC444" s="200"/>
      <c r="BD444" s="200"/>
      <c r="BE444" s="200"/>
      <c r="BF444" s="200"/>
      <c r="BG444" s="200"/>
      <c r="BH444" s="200"/>
      <c r="BI444" s="200"/>
      <c r="BJ444" s="200"/>
      <c r="BK444" s="200"/>
      <c r="BL444" s="200"/>
      <c r="BM444" s="200"/>
      <c r="BN444" s="200"/>
      <c r="BO444" s="200"/>
      <c r="BP444" s="200"/>
      <c r="BQ444" s="200"/>
      <c r="BR444" s="200"/>
      <c r="BS444" s="200"/>
      <c r="BT444" s="200"/>
      <c r="BU444" s="200"/>
      <c r="BV444" s="200"/>
      <c r="BW444" s="200"/>
      <c r="BX444" s="200"/>
      <c r="BY444" s="200"/>
      <c r="BZ444" s="200"/>
      <c r="CA444" s="200"/>
      <c r="CB444" s="200">
        <v>601.22</v>
      </c>
      <c r="CC444" s="231">
        <f t="shared" si="1212"/>
        <v>33300</v>
      </c>
    </row>
    <row r="445" spans="2:81" x14ac:dyDescent="0.25">
      <c r="B445" s="155">
        <v>33350</v>
      </c>
      <c r="C445" s="147">
        <f t="shared" si="1286"/>
        <v>16558.3148</v>
      </c>
      <c r="D445" s="147">
        <f t="shared" si="1189"/>
        <v>27.236499999999999</v>
      </c>
      <c r="E445" s="147">
        <f t="shared" si="1206"/>
        <v>0</v>
      </c>
      <c r="F445" s="147">
        <f t="shared" si="1190"/>
        <v>0</v>
      </c>
      <c r="G445" s="147">
        <f t="shared" si="1207"/>
        <v>40.436999999999998</v>
      </c>
      <c r="H445" s="147">
        <f t="shared" si="1208"/>
        <v>40.436999999999998</v>
      </c>
      <c r="I445" s="147">
        <f t="shared" si="1209"/>
        <v>79.889299999999992</v>
      </c>
      <c r="J445" s="156">
        <f t="shared" si="1210"/>
        <v>79.889299999999992</v>
      </c>
      <c r="K445" s="157">
        <f t="shared" si="1211"/>
        <v>625.03</v>
      </c>
      <c r="L445" s="151">
        <f t="shared" si="1287"/>
        <v>28180</v>
      </c>
      <c r="M445" s="147">
        <f t="shared" si="1288"/>
        <v>491</v>
      </c>
      <c r="N445" s="147"/>
      <c r="O445" s="147">
        <f t="shared" si="1289"/>
        <v>0</v>
      </c>
      <c r="P445" s="147">
        <f t="shared" si="1290"/>
        <v>38</v>
      </c>
      <c r="Q445" s="147">
        <f t="shared" si="1291"/>
        <v>38</v>
      </c>
      <c r="R445" s="147">
        <f t="shared" si="1292"/>
        <v>222</v>
      </c>
      <c r="S445" s="147">
        <f t="shared" si="1293"/>
        <v>222</v>
      </c>
      <c r="T445" s="147">
        <f t="shared" si="1213"/>
        <v>3407</v>
      </c>
      <c r="V445" s="146"/>
      <c r="W445" s="147"/>
      <c r="X445" s="147"/>
      <c r="Y445" s="147"/>
      <c r="Z445" s="147"/>
      <c r="AA445" s="147"/>
      <c r="AB445" s="147"/>
      <c r="AC445" s="147"/>
      <c r="AD445" s="148"/>
      <c r="AF445" s="155">
        <f t="shared" si="1198"/>
        <v>33350</v>
      </c>
      <c r="AG445" s="78">
        <v>16558.3148</v>
      </c>
      <c r="AH445" s="78"/>
      <c r="AI445" s="78"/>
      <c r="AJ445" s="78"/>
      <c r="AK445" s="78"/>
      <c r="AL445" s="78"/>
      <c r="AM445" s="78"/>
      <c r="AN445" s="78"/>
      <c r="AO445" s="78"/>
      <c r="AP445" s="78"/>
      <c r="AQ445" s="78"/>
      <c r="AR445" s="78"/>
      <c r="AS445" s="78"/>
      <c r="AT445" s="78"/>
      <c r="AU445" s="78"/>
      <c r="AV445" s="78"/>
      <c r="AW445" s="78"/>
      <c r="AX445" s="78">
        <v>27.236499999999999</v>
      </c>
      <c r="AY445" s="78"/>
      <c r="AZ445" s="78"/>
      <c r="BA445" s="78"/>
      <c r="BB445" s="78"/>
      <c r="BC445" s="78"/>
      <c r="BD445" s="78"/>
      <c r="BE445" s="78"/>
      <c r="BF445" s="78"/>
      <c r="BG445" s="78"/>
      <c r="BH445" s="78"/>
      <c r="BI445" s="78"/>
      <c r="BJ445" s="78"/>
      <c r="BK445" s="78"/>
      <c r="BL445" s="78"/>
      <c r="BM445" s="78"/>
      <c r="BN445" s="78">
        <v>20.218599999999999</v>
      </c>
      <c r="BO445" s="78">
        <v>20.218399999999999</v>
      </c>
      <c r="BP445" s="78"/>
      <c r="BQ445" s="78">
        <f>BN445</f>
        <v>20.218599999999999</v>
      </c>
      <c r="BR445" s="78">
        <f>BO445</f>
        <v>20.218399999999999</v>
      </c>
      <c r="BS445" s="78"/>
      <c r="BT445" s="78">
        <v>40.027099999999997</v>
      </c>
      <c r="BU445" s="78">
        <v>39.862200000000001</v>
      </c>
      <c r="BV445" s="78"/>
      <c r="BW445" s="78">
        <f t="shared" ref="BW445:BW446" si="1294">BT445</f>
        <v>40.027099999999997</v>
      </c>
      <c r="BX445" s="78">
        <f t="shared" ref="BX445:BY446" si="1295">BU445</f>
        <v>39.862200000000001</v>
      </c>
      <c r="BY445" s="78">
        <f t="shared" si="1295"/>
        <v>0</v>
      </c>
      <c r="BZ445" s="78"/>
      <c r="CA445" s="78"/>
      <c r="CB445" s="78">
        <v>625.03</v>
      </c>
      <c r="CC445" s="231">
        <f t="shared" si="1212"/>
        <v>33350</v>
      </c>
    </row>
    <row r="446" spans="2:81" s="3" customFormat="1" ht="15.75" thickBot="1" x14ac:dyDescent="0.3">
      <c r="B446" s="158">
        <v>33400</v>
      </c>
      <c r="C446" s="144">
        <f t="shared" si="1286"/>
        <v>7767.6359000000002</v>
      </c>
      <c r="D446" s="144">
        <f t="shared" si="1189"/>
        <v>0</v>
      </c>
      <c r="E446" s="144">
        <f t="shared" si="1206"/>
        <v>0</v>
      </c>
      <c r="F446" s="144">
        <f t="shared" si="1190"/>
        <v>0</v>
      </c>
      <c r="G446" s="144">
        <f t="shared" si="1207"/>
        <v>40.175800000000002</v>
      </c>
      <c r="H446" s="144">
        <f t="shared" si="1208"/>
        <v>40.175800000000002</v>
      </c>
      <c r="I446" s="144">
        <f t="shared" si="1209"/>
        <v>81.713300000000004</v>
      </c>
      <c r="J446" s="159">
        <f t="shared" si="1210"/>
        <v>81.713300000000004</v>
      </c>
      <c r="K446" s="160">
        <f t="shared" si="1211"/>
        <v>331.68</v>
      </c>
      <c r="L446" s="152">
        <f t="shared" si="1287"/>
        <v>22525</v>
      </c>
      <c r="M446" s="144">
        <f t="shared" si="1288"/>
        <v>26</v>
      </c>
      <c r="N446" s="144"/>
      <c r="O446" s="144">
        <f t="shared" si="1289"/>
        <v>0</v>
      </c>
      <c r="P446" s="144">
        <f t="shared" si="1290"/>
        <v>75</v>
      </c>
      <c r="Q446" s="144">
        <f t="shared" si="1291"/>
        <v>75</v>
      </c>
      <c r="R446" s="144">
        <f t="shared" si="1292"/>
        <v>449</v>
      </c>
      <c r="S446" s="144">
        <f t="shared" si="1293"/>
        <v>449</v>
      </c>
      <c r="T446" s="144">
        <f t="shared" si="1213"/>
        <v>2658</v>
      </c>
      <c r="V446" s="150">
        <f>L445+L446</f>
        <v>50705</v>
      </c>
      <c r="W446" s="150">
        <f t="shared" ref="W446" si="1296">M445+M446</f>
        <v>517</v>
      </c>
      <c r="X446" s="150"/>
      <c r="Y446" s="150">
        <f t="shared" ref="Y446" si="1297">O445+O446</f>
        <v>0</v>
      </c>
      <c r="Z446" s="150">
        <f t="shared" ref="Z446" si="1298">P445+P446</f>
        <v>113</v>
      </c>
      <c r="AA446" s="150">
        <f t="shared" ref="AA446" si="1299">Q445+Q446</f>
        <v>113</v>
      </c>
      <c r="AB446" s="150">
        <f t="shared" ref="AB446" si="1300">R445+R446</f>
        <v>671</v>
      </c>
      <c r="AC446" s="150">
        <f t="shared" ref="AC446" si="1301">S445+S446</f>
        <v>671</v>
      </c>
      <c r="AD446" s="150">
        <f t="shared" ref="AD446" si="1302">T445+T446</f>
        <v>6065</v>
      </c>
      <c r="AF446" s="158">
        <f t="shared" si="1198"/>
        <v>33400</v>
      </c>
      <c r="AG446" s="149">
        <v>7767.6359000000002</v>
      </c>
      <c r="AH446" s="149"/>
      <c r="AI446" s="149"/>
      <c r="AJ446" s="149"/>
      <c r="AK446" s="149"/>
      <c r="AL446" s="149"/>
      <c r="AM446" s="149"/>
      <c r="AN446" s="149"/>
      <c r="AO446" s="149"/>
      <c r="AP446" s="149"/>
      <c r="AQ446" s="149"/>
      <c r="AR446" s="149"/>
      <c r="AS446" s="149"/>
      <c r="AT446" s="149"/>
      <c r="AU446" s="149"/>
      <c r="AV446" s="149"/>
      <c r="AW446" s="149"/>
      <c r="AX446" s="149"/>
      <c r="AY446" s="149"/>
      <c r="AZ446" s="149"/>
      <c r="BA446" s="149"/>
      <c r="BB446" s="149"/>
      <c r="BC446" s="149"/>
      <c r="BD446" s="149"/>
      <c r="BE446" s="149"/>
      <c r="BF446" s="149"/>
      <c r="BG446" s="149"/>
      <c r="BH446" s="149"/>
      <c r="BI446" s="149"/>
      <c r="BJ446" s="149"/>
      <c r="BK446" s="149"/>
      <c r="BL446" s="149"/>
      <c r="BM446" s="149"/>
      <c r="BN446" s="149">
        <v>20.219000000000001</v>
      </c>
      <c r="BO446" s="149">
        <v>19.956800000000001</v>
      </c>
      <c r="BP446" s="149"/>
      <c r="BQ446" s="78">
        <f>BN446</f>
        <v>20.219000000000001</v>
      </c>
      <c r="BR446" s="78">
        <f>BO446</f>
        <v>19.956800000000001</v>
      </c>
      <c r="BS446" s="149"/>
      <c r="BT446" s="149">
        <v>39.8566</v>
      </c>
      <c r="BU446" s="149">
        <v>41.856699999999996</v>
      </c>
      <c r="BV446" s="149"/>
      <c r="BW446" s="78">
        <f t="shared" si="1294"/>
        <v>39.8566</v>
      </c>
      <c r="BX446" s="78">
        <f t="shared" si="1295"/>
        <v>41.856699999999996</v>
      </c>
      <c r="BY446" s="78">
        <f t="shared" si="1295"/>
        <v>0</v>
      </c>
      <c r="BZ446" s="149"/>
      <c r="CA446" s="149"/>
      <c r="CB446" s="149">
        <v>331.68</v>
      </c>
      <c r="CC446" s="231">
        <f t="shared" si="1212"/>
        <v>33400</v>
      </c>
    </row>
    <row r="447" spans="2:81" x14ac:dyDescent="0.25">
      <c r="B447" s="155">
        <v>33450</v>
      </c>
      <c r="C447" s="147">
        <f t="shared" si="1286"/>
        <v>8111.7219999999998</v>
      </c>
      <c r="D447" s="147">
        <f t="shared" si="1189"/>
        <v>7470.6057000000001</v>
      </c>
      <c r="E447" s="147">
        <f t="shared" si="1206"/>
        <v>0</v>
      </c>
      <c r="F447" s="147">
        <f t="shared" si="1190"/>
        <v>1025.5376000000001</v>
      </c>
      <c r="G447" s="147">
        <f t="shared" si="1207"/>
        <v>0</v>
      </c>
      <c r="H447" s="147">
        <f t="shared" si="1208"/>
        <v>0</v>
      </c>
      <c r="I447" s="147">
        <f t="shared" si="1209"/>
        <v>0</v>
      </c>
      <c r="J447" s="156">
        <f t="shared" si="1210"/>
        <v>0</v>
      </c>
      <c r="K447" s="157">
        <f t="shared" si="1211"/>
        <v>684.97</v>
      </c>
      <c r="L447" s="151">
        <f t="shared" si="1287"/>
        <v>14704</v>
      </c>
      <c r="M447" s="147">
        <f t="shared" si="1288"/>
        <v>6918</v>
      </c>
      <c r="N447" s="147"/>
      <c r="O447" s="147">
        <f t="shared" si="1289"/>
        <v>950</v>
      </c>
      <c r="P447" s="147">
        <f t="shared" si="1290"/>
        <v>38</v>
      </c>
      <c r="Q447" s="147">
        <f t="shared" si="1291"/>
        <v>38</v>
      </c>
      <c r="R447" s="147">
        <f t="shared" si="1292"/>
        <v>227</v>
      </c>
      <c r="S447" s="147">
        <f t="shared" si="1293"/>
        <v>227</v>
      </c>
      <c r="T447" s="147">
        <f t="shared" si="1213"/>
        <v>2825</v>
      </c>
      <c r="V447" s="146"/>
      <c r="W447" s="147"/>
      <c r="X447" s="147"/>
      <c r="Y447" s="147"/>
      <c r="Z447" s="147"/>
      <c r="AA447" s="147"/>
      <c r="AB447" s="147"/>
      <c r="AC447" s="147"/>
      <c r="AD447" s="148"/>
      <c r="AF447" s="155">
        <f t="shared" si="1198"/>
        <v>33450</v>
      </c>
      <c r="AG447" s="78">
        <v>3129.9229</v>
      </c>
      <c r="AH447" s="185">
        <v>1813.1921</v>
      </c>
      <c r="AI447" s="185">
        <v>451.4828</v>
      </c>
      <c r="AJ447" s="185">
        <v>280.10320000000002</v>
      </c>
      <c r="AK447" s="185">
        <v>622.31449999999995</v>
      </c>
      <c r="AL447" s="185">
        <v>622.31449999999995</v>
      </c>
      <c r="AM447" s="185">
        <v>416.4425</v>
      </c>
      <c r="AN447" s="185">
        <v>337.0908</v>
      </c>
      <c r="AO447" s="185">
        <v>438.8587</v>
      </c>
      <c r="AP447" s="78"/>
      <c r="AQ447" s="78"/>
      <c r="AR447" s="78"/>
      <c r="AS447" s="78"/>
      <c r="AT447" s="78"/>
      <c r="AU447" s="78"/>
      <c r="AV447" s="78"/>
      <c r="AW447" s="78"/>
      <c r="AX447" s="78">
        <v>7470.6057000000001</v>
      </c>
      <c r="AY447" s="78"/>
      <c r="AZ447" s="78"/>
      <c r="BA447" s="78"/>
      <c r="BB447" s="78"/>
      <c r="BC447" s="78"/>
      <c r="BD447" s="78"/>
      <c r="BE447" s="78"/>
      <c r="BF447" s="78"/>
      <c r="BG447" s="78"/>
      <c r="BH447" s="78"/>
      <c r="BI447" s="78"/>
      <c r="BJ447" s="78"/>
      <c r="BK447" s="78">
        <v>1025.5376000000001</v>
      </c>
      <c r="BL447" s="78"/>
      <c r="BM447" s="78"/>
      <c r="BN447" s="78"/>
      <c r="BO447" s="78"/>
      <c r="BP447" s="78"/>
      <c r="BQ447" s="78"/>
      <c r="BR447" s="78"/>
      <c r="BS447" s="78"/>
      <c r="BT447" s="78"/>
      <c r="BU447" s="78"/>
      <c r="BV447" s="78"/>
      <c r="BW447" s="78"/>
      <c r="BX447" s="78"/>
      <c r="BY447" s="78"/>
      <c r="BZ447" s="78"/>
      <c r="CA447" s="78"/>
      <c r="CB447" s="78">
        <v>684.97</v>
      </c>
      <c r="CC447" s="231">
        <f t="shared" si="1212"/>
        <v>33450</v>
      </c>
    </row>
    <row r="448" spans="2:81" s="3" customFormat="1" ht="15.75" thickBot="1" x14ac:dyDescent="0.3">
      <c r="B448" s="158">
        <v>33500</v>
      </c>
      <c r="C448" s="144">
        <f t="shared" si="1286"/>
        <v>7361.6267999999991</v>
      </c>
      <c r="D448" s="144">
        <f t="shared" si="1189"/>
        <v>15014.9984</v>
      </c>
      <c r="E448" s="144">
        <f t="shared" si="1206"/>
        <v>0</v>
      </c>
      <c r="F448" s="144">
        <f t="shared" si="1190"/>
        <v>1309.7787000000001</v>
      </c>
      <c r="G448" s="144">
        <f t="shared" si="1207"/>
        <v>0</v>
      </c>
      <c r="H448" s="144">
        <f t="shared" si="1208"/>
        <v>0</v>
      </c>
      <c r="I448" s="144">
        <f t="shared" si="1209"/>
        <v>0</v>
      </c>
      <c r="J448" s="159">
        <f t="shared" si="1210"/>
        <v>0</v>
      </c>
      <c r="K448" s="160">
        <f t="shared" si="1211"/>
        <v>691.76</v>
      </c>
      <c r="L448" s="152">
        <f t="shared" si="1287"/>
        <v>14328</v>
      </c>
      <c r="M448" s="144">
        <f t="shared" si="1288"/>
        <v>20821</v>
      </c>
      <c r="N448" s="144"/>
      <c r="O448" s="144">
        <f t="shared" si="1289"/>
        <v>2163</v>
      </c>
      <c r="P448" s="144">
        <f t="shared" si="1290"/>
        <v>0</v>
      </c>
      <c r="Q448" s="144">
        <f t="shared" si="1291"/>
        <v>0</v>
      </c>
      <c r="R448" s="144">
        <f t="shared" si="1292"/>
        <v>0</v>
      </c>
      <c r="S448" s="144">
        <f t="shared" si="1293"/>
        <v>0</v>
      </c>
      <c r="T448" s="144">
        <f t="shared" si="1213"/>
        <v>3825</v>
      </c>
      <c r="V448" s="150">
        <f>L447+L448</f>
        <v>29032</v>
      </c>
      <c r="W448" s="150">
        <f t="shared" ref="W448" si="1303">M447+M448</f>
        <v>27739</v>
      </c>
      <c r="X448" s="150"/>
      <c r="Y448" s="150">
        <f t="shared" ref="Y448" si="1304">O447+O448</f>
        <v>3113</v>
      </c>
      <c r="Z448" s="150">
        <f t="shared" ref="Z448" si="1305">P447+P448</f>
        <v>38</v>
      </c>
      <c r="AA448" s="150">
        <f t="shared" ref="AA448" si="1306">Q447+Q448</f>
        <v>38</v>
      </c>
      <c r="AB448" s="150">
        <f t="shared" ref="AB448" si="1307">R447+R448</f>
        <v>227</v>
      </c>
      <c r="AC448" s="150">
        <f t="shared" ref="AC448" si="1308">S447+S448</f>
        <v>227</v>
      </c>
      <c r="AD448" s="150">
        <f t="shared" ref="AD448" si="1309">T447+T448</f>
        <v>6650</v>
      </c>
      <c r="AF448" s="158">
        <f t="shared" si="1198"/>
        <v>33500</v>
      </c>
      <c r="AG448" s="149">
        <v>1567.4437</v>
      </c>
      <c r="AH448" s="186">
        <v>540.62419999999997</v>
      </c>
      <c r="AI448" s="186">
        <v>763.04390000000001</v>
      </c>
      <c r="AJ448" s="186">
        <v>347.3732</v>
      </c>
      <c r="AK448" s="186">
        <v>352.97710000000001</v>
      </c>
      <c r="AL448" s="186">
        <v>3399.4265999999998</v>
      </c>
      <c r="AM448" s="186">
        <v>390.73809999999997</v>
      </c>
      <c r="AN448" s="149"/>
      <c r="AO448" s="149"/>
      <c r="AP448" s="149"/>
      <c r="AQ448" s="149"/>
      <c r="AR448" s="149"/>
      <c r="AS448" s="149"/>
      <c r="AT448" s="149"/>
      <c r="AU448" s="149"/>
      <c r="AV448" s="149"/>
      <c r="AW448" s="149"/>
      <c r="AX448" s="149">
        <v>15014.9984</v>
      </c>
      <c r="AY448" s="149"/>
      <c r="AZ448" s="149"/>
      <c r="BA448" s="149"/>
      <c r="BB448" s="149"/>
      <c r="BC448" s="149"/>
      <c r="BD448" s="149"/>
      <c r="BE448" s="149"/>
      <c r="BF448" s="149"/>
      <c r="BG448" s="149"/>
      <c r="BH448" s="149"/>
      <c r="BI448" s="149"/>
      <c r="BJ448" s="149"/>
      <c r="BK448" s="149">
        <v>1309.7787000000001</v>
      </c>
      <c r="BL448" s="149"/>
      <c r="BM448" s="149"/>
      <c r="BN448" s="149"/>
      <c r="BO448" s="149"/>
      <c r="BP448" s="149"/>
      <c r="BQ448" s="149"/>
      <c r="BR448" s="149"/>
      <c r="BS448" s="149"/>
      <c r="BT448" s="149"/>
      <c r="BU448" s="149"/>
      <c r="BV448" s="149"/>
      <c r="BW448" s="149"/>
      <c r="BX448" s="149"/>
      <c r="BY448" s="149"/>
      <c r="BZ448" s="149"/>
      <c r="CA448" s="149"/>
      <c r="CB448" s="149">
        <v>691.76</v>
      </c>
      <c r="CC448" s="231">
        <f t="shared" si="1212"/>
        <v>33500</v>
      </c>
    </row>
    <row r="449" spans="2:81" x14ac:dyDescent="0.25">
      <c r="B449" s="155">
        <v>33550</v>
      </c>
      <c r="C449" s="147">
        <f t="shared" si="1286"/>
        <v>5451.6525000000001</v>
      </c>
      <c r="D449" s="147">
        <f t="shared" si="1189"/>
        <v>22031.278999999999</v>
      </c>
      <c r="E449" s="147">
        <f t="shared" si="1206"/>
        <v>0</v>
      </c>
      <c r="F449" s="147">
        <f t="shared" si="1190"/>
        <v>1339.5880999999999</v>
      </c>
      <c r="G449" s="147">
        <f t="shared" si="1207"/>
        <v>0</v>
      </c>
      <c r="H449" s="147">
        <f t="shared" si="1208"/>
        <v>0</v>
      </c>
      <c r="I449" s="147">
        <f t="shared" si="1209"/>
        <v>0</v>
      </c>
      <c r="J449" s="156">
        <f t="shared" si="1210"/>
        <v>0</v>
      </c>
      <c r="K449" s="157">
        <f t="shared" si="1211"/>
        <v>603.27</v>
      </c>
      <c r="L449" s="151">
        <f t="shared" si="1287"/>
        <v>11865</v>
      </c>
      <c r="M449" s="147">
        <f t="shared" si="1288"/>
        <v>34303</v>
      </c>
      <c r="N449" s="147"/>
      <c r="O449" s="147">
        <f t="shared" si="1289"/>
        <v>2454</v>
      </c>
      <c r="P449" s="147">
        <f t="shared" si="1290"/>
        <v>0</v>
      </c>
      <c r="Q449" s="147">
        <f t="shared" si="1291"/>
        <v>0</v>
      </c>
      <c r="R449" s="147">
        <f t="shared" si="1292"/>
        <v>0</v>
      </c>
      <c r="S449" s="147">
        <f t="shared" si="1293"/>
        <v>0</v>
      </c>
      <c r="T449" s="147">
        <f t="shared" si="1213"/>
        <v>3598</v>
      </c>
      <c r="V449" s="146"/>
      <c r="W449" s="147"/>
      <c r="X449" s="147"/>
      <c r="Y449" s="147"/>
      <c r="Z449" s="147"/>
      <c r="AA449" s="147"/>
      <c r="AB449" s="147"/>
      <c r="AC449" s="147"/>
      <c r="AD449" s="148"/>
      <c r="AF449" s="155">
        <f t="shared" si="1198"/>
        <v>33550</v>
      </c>
      <c r="AG449" s="185">
        <v>115.102</v>
      </c>
      <c r="AH449" s="185">
        <v>402.10239999999999</v>
      </c>
      <c r="AI449" s="185">
        <v>249.11959999999999</v>
      </c>
      <c r="AJ449" s="185">
        <v>373.38839999999999</v>
      </c>
      <c r="AK449" s="185">
        <v>4026.6786999999999</v>
      </c>
      <c r="AL449" s="185">
        <v>285.26139999999998</v>
      </c>
      <c r="AM449" s="78"/>
      <c r="AN449" s="78"/>
      <c r="AO449" s="78"/>
      <c r="AP449" s="78"/>
      <c r="AQ449" s="78"/>
      <c r="AR449" s="78"/>
      <c r="AS449" s="78"/>
      <c r="AT449" s="78"/>
      <c r="AU449" s="78"/>
      <c r="AV449" s="78"/>
      <c r="AW449" s="78"/>
      <c r="AX449" s="78">
        <v>22031.278999999999</v>
      </c>
      <c r="AY449" s="78"/>
      <c r="AZ449" s="78"/>
      <c r="BA449" s="78"/>
      <c r="BB449" s="78"/>
      <c r="BC449" s="78"/>
      <c r="BD449" s="78"/>
      <c r="BE449" s="78"/>
      <c r="BF449" s="78"/>
      <c r="BG449" s="78"/>
      <c r="BH449" s="78"/>
      <c r="BI449" s="78"/>
      <c r="BJ449" s="78"/>
      <c r="BK449" s="78">
        <v>1339.5880999999999</v>
      </c>
      <c r="BL449" s="78"/>
      <c r="BM449" s="78"/>
      <c r="BN449" s="78"/>
      <c r="BO449" s="78"/>
      <c r="BP449" s="78"/>
      <c r="BQ449" s="78"/>
      <c r="BR449" s="78"/>
      <c r="BS449" s="78"/>
      <c r="BT449" s="78"/>
      <c r="BU449" s="78"/>
      <c r="BV449" s="78"/>
      <c r="BW449" s="78"/>
      <c r="BX449" s="78"/>
      <c r="BY449" s="78"/>
      <c r="BZ449" s="78"/>
      <c r="CA449" s="78"/>
      <c r="CB449" s="78">
        <v>603.27</v>
      </c>
      <c r="CC449" s="231">
        <f t="shared" si="1212"/>
        <v>33550</v>
      </c>
    </row>
    <row r="450" spans="2:81" s="3" customFormat="1" ht="15.75" thickBot="1" x14ac:dyDescent="0.3">
      <c r="B450" s="158">
        <v>33600</v>
      </c>
      <c r="C450" s="144">
        <f t="shared" si="1286"/>
        <v>7325.8275999999996</v>
      </c>
      <c r="D450" s="144">
        <f t="shared" si="1189"/>
        <v>31494.123500000002</v>
      </c>
      <c r="E450" s="144">
        <f t="shared" si="1206"/>
        <v>0</v>
      </c>
      <c r="F450" s="144">
        <f t="shared" si="1190"/>
        <v>2312.4108999999999</v>
      </c>
      <c r="G450" s="144">
        <f t="shared" si="1207"/>
        <v>0</v>
      </c>
      <c r="H450" s="144">
        <f t="shared" si="1208"/>
        <v>0</v>
      </c>
      <c r="I450" s="144">
        <f t="shared" si="1209"/>
        <v>0</v>
      </c>
      <c r="J450" s="159">
        <f t="shared" si="1210"/>
        <v>0</v>
      </c>
      <c r="K450" s="160">
        <f t="shared" si="1211"/>
        <v>645.14</v>
      </c>
      <c r="L450" s="152">
        <f t="shared" si="1287"/>
        <v>11832</v>
      </c>
      <c r="M450" s="144">
        <f t="shared" si="1288"/>
        <v>49561</v>
      </c>
      <c r="N450" s="144"/>
      <c r="O450" s="144">
        <f t="shared" si="1289"/>
        <v>3382</v>
      </c>
      <c r="P450" s="144">
        <f t="shared" si="1290"/>
        <v>0</v>
      </c>
      <c r="Q450" s="144">
        <f t="shared" si="1291"/>
        <v>0</v>
      </c>
      <c r="R450" s="144">
        <f t="shared" si="1292"/>
        <v>0</v>
      </c>
      <c r="S450" s="144">
        <f t="shared" si="1293"/>
        <v>0</v>
      </c>
      <c r="T450" s="144">
        <f t="shared" si="1213"/>
        <v>3468</v>
      </c>
      <c r="V450" s="150">
        <f>L449+L450</f>
        <v>23697</v>
      </c>
      <c r="W450" s="150">
        <f t="shared" ref="W450" si="1310">M449+M450</f>
        <v>83864</v>
      </c>
      <c r="X450" s="150"/>
      <c r="Y450" s="150">
        <f t="shared" ref="Y450" si="1311">O449+O450</f>
        <v>5836</v>
      </c>
      <c r="Z450" s="150">
        <f t="shared" ref="Z450" si="1312">P449+P450</f>
        <v>0</v>
      </c>
      <c r="AA450" s="150">
        <f t="shared" ref="AA450" si="1313">Q449+Q450</f>
        <v>0</v>
      </c>
      <c r="AB450" s="150">
        <f t="shared" ref="AB450" si="1314">R449+R450</f>
        <v>0</v>
      </c>
      <c r="AC450" s="150">
        <f t="shared" ref="AC450" si="1315">S449+S450</f>
        <v>0</v>
      </c>
      <c r="AD450" s="150">
        <f t="shared" ref="AD450" si="1316">T449+T450</f>
        <v>7066</v>
      </c>
      <c r="AF450" s="158">
        <f t="shared" si="1198"/>
        <v>33600</v>
      </c>
      <c r="AG450" s="186">
        <v>539.44560000000001</v>
      </c>
      <c r="AH450" s="186">
        <v>307.43770000000001</v>
      </c>
      <c r="AI450" s="186">
        <v>273.0308</v>
      </c>
      <c r="AJ450" s="186">
        <v>5840.9276</v>
      </c>
      <c r="AK450" s="186">
        <v>364.98590000000002</v>
      </c>
      <c r="AL450" s="149"/>
      <c r="AM450" s="149"/>
      <c r="AN450" s="149"/>
      <c r="AO450" s="149"/>
      <c r="AP450" s="149"/>
      <c r="AQ450" s="149"/>
      <c r="AR450" s="149"/>
      <c r="AS450" s="149"/>
      <c r="AT450" s="149"/>
      <c r="AU450" s="149"/>
      <c r="AV450" s="149"/>
      <c r="AW450" s="149"/>
      <c r="AX450" s="149">
        <v>31494.123500000002</v>
      </c>
      <c r="AY450" s="149"/>
      <c r="AZ450" s="149"/>
      <c r="BA450" s="149"/>
      <c r="BB450" s="149"/>
      <c r="BC450" s="149"/>
      <c r="BD450" s="149"/>
      <c r="BE450" s="149"/>
      <c r="BF450" s="149"/>
      <c r="BG450" s="149"/>
      <c r="BH450" s="149"/>
      <c r="BI450" s="149"/>
      <c r="BJ450" s="149"/>
      <c r="BK450" s="149">
        <v>2312.4108999999999</v>
      </c>
      <c r="BL450" s="149"/>
      <c r="BM450" s="149"/>
      <c r="BN450" s="149"/>
      <c r="BO450" s="149"/>
      <c r="BP450" s="149"/>
      <c r="BQ450" s="149"/>
      <c r="BR450" s="149"/>
      <c r="BS450" s="149"/>
      <c r="BT450" s="149"/>
      <c r="BU450" s="149"/>
      <c r="BV450" s="149"/>
      <c r="BW450" s="149"/>
      <c r="BX450" s="149"/>
      <c r="BY450" s="149"/>
      <c r="BZ450" s="149"/>
      <c r="CA450" s="149"/>
      <c r="CB450" s="149">
        <v>645.14</v>
      </c>
      <c r="CC450" s="231">
        <f t="shared" si="1212"/>
        <v>33600</v>
      </c>
    </row>
    <row r="451" spans="2:81" s="192" customFormat="1" ht="15.75" thickBot="1" x14ac:dyDescent="0.3">
      <c r="B451" s="187">
        <v>33650</v>
      </c>
      <c r="C451" s="188">
        <f t="shared" si="1286"/>
        <v>6142.8528000000006</v>
      </c>
      <c r="D451" s="188">
        <f t="shared" si="1189"/>
        <v>38079.593200000003</v>
      </c>
      <c r="E451" s="188">
        <f t="shared" si="1206"/>
        <v>0</v>
      </c>
      <c r="F451" s="188">
        <f t="shared" si="1190"/>
        <v>4794.7587999999996</v>
      </c>
      <c r="G451" s="188">
        <f t="shared" si="1207"/>
        <v>0</v>
      </c>
      <c r="H451" s="188">
        <f t="shared" si="1208"/>
        <v>0</v>
      </c>
      <c r="I451" s="188">
        <f t="shared" si="1209"/>
        <v>0</v>
      </c>
      <c r="J451" s="189">
        <f t="shared" si="1210"/>
        <v>0</v>
      </c>
      <c r="K451" s="190">
        <f t="shared" si="1211"/>
        <v>691.2</v>
      </c>
      <c r="L451" s="191">
        <f t="shared" si="1287"/>
        <v>12472</v>
      </c>
      <c r="M451" s="188">
        <f t="shared" si="1288"/>
        <v>64421</v>
      </c>
      <c r="N451" s="188"/>
      <c r="O451" s="188">
        <f>ROUNDUP(((F450+F451)*0.5)*(B451-B450)/27,0)</f>
        <v>6581</v>
      </c>
      <c r="P451" s="188">
        <f t="shared" si="1290"/>
        <v>0</v>
      </c>
      <c r="Q451" s="188">
        <f t="shared" si="1291"/>
        <v>0</v>
      </c>
      <c r="R451" s="188">
        <f t="shared" si="1292"/>
        <v>0</v>
      </c>
      <c r="S451" s="188">
        <f t="shared" si="1293"/>
        <v>0</v>
      </c>
      <c r="T451" s="188">
        <f t="shared" si="1213"/>
        <v>3713</v>
      </c>
      <c r="V451" s="150">
        <f t="shared" ref="V451:V459" si="1317">L451</f>
        <v>12472</v>
      </c>
      <c r="W451" s="150">
        <f t="shared" ref="W451:W459" si="1318">M451</f>
        <v>64421</v>
      </c>
      <c r="X451" s="150"/>
      <c r="Y451" s="150">
        <f t="shared" ref="Y451:Y459" si="1319">O451</f>
        <v>6581</v>
      </c>
      <c r="Z451" s="150">
        <f t="shared" ref="Z451:Z459" si="1320">P451</f>
        <v>0</v>
      </c>
      <c r="AA451" s="150">
        <f t="shared" ref="AA451:AA459" si="1321">Q451</f>
        <v>0</v>
      </c>
      <c r="AB451" s="150">
        <f t="shared" ref="AB451:AB459" si="1322">R451</f>
        <v>0</v>
      </c>
      <c r="AC451" s="150">
        <f t="shared" ref="AC451:AC459" si="1323">S451</f>
        <v>0</v>
      </c>
      <c r="AD451" s="150">
        <f t="shared" ref="AD451:AD459" si="1324">T451</f>
        <v>3713</v>
      </c>
      <c r="AF451" s="187">
        <f t="shared" si="1198"/>
        <v>33650</v>
      </c>
      <c r="AG451" s="194">
        <v>227.01910000000001</v>
      </c>
      <c r="AH451" s="194">
        <v>285.07400000000001</v>
      </c>
      <c r="AI451" s="194">
        <v>296.2527</v>
      </c>
      <c r="AJ451" s="194">
        <v>4742.5685000000003</v>
      </c>
      <c r="AK451" s="194">
        <v>591.93849999999998</v>
      </c>
      <c r="AL451" s="193"/>
      <c r="AM451" s="193"/>
      <c r="AN451" s="193"/>
      <c r="AO451" s="193"/>
      <c r="AP451" s="193"/>
      <c r="AQ451" s="193"/>
      <c r="AR451" s="193"/>
      <c r="AS451" s="193"/>
      <c r="AT451" s="193"/>
      <c r="AU451" s="193"/>
      <c r="AV451" s="193"/>
      <c r="AW451" s="193"/>
      <c r="AX451" s="193">
        <v>38079.593200000003</v>
      </c>
      <c r="AY451" s="193"/>
      <c r="AZ451" s="193"/>
      <c r="BA451" s="193"/>
      <c r="BB451" s="193"/>
      <c r="BC451" s="193"/>
      <c r="BD451" s="193"/>
      <c r="BE451" s="193"/>
      <c r="BF451" s="193"/>
      <c r="BG451" s="193"/>
      <c r="BH451" s="193"/>
      <c r="BI451" s="193"/>
      <c r="BJ451" s="193"/>
      <c r="BK451" s="193">
        <v>4794.7587999999996</v>
      </c>
      <c r="BL451" s="193"/>
      <c r="BM451" s="193"/>
      <c r="BN451" s="193"/>
      <c r="BO451" s="193"/>
      <c r="BP451" s="193"/>
      <c r="BQ451" s="193"/>
      <c r="BR451" s="193"/>
      <c r="BS451" s="193"/>
      <c r="BT451" s="193"/>
      <c r="BU451" s="193"/>
      <c r="BV451" s="193"/>
      <c r="BW451" s="193"/>
      <c r="BX451" s="193"/>
      <c r="BY451" s="193"/>
      <c r="BZ451" s="193"/>
      <c r="CA451" s="193"/>
      <c r="CB451" s="193">
        <v>691.2</v>
      </c>
      <c r="CC451" s="231">
        <f t="shared" si="1212"/>
        <v>33650</v>
      </c>
    </row>
    <row r="452" spans="2:81" s="192" customFormat="1" ht="15.75" thickBot="1" x14ac:dyDescent="0.3">
      <c r="B452" s="187">
        <v>33700</v>
      </c>
      <c r="C452" s="188">
        <f t="shared" si="1286"/>
        <v>5972.2309999999998</v>
      </c>
      <c r="D452" s="188">
        <f t="shared" si="1189"/>
        <v>44244.947200000002</v>
      </c>
      <c r="E452" s="188">
        <f t="shared" si="1206"/>
        <v>0</v>
      </c>
      <c r="F452" s="188">
        <f t="shared" si="1190"/>
        <v>7866.4422000000004</v>
      </c>
      <c r="G452" s="188">
        <f t="shared" si="1207"/>
        <v>0</v>
      </c>
      <c r="H452" s="188">
        <f t="shared" si="1208"/>
        <v>0</v>
      </c>
      <c r="I452" s="188">
        <f t="shared" si="1209"/>
        <v>0</v>
      </c>
      <c r="J452" s="189">
        <f t="shared" si="1210"/>
        <v>0</v>
      </c>
      <c r="K452" s="190">
        <f t="shared" si="1211"/>
        <v>725.61</v>
      </c>
      <c r="L452" s="191">
        <f t="shared" si="1287"/>
        <v>11218</v>
      </c>
      <c r="M452" s="188">
        <f t="shared" si="1288"/>
        <v>76227</v>
      </c>
      <c r="N452" s="188"/>
      <c r="O452" s="188">
        <f t="shared" si="1289"/>
        <v>11724</v>
      </c>
      <c r="P452" s="188">
        <f t="shared" si="1290"/>
        <v>0</v>
      </c>
      <c r="Q452" s="188">
        <f t="shared" si="1291"/>
        <v>0</v>
      </c>
      <c r="R452" s="188">
        <f t="shared" si="1292"/>
        <v>0</v>
      </c>
      <c r="S452" s="188">
        <f t="shared" si="1293"/>
        <v>0</v>
      </c>
      <c r="T452" s="188">
        <f t="shared" si="1213"/>
        <v>3936</v>
      </c>
      <c r="V452" s="150">
        <f t="shared" si="1317"/>
        <v>11218</v>
      </c>
      <c r="W452" s="150">
        <f t="shared" si="1318"/>
        <v>76227</v>
      </c>
      <c r="X452" s="150"/>
      <c r="Y452" s="150">
        <f t="shared" si="1319"/>
        <v>11724</v>
      </c>
      <c r="Z452" s="150">
        <f t="shared" si="1320"/>
        <v>0</v>
      </c>
      <c r="AA452" s="150">
        <f t="shared" si="1321"/>
        <v>0</v>
      </c>
      <c r="AB452" s="150">
        <f t="shared" si="1322"/>
        <v>0</v>
      </c>
      <c r="AC452" s="150">
        <f t="shared" si="1323"/>
        <v>0</v>
      </c>
      <c r="AD452" s="150">
        <f t="shared" si="1324"/>
        <v>3936</v>
      </c>
      <c r="AF452" s="187">
        <f t="shared" si="1198"/>
        <v>33700</v>
      </c>
      <c r="AG452" s="194">
        <v>87.147400000000005</v>
      </c>
      <c r="AH452" s="194">
        <v>209.9385</v>
      </c>
      <c r="AI452" s="194">
        <v>584.61540000000002</v>
      </c>
      <c r="AJ452" s="194">
        <v>4126.5114000000003</v>
      </c>
      <c r="AK452" s="194">
        <v>964.01829999999995</v>
      </c>
      <c r="AL452" s="193"/>
      <c r="AM452" s="193"/>
      <c r="AN452" s="193"/>
      <c r="AO452" s="193"/>
      <c r="AP452" s="193"/>
      <c r="AQ452" s="193"/>
      <c r="AR452" s="193"/>
      <c r="AS452" s="193"/>
      <c r="AT452" s="193"/>
      <c r="AU452" s="193"/>
      <c r="AV452" s="193"/>
      <c r="AW452" s="193"/>
      <c r="AX452" s="193">
        <v>44244.947200000002</v>
      </c>
      <c r="AY452" s="193"/>
      <c r="AZ452" s="193"/>
      <c r="BA452" s="193"/>
      <c r="BB452" s="193"/>
      <c r="BC452" s="193"/>
      <c r="BD452" s="193"/>
      <c r="BE452" s="193"/>
      <c r="BF452" s="193"/>
      <c r="BG452" s="193"/>
      <c r="BH452" s="193"/>
      <c r="BI452" s="193"/>
      <c r="BJ452" s="193"/>
      <c r="BK452" s="193">
        <v>7866.4422000000004</v>
      </c>
      <c r="BL452" s="193"/>
      <c r="BM452" s="193"/>
      <c r="BN452" s="193"/>
      <c r="BO452" s="193"/>
      <c r="BP452" s="193"/>
      <c r="BQ452" s="193"/>
      <c r="BR452" s="193"/>
      <c r="BS452" s="193"/>
      <c r="BT452" s="193"/>
      <c r="BU452" s="193"/>
      <c r="BV452" s="193"/>
      <c r="BW452" s="193"/>
      <c r="BX452" s="193"/>
      <c r="BY452" s="193"/>
      <c r="BZ452" s="193"/>
      <c r="CA452" s="193"/>
      <c r="CB452" s="193">
        <v>725.61</v>
      </c>
      <c r="CC452" s="231">
        <f t="shared" si="1212"/>
        <v>33700</v>
      </c>
    </row>
    <row r="453" spans="2:81" s="192" customFormat="1" ht="15.75" thickBot="1" x14ac:dyDescent="0.3">
      <c r="B453" s="187">
        <v>33750</v>
      </c>
      <c r="C453" s="188">
        <f t="shared" si="1286"/>
        <v>8342.0192000000006</v>
      </c>
      <c r="D453" s="188">
        <f t="shared" si="1189"/>
        <v>51353.587200000002</v>
      </c>
      <c r="E453" s="188">
        <f t="shared" si="1206"/>
        <v>0</v>
      </c>
      <c r="F453" s="188">
        <f t="shared" si="1190"/>
        <v>7928.4155000000001</v>
      </c>
      <c r="G453" s="188">
        <f t="shared" si="1207"/>
        <v>0</v>
      </c>
      <c r="H453" s="188">
        <f t="shared" si="1208"/>
        <v>0</v>
      </c>
      <c r="I453" s="188">
        <f t="shared" si="1209"/>
        <v>0</v>
      </c>
      <c r="J453" s="189">
        <f t="shared" si="1210"/>
        <v>0</v>
      </c>
      <c r="K453" s="190">
        <f t="shared" si="1211"/>
        <v>785.88</v>
      </c>
      <c r="L453" s="191">
        <f t="shared" si="1287"/>
        <v>13254</v>
      </c>
      <c r="M453" s="188">
        <f t="shared" si="1288"/>
        <v>88518</v>
      </c>
      <c r="N453" s="188"/>
      <c r="O453" s="188">
        <f t="shared" si="1289"/>
        <v>14625</v>
      </c>
      <c r="P453" s="188">
        <f t="shared" si="1290"/>
        <v>0</v>
      </c>
      <c r="Q453" s="188">
        <f t="shared" si="1291"/>
        <v>0</v>
      </c>
      <c r="R453" s="188">
        <f t="shared" si="1292"/>
        <v>0</v>
      </c>
      <c r="S453" s="188">
        <f t="shared" si="1293"/>
        <v>0</v>
      </c>
      <c r="T453" s="188">
        <f t="shared" si="1213"/>
        <v>4199</v>
      </c>
      <c r="V453" s="150">
        <f t="shared" si="1317"/>
        <v>13254</v>
      </c>
      <c r="W453" s="150">
        <f t="shared" si="1318"/>
        <v>88518</v>
      </c>
      <c r="X453" s="150"/>
      <c r="Y453" s="150">
        <f t="shared" si="1319"/>
        <v>14625</v>
      </c>
      <c r="Z453" s="150">
        <f t="shared" si="1320"/>
        <v>0</v>
      </c>
      <c r="AA453" s="150">
        <f t="shared" si="1321"/>
        <v>0</v>
      </c>
      <c r="AB453" s="150">
        <f t="shared" si="1322"/>
        <v>0</v>
      </c>
      <c r="AC453" s="150">
        <f t="shared" si="1323"/>
        <v>0</v>
      </c>
      <c r="AD453" s="150">
        <f t="shared" si="1324"/>
        <v>4199</v>
      </c>
      <c r="AF453" s="187">
        <f t="shared" si="1198"/>
        <v>33750</v>
      </c>
      <c r="AG453" s="194">
        <v>830.31500000000005</v>
      </c>
      <c r="AH453" s="194">
        <v>123.2174</v>
      </c>
      <c r="AI453" s="194">
        <v>4709.6656000000003</v>
      </c>
      <c r="AJ453" s="194">
        <v>2678.8211999999999</v>
      </c>
      <c r="AK453" s="193"/>
      <c r="AL453" s="193"/>
      <c r="AM453" s="193"/>
      <c r="AN453" s="193"/>
      <c r="AO453" s="193"/>
      <c r="AP453" s="193"/>
      <c r="AQ453" s="193"/>
      <c r="AR453" s="193"/>
      <c r="AS453" s="193"/>
      <c r="AT453" s="193"/>
      <c r="AU453" s="193"/>
      <c r="AV453" s="193"/>
      <c r="AW453" s="193"/>
      <c r="AX453" s="193">
        <v>51353.587200000002</v>
      </c>
      <c r="AY453" s="193"/>
      <c r="AZ453" s="193"/>
      <c r="BA453" s="193"/>
      <c r="BB453" s="193"/>
      <c r="BC453" s="193"/>
      <c r="BD453" s="193"/>
      <c r="BE453" s="193"/>
      <c r="BF453" s="193"/>
      <c r="BG453" s="193"/>
      <c r="BH453" s="193"/>
      <c r="BI453" s="193"/>
      <c r="BJ453" s="193"/>
      <c r="BK453" s="193">
        <v>7928.4155000000001</v>
      </c>
      <c r="BL453" s="193"/>
      <c r="BM453" s="193"/>
      <c r="BN453" s="193"/>
      <c r="BO453" s="193"/>
      <c r="BP453" s="193"/>
      <c r="BQ453" s="193"/>
      <c r="BR453" s="193"/>
      <c r="BS453" s="193"/>
      <c r="BT453" s="193"/>
      <c r="BU453" s="193"/>
      <c r="BV453" s="193"/>
      <c r="BW453" s="193"/>
      <c r="BX453" s="193"/>
      <c r="BY453" s="193"/>
      <c r="BZ453" s="193"/>
      <c r="CA453" s="193"/>
      <c r="CB453" s="193">
        <v>785.88</v>
      </c>
      <c r="CC453" s="231">
        <f t="shared" si="1212"/>
        <v>33750</v>
      </c>
    </row>
    <row r="454" spans="2:81" s="192" customFormat="1" ht="15.75" thickBot="1" x14ac:dyDescent="0.3">
      <c r="B454" s="187">
        <v>33800</v>
      </c>
      <c r="C454" s="188">
        <f t="shared" si="1286"/>
        <v>68857.151299999998</v>
      </c>
      <c r="D454" s="188">
        <f t="shared" si="1189"/>
        <v>60166.452899999997</v>
      </c>
      <c r="E454" s="188">
        <f t="shared" si="1206"/>
        <v>0</v>
      </c>
      <c r="F454" s="188">
        <f t="shared" si="1190"/>
        <v>2415.9061000000002</v>
      </c>
      <c r="G454" s="188">
        <f t="shared" si="1207"/>
        <v>0</v>
      </c>
      <c r="H454" s="188">
        <f t="shared" si="1208"/>
        <v>0</v>
      </c>
      <c r="I454" s="188">
        <f t="shared" si="1209"/>
        <v>0</v>
      </c>
      <c r="J454" s="189">
        <f t="shared" si="1210"/>
        <v>0</v>
      </c>
      <c r="K454" s="190">
        <f t="shared" si="1211"/>
        <v>796.25</v>
      </c>
      <c r="L454" s="191">
        <f t="shared" si="1287"/>
        <v>71481</v>
      </c>
      <c r="M454" s="188">
        <f t="shared" si="1288"/>
        <v>103260</v>
      </c>
      <c r="N454" s="188"/>
      <c r="O454" s="188">
        <f t="shared" si="1289"/>
        <v>9579</v>
      </c>
      <c r="P454" s="188">
        <f t="shared" si="1290"/>
        <v>0</v>
      </c>
      <c r="Q454" s="188">
        <f t="shared" si="1291"/>
        <v>0</v>
      </c>
      <c r="R454" s="188">
        <f t="shared" si="1292"/>
        <v>0</v>
      </c>
      <c r="S454" s="188">
        <f t="shared" si="1293"/>
        <v>0</v>
      </c>
      <c r="T454" s="188">
        <f t="shared" si="1213"/>
        <v>4395</v>
      </c>
      <c r="V454" s="150">
        <f t="shared" si="1317"/>
        <v>71481</v>
      </c>
      <c r="W454" s="150">
        <f t="shared" si="1318"/>
        <v>103260</v>
      </c>
      <c r="X454" s="150"/>
      <c r="Y454" s="150">
        <f t="shared" si="1319"/>
        <v>9579</v>
      </c>
      <c r="Z454" s="150">
        <f t="shared" si="1320"/>
        <v>0</v>
      </c>
      <c r="AA454" s="150">
        <f t="shared" si="1321"/>
        <v>0</v>
      </c>
      <c r="AB454" s="150">
        <f t="shared" si="1322"/>
        <v>0</v>
      </c>
      <c r="AC454" s="150">
        <f t="shared" si="1323"/>
        <v>0</v>
      </c>
      <c r="AD454" s="150">
        <f t="shared" si="1324"/>
        <v>4395</v>
      </c>
      <c r="AF454" s="187">
        <f t="shared" si="1198"/>
        <v>33800</v>
      </c>
      <c r="AG454" s="194">
        <v>758.30160000000001</v>
      </c>
      <c r="AH454" s="194">
        <v>5516.4907000000003</v>
      </c>
      <c r="AI454" s="194">
        <v>60166.452899999997</v>
      </c>
      <c r="AJ454" s="194">
        <v>2415.9061000000002</v>
      </c>
      <c r="AK454" s="193"/>
      <c r="AL454" s="193"/>
      <c r="AM454" s="193"/>
      <c r="AN454" s="193"/>
      <c r="AO454" s="193"/>
      <c r="AP454" s="193"/>
      <c r="AQ454" s="193"/>
      <c r="AR454" s="193"/>
      <c r="AS454" s="193"/>
      <c r="AT454" s="193"/>
      <c r="AU454" s="193"/>
      <c r="AV454" s="193"/>
      <c r="AW454" s="193"/>
      <c r="AX454" s="193">
        <v>60166.452899999997</v>
      </c>
      <c r="AY454" s="193"/>
      <c r="AZ454" s="193"/>
      <c r="BA454" s="193"/>
      <c r="BB454" s="193"/>
      <c r="BC454" s="193"/>
      <c r="BD454" s="193"/>
      <c r="BE454" s="193"/>
      <c r="BF454" s="193"/>
      <c r="BG454" s="193"/>
      <c r="BH454" s="193"/>
      <c r="BI454" s="193"/>
      <c r="BJ454" s="193"/>
      <c r="BK454" s="193">
        <v>2415.9061000000002</v>
      </c>
      <c r="BL454" s="193"/>
      <c r="BM454" s="193"/>
      <c r="BN454" s="193"/>
      <c r="BO454" s="193"/>
      <c r="BP454" s="193"/>
      <c r="BQ454" s="193"/>
      <c r="BR454" s="193"/>
      <c r="BS454" s="193"/>
      <c r="BT454" s="193"/>
      <c r="BU454" s="193"/>
      <c r="BV454" s="193"/>
      <c r="BW454" s="193"/>
      <c r="BX454" s="193"/>
      <c r="BY454" s="193"/>
      <c r="BZ454" s="193"/>
      <c r="CA454" s="193"/>
      <c r="CB454" s="193">
        <v>796.25</v>
      </c>
      <c r="CC454" s="231">
        <f t="shared" si="1212"/>
        <v>33800</v>
      </c>
    </row>
    <row r="455" spans="2:81" s="192" customFormat="1" ht="15.75" thickBot="1" x14ac:dyDescent="0.3">
      <c r="B455" s="187">
        <v>33850</v>
      </c>
      <c r="C455" s="188">
        <f t="shared" si="1286"/>
        <v>0</v>
      </c>
      <c r="D455" s="188">
        <f t="shared" si="1189"/>
        <v>59577.5023</v>
      </c>
      <c r="E455" s="188">
        <f t="shared" si="1206"/>
        <v>0</v>
      </c>
      <c r="F455" s="188">
        <f t="shared" si="1190"/>
        <v>53.240200000000002</v>
      </c>
      <c r="G455" s="188">
        <f t="shared" si="1207"/>
        <v>0</v>
      </c>
      <c r="H455" s="188">
        <f t="shared" si="1208"/>
        <v>0</v>
      </c>
      <c r="I455" s="188">
        <f t="shared" si="1209"/>
        <v>0</v>
      </c>
      <c r="J455" s="189">
        <f t="shared" si="1210"/>
        <v>0</v>
      </c>
      <c r="K455" s="190">
        <f t="shared" si="1211"/>
        <v>808.23</v>
      </c>
      <c r="L455" s="191">
        <f t="shared" si="1287"/>
        <v>63757</v>
      </c>
      <c r="M455" s="188">
        <f t="shared" si="1288"/>
        <v>110875</v>
      </c>
      <c r="N455" s="188"/>
      <c r="O455" s="188">
        <f t="shared" si="1289"/>
        <v>2287</v>
      </c>
      <c r="P455" s="188">
        <f t="shared" si="1290"/>
        <v>0</v>
      </c>
      <c r="Q455" s="188">
        <f t="shared" si="1291"/>
        <v>0</v>
      </c>
      <c r="R455" s="188">
        <f t="shared" si="1292"/>
        <v>0</v>
      </c>
      <c r="S455" s="188">
        <f t="shared" si="1293"/>
        <v>0</v>
      </c>
      <c r="T455" s="188">
        <f t="shared" si="1213"/>
        <v>4457</v>
      </c>
      <c r="V455" s="150">
        <f t="shared" si="1317"/>
        <v>63757</v>
      </c>
      <c r="W455" s="150">
        <f t="shared" si="1318"/>
        <v>110875</v>
      </c>
      <c r="X455" s="150"/>
      <c r="Y455" s="150">
        <f t="shared" si="1319"/>
        <v>2287</v>
      </c>
      <c r="Z455" s="150">
        <f t="shared" si="1320"/>
        <v>0</v>
      </c>
      <c r="AA455" s="150">
        <f t="shared" si="1321"/>
        <v>0</v>
      </c>
      <c r="AB455" s="150">
        <f t="shared" si="1322"/>
        <v>0</v>
      </c>
      <c r="AC455" s="150">
        <f t="shared" si="1323"/>
        <v>0</v>
      </c>
      <c r="AD455" s="150">
        <f t="shared" si="1324"/>
        <v>4457</v>
      </c>
      <c r="AF455" s="187">
        <f t="shared" si="1198"/>
        <v>33850</v>
      </c>
      <c r="AG455" s="193"/>
      <c r="AH455" s="193"/>
      <c r="AI455" s="193"/>
      <c r="AJ455" s="193"/>
      <c r="AK455" s="193"/>
      <c r="AL455" s="193"/>
      <c r="AM455" s="193"/>
      <c r="AN455" s="193"/>
      <c r="AO455" s="193"/>
      <c r="AP455" s="193"/>
      <c r="AQ455" s="193"/>
      <c r="AR455" s="193"/>
      <c r="AS455" s="193"/>
      <c r="AT455" s="193"/>
      <c r="AU455" s="193"/>
      <c r="AV455" s="193"/>
      <c r="AW455" s="193"/>
      <c r="AX455" s="193">
        <v>59577.5023</v>
      </c>
      <c r="AY455" s="193"/>
      <c r="AZ455" s="193"/>
      <c r="BA455" s="193"/>
      <c r="BB455" s="193"/>
      <c r="BC455" s="193"/>
      <c r="BD455" s="193"/>
      <c r="BE455" s="193"/>
      <c r="BF455" s="193"/>
      <c r="BG455" s="193"/>
      <c r="BH455" s="193"/>
      <c r="BI455" s="193"/>
      <c r="BJ455" s="193"/>
      <c r="BK455" s="193">
        <v>53.240200000000002</v>
      </c>
      <c r="BL455" s="193"/>
      <c r="BM455" s="193"/>
      <c r="BN455" s="193"/>
      <c r="BO455" s="193"/>
      <c r="BP455" s="193"/>
      <c r="BQ455" s="193"/>
      <c r="BR455" s="193"/>
      <c r="BS455" s="193"/>
      <c r="BT455" s="193"/>
      <c r="BU455" s="193"/>
      <c r="BV455" s="193"/>
      <c r="BW455" s="193"/>
      <c r="BX455" s="193"/>
      <c r="BY455" s="193"/>
      <c r="BZ455" s="193"/>
      <c r="CA455" s="193"/>
      <c r="CB455" s="193">
        <v>808.23</v>
      </c>
      <c r="CC455" s="231">
        <f t="shared" si="1212"/>
        <v>33850</v>
      </c>
    </row>
    <row r="456" spans="2:81" s="192" customFormat="1" ht="15.75" thickBot="1" x14ac:dyDescent="0.3">
      <c r="B456" s="187">
        <v>33900</v>
      </c>
      <c r="C456" s="188">
        <f t="shared" si="1286"/>
        <v>0</v>
      </c>
      <c r="D456" s="188">
        <f t="shared" si="1189"/>
        <v>62924.071799999998</v>
      </c>
      <c r="E456" s="188">
        <f t="shared" si="1206"/>
        <v>0</v>
      </c>
      <c r="F456" s="188">
        <f t="shared" si="1190"/>
        <v>0</v>
      </c>
      <c r="G456" s="188">
        <f t="shared" si="1207"/>
        <v>0</v>
      </c>
      <c r="H456" s="188">
        <f t="shared" si="1208"/>
        <v>0</v>
      </c>
      <c r="I456" s="188">
        <f t="shared" si="1209"/>
        <v>0</v>
      </c>
      <c r="J456" s="189">
        <f t="shared" si="1210"/>
        <v>0</v>
      </c>
      <c r="K456" s="190">
        <f t="shared" si="1211"/>
        <v>784.43</v>
      </c>
      <c r="L456" s="191">
        <f t="shared" si="1287"/>
        <v>0</v>
      </c>
      <c r="M456" s="188">
        <f t="shared" si="1288"/>
        <v>113428</v>
      </c>
      <c r="N456" s="188"/>
      <c r="O456" s="188">
        <f t="shared" si="1289"/>
        <v>50</v>
      </c>
      <c r="P456" s="188">
        <f t="shared" si="1290"/>
        <v>0</v>
      </c>
      <c r="Q456" s="188">
        <f t="shared" si="1291"/>
        <v>0</v>
      </c>
      <c r="R456" s="188">
        <f t="shared" si="1292"/>
        <v>0</v>
      </c>
      <c r="S456" s="188">
        <f t="shared" si="1293"/>
        <v>0</v>
      </c>
      <c r="T456" s="188">
        <f t="shared" si="1213"/>
        <v>4425</v>
      </c>
      <c r="V456" s="150">
        <f t="shared" si="1317"/>
        <v>0</v>
      </c>
      <c r="W456" s="150">
        <f t="shared" si="1318"/>
        <v>113428</v>
      </c>
      <c r="X456" s="150"/>
      <c r="Y456" s="150">
        <f t="shared" si="1319"/>
        <v>50</v>
      </c>
      <c r="Z456" s="150">
        <f t="shared" si="1320"/>
        <v>0</v>
      </c>
      <c r="AA456" s="150">
        <f t="shared" si="1321"/>
        <v>0</v>
      </c>
      <c r="AB456" s="150">
        <f t="shared" si="1322"/>
        <v>0</v>
      </c>
      <c r="AC456" s="150">
        <f t="shared" si="1323"/>
        <v>0</v>
      </c>
      <c r="AD456" s="150">
        <f t="shared" si="1324"/>
        <v>4425</v>
      </c>
      <c r="AF456" s="187">
        <f t="shared" si="1198"/>
        <v>33900</v>
      </c>
      <c r="AG456" s="193"/>
      <c r="AH456" s="193"/>
      <c r="AI456" s="193"/>
      <c r="AJ456" s="193"/>
      <c r="AK456" s="193"/>
      <c r="AL456" s="193"/>
      <c r="AM456" s="193"/>
      <c r="AN456" s="193"/>
      <c r="AO456" s="193"/>
      <c r="AP456" s="193"/>
      <c r="AQ456" s="193"/>
      <c r="AR456" s="193"/>
      <c r="AS456" s="193"/>
      <c r="AT456" s="193"/>
      <c r="AU456" s="193"/>
      <c r="AV456" s="193"/>
      <c r="AW456" s="193"/>
      <c r="AX456" s="193">
        <v>62924.071799999998</v>
      </c>
      <c r="AY456" s="193"/>
      <c r="AZ456" s="193"/>
      <c r="BA456" s="193"/>
      <c r="BB456" s="193"/>
      <c r="BC456" s="193"/>
      <c r="BD456" s="193"/>
      <c r="BE456" s="193"/>
      <c r="BF456" s="193"/>
      <c r="BG456" s="193"/>
      <c r="BH456" s="193"/>
      <c r="BI456" s="193"/>
      <c r="BJ456" s="193"/>
      <c r="BK456" s="193"/>
      <c r="BL456" s="193"/>
      <c r="BM456" s="193"/>
      <c r="BN456" s="193"/>
      <c r="BO456" s="193"/>
      <c r="BP456" s="193"/>
      <c r="BQ456" s="193"/>
      <c r="BR456" s="193"/>
      <c r="BS456" s="193"/>
      <c r="BT456" s="193"/>
      <c r="BU456" s="193"/>
      <c r="BV456" s="193"/>
      <c r="BW456" s="193"/>
      <c r="BX456" s="193"/>
      <c r="BY456" s="193"/>
      <c r="BZ456" s="193"/>
      <c r="CA456" s="193"/>
      <c r="CB456" s="193">
        <v>784.43</v>
      </c>
      <c r="CC456" s="231">
        <f t="shared" si="1212"/>
        <v>33900</v>
      </c>
    </row>
    <row r="457" spans="2:81" s="192" customFormat="1" ht="15.75" thickBot="1" x14ac:dyDescent="0.3">
      <c r="B457" s="187">
        <v>33950</v>
      </c>
      <c r="C457" s="188">
        <f t="shared" si="1286"/>
        <v>63.117699999999999</v>
      </c>
      <c r="D457" s="188">
        <f t="shared" si="1189"/>
        <v>61809.7425</v>
      </c>
      <c r="E457" s="188">
        <f t="shared" si="1206"/>
        <v>0</v>
      </c>
      <c r="F457" s="188">
        <f t="shared" si="1190"/>
        <v>0</v>
      </c>
      <c r="G457" s="188">
        <f t="shared" si="1207"/>
        <v>0</v>
      </c>
      <c r="H457" s="188">
        <f t="shared" si="1208"/>
        <v>0</v>
      </c>
      <c r="I457" s="188">
        <f t="shared" si="1209"/>
        <v>0</v>
      </c>
      <c r="J457" s="189">
        <f t="shared" si="1210"/>
        <v>0</v>
      </c>
      <c r="K457" s="190">
        <f t="shared" si="1211"/>
        <v>798.95</v>
      </c>
      <c r="L457" s="191">
        <f t="shared" si="1287"/>
        <v>59</v>
      </c>
      <c r="M457" s="188">
        <f t="shared" si="1288"/>
        <v>115495</v>
      </c>
      <c r="N457" s="188"/>
      <c r="O457" s="188">
        <f t="shared" si="1289"/>
        <v>0</v>
      </c>
      <c r="P457" s="188">
        <f t="shared" si="1290"/>
        <v>0</v>
      </c>
      <c r="Q457" s="188">
        <f t="shared" si="1291"/>
        <v>0</v>
      </c>
      <c r="R457" s="188">
        <f t="shared" si="1292"/>
        <v>0</v>
      </c>
      <c r="S457" s="188">
        <f t="shared" si="1293"/>
        <v>0</v>
      </c>
      <c r="T457" s="188">
        <f t="shared" si="1213"/>
        <v>4399</v>
      </c>
      <c r="V457" s="150">
        <f t="shared" si="1317"/>
        <v>59</v>
      </c>
      <c r="W457" s="150">
        <f t="shared" si="1318"/>
        <v>115495</v>
      </c>
      <c r="X457" s="150"/>
      <c r="Y457" s="150">
        <f t="shared" si="1319"/>
        <v>0</v>
      </c>
      <c r="Z457" s="150">
        <f t="shared" si="1320"/>
        <v>0</v>
      </c>
      <c r="AA457" s="150">
        <f t="shared" si="1321"/>
        <v>0</v>
      </c>
      <c r="AB457" s="150">
        <f t="shared" si="1322"/>
        <v>0</v>
      </c>
      <c r="AC457" s="150">
        <f t="shared" si="1323"/>
        <v>0</v>
      </c>
      <c r="AD457" s="150">
        <f t="shared" si="1324"/>
        <v>4399</v>
      </c>
      <c r="AF457" s="187">
        <f t="shared" si="1198"/>
        <v>33950</v>
      </c>
      <c r="AG457" s="193">
        <v>63.117699999999999</v>
      </c>
      <c r="AH457" s="193"/>
      <c r="AI457" s="193"/>
      <c r="AJ457" s="193"/>
      <c r="AK457" s="193"/>
      <c r="AL457" s="193"/>
      <c r="AM457" s="193"/>
      <c r="AN457" s="193"/>
      <c r="AO457" s="193"/>
      <c r="AP457" s="193"/>
      <c r="AQ457" s="193"/>
      <c r="AR457" s="193"/>
      <c r="AS457" s="193"/>
      <c r="AT457" s="193"/>
      <c r="AU457" s="193"/>
      <c r="AV457" s="193"/>
      <c r="AW457" s="193"/>
      <c r="AX457" s="193">
        <v>61809.7425</v>
      </c>
      <c r="AY457" s="193"/>
      <c r="AZ457" s="193"/>
      <c r="BA457" s="193"/>
      <c r="BB457" s="193"/>
      <c r="BC457" s="193"/>
      <c r="BD457" s="193"/>
      <c r="BE457" s="193"/>
      <c r="BF457" s="193"/>
      <c r="BG457" s="193"/>
      <c r="BH457" s="193"/>
      <c r="BI457" s="193"/>
      <c r="BJ457" s="193"/>
      <c r="BK457" s="193"/>
      <c r="BL457" s="193"/>
      <c r="BM457" s="193"/>
      <c r="BN457" s="193"/>
      <c r="BO457" s="193"/>
      <c r="BP457" s="193"/>
      <c r="BQ457" s="193"/>
      <c r="BR457" s="193"/>
      <c r="BS457" s="193"/>
      <c r="BT457" s="193"/>
      <c r="BU457" s="193"/>
      <c r="BV457" s="193"/>
      <c r="BW457" s="193"/>
      <c r="BX457" s="193"/>
      <c r="BY457" s="193"/>
      <c r="BZ457" s="193"/>
      <c r="CA457" s="193"/>
      <c r="CB457" s="193">
        <v>798.95</v>
      </c>
      <c r="CC457" s="231">
        <f t="shared" si="1212"/>
        <v>33950</v>
      </c>
    </row>
    <row r="458" spans="2:81" s="192" customFormat="1" ht="15.75" thickBot="1" x14ac:dyDescent="0.3">
      <c r="B458" s="187">
        <v>34000</v>
      </c>
      <c r="C458" s="188">
        <f t="shared" si="1286"/>
        <v>60.312600000000003</v>
      </c>
      <c r="D458" s="188">
        <f t="shared" si="1189"/>
        <v>55478.109299999996</v>
      </c>
      <c r="E458" s="188">
        <f t="shared" si="1206"/>
        <v>0</v>
      </c>
      <c r="F458" s="188">
        <f t="shared" si="1190"/>
        <v>0</v>
      </c>
      <c r="G458" s="188">
        <f t="shared" si="1207"/>
        <v>0</v>
      </c>
      <c r="H458" s="188">
        <f t="shared" si="1208"/>
        <v>0</v>
      </c>
      <c r="I458" s="188">
        <f t="shared" si="1209"/>
        <v>0</v>
      </c>
      <c r="J458" s="189">
        <f t="shared" si="1210"/>
        <v>0</v>
      </c>
      <c r="K458" s="190">
        <f t="shared" si="1211"/>
        <v>780.47</v>
      </c>
      <c r="L458" s="191">
        <f t="shared" si="1287"/>
        <v>115</v>
      </c>
      <c r="M458" s="188">
        <f t="shared" si="1288"/>
        <v>108600</v>
      </c>
      <c r="N458" s="188"/>
      <c r="O458" s="188">
        <f t="shared" si="1289"/>
        <v>0</v>
      </c>
      <c r="P458" s="188">
        <f t="shared" si="1290"/>
        <v>0</v>
      </c>
      <c r="Q458" s="188">
        <f t="shared" si="1291"/>
        <v>0</v>
      </c>
      <c r="R458" s="188">
        <f t="shared" si="1292"/>
        <v>0</v>
      </c>
      <c r="S458" s="188">
        <f t="shared" si="1293"/>
        <v>0</v>
      </c>
      <c r="T458" s="188">
        <f t="shared" si="1213"/>
        <v>4388</v>
      </c>
      <c r="V458" s="150">
        <f t="shared" si="1317"/>
        <v>115</v>
      </c>
      <c r="W458" s="150">
        <f t="shared" si="1318"/>
        <v>108600</v>
      </c>
      <c r="X458" s="150"/>
      <c r="Y458" s="150">
        <f t="shared" si="1319"/>
        <v>0</v>
      </c>
      <c r="Z458" s="150">
        <f t="shared" si="1320"/>
        <v>0</v>
      </c>
      <c r="AA458" s="150">
        <f t="shared" si="1321"/>
        <v>0</v>
      </c>
      <c r="AB458" s="150">
        <f t="shared" si="1322"/>
        <v>0</v>
      </c>
      <c r="AC458" s="150">
        <f t="shared" si="1323"/>
        <v>0</v>
      </c>
      <c r="AD458" s="150">
        <f t="shared" si="1324"/>
        <v>4388</v>
      </c>
      <c r="AF458" s="187">
        <f t="shared" si="1198"/>
        <v>34000</v>
      </c>
      <c r="AG458" s="193">
        <v>60.312600000000003</v>
      </c>
      <c r="AH458" s="193"/>
      <c r="AI458" s="193"/>
      <c r="AJ458" s="193"/>
      <c r="AK458" s="193"/>
      <c r="AL458" s="193"/>
      <c r="AM458" s="193"/>
      <c r="AN458" s="193"/>
      <c r="AO458" s="193"/>
      <c r="AP458" s="193"/>
      <c r="AQ458" s="193"/>
      <c r="AR458" s="193"/>
      <c r="AS458" s="193"/>
      <c r="AT458" s="193"/>
      <c r="AU458" s="193"/>
      <c r="AV458" s="193"/>
      <c r="AW458" s="193"/>
      <c r="AX458" s="193">
        <v>55478.109299999996</v>
      </c>
      <c r="AY458" s="193"/>
      <c r="AZ458" s="193"/>
      <c r="BA458" s="193"/>
      <c r="BB458" s="193"/>
      <c r="BC458" s="193"/>
      <c r="BD458" s="193"/>
      <c r="BE458" s="193"/>
      <c r="BF458" s="193"/>
      <c r="BG458" s="193"/>
      <c r="BH458" s="193"/>
      <c r="BI458" s="193"/>
      <c r="BJ458" s="193"/>
      <c r="BK458" s="193"/>
      <c r="BL458" s="193"/>
      <c r="BM458" s="193"/>
      <c r="BN458" s="193"/>
      <c r="BO458" s="193"/>
      <c r="BP458" s="193"/>
      <c r="BQ458" s="193"/>
      <c r="BR458" s="193"/>
      <c r="BS458" s="193"/>
      <c r="BT458" s="193"/>
      <c r="BU458" s="193"/>
      <c r="BV458" s="193"/>
      <c r="BW458" s="193"/>
      <c r="BX458" s="193"/>
      <c r="BY458" s="193"/>
      <c r="BZ458" s="193"/>
      <c r="CA458" s="193"/>
      <c r="CB458" s="193">
        <v>780.47</v>
      </c>
      <c r="CC458" s="231">
        <f t="shared" si="1212"/>
        <v>34000</v>
      </c>
    </row>
    <row r="459" spans="2:81" s="192" customFormat="1" ht="15.75" thickBot="1" x14ac:dyDescent="0.3">
      <c r="B459" s="187">
        <v>34050</v>
      </c>
      <c r="C459" s="188">
        <f t="shared" si="1286"/>
        <v>131.70529999999999</v>
      </c>
      <c r="D459" s="188">
        <f t="shared" si="1189"/>
        <v>47835.8583</v>
      </c>
      <c r="E459" s="188">
        <f t="shared" si="1206"/>
        <v>0</v>
      </c>
      <c r="F459" s="188">
        <f t="shared" si="1190"/>
        <v>0</v>
      </c>
      <c r="G459" s="188">
        <f t="shared" si="1207"/>
        <v>0</v>
      </c>
      <c r="H459" s="188">
        <f t="shared" si="1208"/>
        <v>0</v>
      </c>
      <c r="I459" s="188">
        <f t="shared" si="1209"/>
        <v>0</v>
      </c>
      <c r="J459" s="189">
        <f t="shared" si="1210"/>
        <v>0</v>
      </c>
      <c r="K459" s="190">
        <f t="shared" si="1211"/>
        <v>758.51</v>
      </c>
      <c r="L459" s="191">
        <f t="shared" si="1287"/>
        <v>178</v>
      </c>
      <c r="M459" s="188">
        <f t="shared" si="1288"/>
        <v>95662</v>
      </c>
      <c r="N459" s="188"/>
      <c r="O459" s="188">
        <f t="shared" si="1289"/>
        <v>0</v>
      </c>
      <c r="P459" s="188">
        <f t="shared" si="1290"/>
        <v>0</v>
      </c>
      <c r="Q459" s="188">
        <f t="shared" si="1291"/>
        <v>0</v>
      </c>
      <c r="R459" s="188">
        <f t="shared" si="1292"/>
        <v>0</v>
      </c>
      <c r="S459" s="188">
        <f t="shared" si="1293"/>
        <v>0</v>
      </c>
      <c r="T459" s="188">
        <f t="shared" si="1213"/>
        <v>4275</v>
      </c>
      <c r="V459" s="150">
        <f t="shared" si="1317"/>
        <v>178</v>
      </c>
      <c r="W459" s="150">
        <f t="shared" si="1318"/>
        <v>95662</v>
      </c>
      <c r="X459" s="150"/>
      <c r="Y459" s="150">
        <f t="shared" si="1319"/>
        <v>0</v>
      </c>
      <c r="Z459" s="150">
        <f t="shared" si="1320"/>
        <v>0</v>
      </c>
      <c r="AA459" s="150">
        <f t="shared" si="1321"/>
        <v>0</v>
      </c>
      <c r="AB459" s="150">
        <f t="shared" si="1322"/>
        <v>0</v>
      </c>
      <c r="AC459" s="150">
        <f t="shared" si="1323"/>
        <v>0</v>
      </c>
      <c r="AD459" s="150">
        <f t="shared" si="1324"/>
        <v>4275</v>
      </c>
      <c r="AF459" s="187">
        <f t="shared" si="1198"/>
        <v>34050</v>
      </c>
      <c r="AG459" s="193">
        <v>107.7283</v>
      </c>
      <c r="AH459" s="193">
        <v>23.977</v>
      </c>
      <c r="AI459" s="193"/>
      <c r="AJ459" s="193"/>
      <c r="AK459" s="193"/>
      <c r="AL459" s="193"/>
      <c r="AM459" s="193"/>
      <c r="AN459" s="193"/>
      <c r="AO459" s="193"/>
      <c r="AP459" s="193"/>
      <c r="AQ459" s="193"/>
      <c r="AR459" s="193"/>
      <c r="AS459" s="193"/>
      <c r="AT459" s="193"/>
      <c r="AU459" s="193"/>
      <c r="AV459" s="193"/>
      <c r="AW459" s="193"/>
      <c r="AX459" s="193">
        <v>47835.8583</v>
      </c>
      <c r="AY459" s="193"/>
      <c r="AZ459" s="193"/>
      <c r="BA459" s="193"/>
      <c r="BB459" s="193"/>
      <c r="BC459" s="193"/>
      <c r="BD459" s="193"/>
      <c r="BE459" s="193"/>
      <c r="BF459" s="193"/>
      <c r="BG459" s="193"/>
      <c r="BH459" s="193"/>
      <c r="BI459" s="193"/>
      <c r="BJ459" s="193"/>
      <c r="BK459" s="193"/>
      <c r="BL459" s="193"/>
      <c r="BM459" s="193"/>
      <c r="BN459" s="193"/>
      <c r="BO459" s="193"/>
      <c r="BP459" s="193"/>
      <c r="BQ459" s="193"/>
      <c r="BR459" s="193"/>
      <c r="BS459" s="193"/>
      <c r="BT459" s="193"/>
      <c r="BU459" s="193"/>
      <c r="BV459" s="193"/>
      <c r="BW459" s="193"/>
      <c r="BX459" s="193"/>
      <c r="BY459" s="193"/>
      <c r="BZ459" s="193"/>
      <c r="CA459" s="193"/>
      <c r="CB459" s="193">
        <v>758.51</v>
      </c>
      <c r="CC459" s="231">
        <f t="shared" si="1212"/>
        <v>34050</v>
      </c>
    </row>
    <row r="460" spans="2:81" x14ac:dyDescent="0.25">
      <c r="B460" s="155">
        <v>34100</v>
      </c>
      <c r="C460" s="147">
        <f t="shared" si="1286"/>
        <v>8.8866999999999994</v>
      </c>
      <c r="D460" s="147">
        <f t="shared" si="1189"/>
        <v>30835.718000000001</v>
      </c>
      <c r="E460" s="147">
        <f t="shared" si="1206"/>
        <v>0</v>
      </c>
      <c r="F460" s="147">
        <f t="shared" si="1190"/>
        <v>0</v>
      </c>
      <c r="G460" s="147">
        <f t="shared" si="1207"/>
        <v>0</v>
      </c>
      <c r="H460" s="147">
        <f t="shared" si="1208"/>
        <v>0</v>
      </c>
      <c r="I460" s="147">
        <f t="shared" si="1209"/>
        <v>0</v>
      </c>
      <c r="J460" s="156">
        <f t="shared" si="1210"/>
        <v>0</v>
      </c>
      <c r="K460" s="157">
        <f t="shared" si="1211"/>
        <v>589.14</v>
      </c>
      <c r="L460" s="151">
        <f t="shared" si="1287"/>
        <v>131</v>
      </c>
      <c r="M460" s="147">
        <f t="shared" si="1288"/>
        <v>72845</v>
      </c>
      <c r="N460" s="147"/>
      <c r="O460" s="147">
        <f t="shared" si="1289"/>
        <v>0</v>
      </c>
      <c r="P460" s="147">
        <f t="shared" si="1290"/>
        <v>0</v>
      </c>
      <c r="Q460" s="147">
        <f t="shared" si="1291"/>
        <v>0</v>
      </c>
      <c r="R460" s="147">
        <f t="shared" si="1292"/>
        <v>0</v>
      </c>
      <c r="S460" s="147">
        <f t="shared" si="1293"/>
        <v>0</v>
      </c>
      <c r="T460" s="147">
        <f t="shared" si="1213"/>
        <v>3744</v>
      </c>
      <c r="V460" s="146"/>
      <c r="W460" s="147"/>
      <c r="X460" s="147"/>
      <c r="Y460" s="147"/>
      <c r="Z460" s="147"/>
      <c r="AA460" s="147"/>
      <c r="AB460" s="147"/>
      <c r="AC460" s="147"/>
      <c r="AD460" s="148"/>
      <c r="AF460" s="155">
        <f t="shared" si="1198"/>
        <v>34100</v>
      </c>
      <c r="AG460" s="78">
        <v>8.8866999999999994</v>
      </c>
      <c r="AH460" s="78"/>
      <c r="AI460" s="78"/>
      <c r="AJ460" s="78"/>
      <c r="AK460" s="78"/>
      <c r="AL460" s="78"/>
      <c r="AM460" s="78"/>
      <c r="AN460" s="78"/>
      <c r="AO460" s="78"/>
      <c r="AP460" s="78"/>
      <c r="AQ460" s="78"/>
      <c r="AR460" s="78"/>
      <c r="AS460" s="78"/>
      <c r="AT460" s="78"/>
      <c r="AU460" s="78"/>
      <c r="AV460" s="78"/>
      <c r="AW460" s="78"/>
      <c r="AX460" s="78">
        <v>30835.718000000001</v>
      </c>
      <c r="AY460" s="78"/>
      <c r="AZ460" s="78"/>
      <c r="BA460" s="78"/>
      <c r="BB460" s="78"/>
      <c r="BC460" s="78"/>
      <c r="BD460" s="78"/>
      <c r="BE460" s="78"/>
      <c r="BF460" s="78"/>
      <c r="BG460" s="78"/>
      <c r="BH460" s="78"/>
      <c r="BI460" s="78"/>
      <c r="BJ460" s="78"/>
      <c r="BK460" s="78"/>
      <c r="BL460" s="78"/>
      <c r="BM460" s="78"/>
      <c r="BN460" s="78"/>
      <c r="BO460" s="78"/>
      <c r="BP460" s="78"/>
      <c r="BQ460" s="78"/>
      <c r="BR460" s="78"/>
      <c r="BS460" s="78"/>
      <c r="BT460" s="78"/>
      <c r="BU460" s="78"/>
      <c r="BV460" s="78"/>
      <c r="BW460" s="78"/>
      <c r="BX460" s="78"/>
      <c r="BY460" s="78"/>
      <c r="BZ460" s="78"/>
      <c r="CA460" s="78"/>
      <c r="CB460" s="78">
        <v>589.14</v>
      </c>
      <c r="CC460" s="231">
        <f t="shared" si="1212"/>
        <v>34100</v>
      </c>
    </row>
    <row r="461" spans="2:81" s="3" customFormat="1" ht="15.75" thickBot="1" x14ac:dyDescent="0.3">
      <c r="B461" s="158">
        <v>34150</v>
      </c>
      <c r="C461" s="144">
        <f t="shared" si="1286"/>
        <v>25.146100000000001</v>
      </c>
      <c r="D461" s="144">
        <f t="shared" si="1189"/>
        <v>19088.673299999999</v>
      </c>
      <c r="E461" s="144">
        <f t="shared" si="1206"/>
        <v>0</v>
      </c>
      <c r="F461" s="144">
        <f t="shared" si="1190"/>
        <v>0</v>
      </c>
      <c r="G461" s="144">
        <f t="shared" si="1207"/>
        <v>0</v>
      </c>
      <c r="H461" s="144">
        <f t="shared" si="1208"/>
        <v>0</v>
      </c>
      <c r="I461" s="144">
        <f t="shared" si="1209"/>
        <v>0</v>
      </c>
      <c r="J461" s="159">
        <f t="shared" si="1210"/>
        <v>0</v>
      </c>
      <c r="K461" s="160">
        <f t="shared" si="1211"/>
        <v>466.29</v>
      </c>
      <c r="L461" s="152">
        <f t="shared" si="1287"/>
        <v>32</v>
      </c>
      <c r="M461" s="144">
        <f t="shared" si="1288"/>
        <v>46227</v>
      </c>
      <c r="N461" s="144"/>
      <c r="O461" s="144">
        <f t="shared" si="1289"/>
        <v>0</v>
      </c>
      <c r="P461" s="144">
        <f t="shared" si="1290"/>
        <v>0</v>
      </c>
      <c r="Q461" s="144">
        <f t="shared" si="1291"/>
        <v>0</v>
      </c>
      <c r="R461" s="144">
        <f t="shared" si="1292"/>
        <v>0</v>
      </c>
      <c r="S461" s="144">
        <f t="shared" si="1293"/>
        <v>0</v>
      </c>
      <c r="T461" s="144">
        <f t="shared" si="1213"/>
        <v>2932</v>
      </c>
      <c r="V461" s="150">
        <f>L460+L461</f>
        <v>163</v>
      </c>
      <c r="W461" s="150">
        <f t="shared" ref="W461" si="1325">M460+M461</f>
        <v>119072</v>
      </c>
      <c r="X461" s="150"/>
      <c r="Y461" s="150">
        <f t="shared" ref="Y461" si="1326">O460+O461</f>
        <v>0</v>
      </c>
      <c r="Z461" s="150">
        <f t="shared" ref="Z461" si="1327">P460+P461</f>
        <v>0</v>
      </c>
      <c r="AA461" s="150">
        <f t="shared" ref="AA461" si="1328">Q460+Q461</f>
        <v>0</v>
      </c>
      <c r="AB461" s="150">
        <f t="shared" ref="AB461" si="1329">R460+R461</f>
        <v>0</v>
      </c>
      <c r="AC461" s="150">
        <f t="shared" ref="AC461" si="1330">S460+S461</f>
        <v>0</v>
      </c>
      <c r="AD461" s="150">
        <f t="shared" ref="AD461" si="1331">T460+T461</f>
        <v>6676</v>
      </c>
      <c r="AF461" s="158">
        <f t="shared" si="1198"/>
        <v>34150</v>
      </c>
      <c r="AG461" s="149">
        <v>25.146100000000001</v>
      </c>
      <c r="AH461" s="149"/>
      <c r="AI461" s="149"/>
      <c r="AJ461" s="149"/>
      <c r="AK461" s="149"/>
      <c r="AL461" s="149"/>
      <c r="AM461" s="149"/>
      <c r="AN461" s="149"/>
      <c r="AO461" s="149"/>
      <c r="AP461" s="149"/>
      <c r="AQ461" s="149"/>
      <c r="AR461" s="149"/>
      <c r="AS461" s="149"/>
      <c r="AT461" s="149"/>
      <c r="AU461" s="149"/>
      <c r="AV461" s="149"/>
      <c r="AW461" s="149"/>
      <c r="AX461" s="149">
        <v>19088.673299999999</v>
      </c>
      <c r="AY461" s="149"/>
      <c r="AZ461" s="149"/>
      <c r="BA461" s="149"/>
      <c r="BB461" s="149"/>
      <c r="BC461" s="149"/>
      <c r="BD461" s="149"/>
      <c r="BE461" s="149"/>
      <c r="BF461" s="149"/>
      <c r="BG461" s="149"/>
      <c r="BH461" s="149"/>
      <c r="BI461" s="149"/>
      <c r="BJ461" s="149"/>
      <c r="BK461" s="149"/>
      <c r="BL461" s="149"/>
      <c r="BM461" s="149"/>
      <c r="BN461" s="149"/>
      <c r="BO461" s="149"/>
      <c r="BP461" s="149"/>
      <c r="BQ461" s="149"/>
      <c r="BR461" s="149"/>
      <c r="BS461" s="149"/>
      <c r="BT461" s="149"/>
      <c r="BU461" s="149"/>
      <c r="BV461" s="149"/>
      <c r="BW461" s="149"/>
      <c r="BX461" s="149"/>
      <c r="BY461" s="149"/>
      <c r="BZ461" s="149"/>
      <c r="CA461" s="149"/>
      <c r="CB461" s="149">
        <v>466.29</v>
      </c>
      <c r="CC461" s="231">
        <f t="shared" si="1212"/>
        <v>34150</v>
      </c>
    </row>
    <row r="462" spans="2:81" x14ac:dyDescent="0.25">
      <c r="B462" s="155">
        <v>34200</v>
      </c>
      <c r="C462" s="147">
        <f t="shared" si="1286"/>
        <v>49.157600000000002</v>
      </c>
      <c r="D462" s="147">
        <f t="shared" si="1189"/>
        <v>12308.3279</v>
      </c>
      <c r="E462" s="147">
        <f t="shared" si="1206"/>
        <v>0</v>
      </c>
      <c r="F462" s="147">
        <f t="shared" si="1190"/>
        <v>0</v>
      </c>
      <c r="G462" s="147">
        <f t="shared" si="1207"/>
        <v>0</v>
      </c>
      <c r="H462" s="147">
        <f t="shared" si="1208"/>
        <v>0</v>
      </c>
      <c r="I462" s="147">
        <f t="shared" si="1209"/>
        <v>0</v>
      </c>
      <c r="J462" s="156">
        <f t="shared" si="1210"/>
        <v>0</v>
      </c>
      <c r="K462" s="157">
        <f t="shared" si="1211"/>
        <v>386.28</v>
      </c>
      <c r="L462" s="151">
        <f t="shared" si="1287"/>
        <v>69</v>
      </c>
      <c r="M462" s="147">
        <f t="shared" si="1288"/>
        <v>29072</v>
      </c>
      <c r="N462" s="147"/>
      <c r="O462" s="147">
        <f t="shared" si="1289"/>
        <v>0</v>
      </c>
      <c r="P462" s="147">
        <f t="shared" si="1290"/>
        <v>0</v>
      </c>
      <c r="Q462" s="147">
        <f t="shared" si="1291"/>
        <v>0</v>
      </c>
      <c r="R462" s="147">
        <f t="shared" si="1292"/>
        <v>0</v>
      </c>
      <c r="S462" s="147">
        <f t="shared" si="1293"/>
        <v>0</v>
      </c>
      <c r="T462" s="147">
        <f t="shared" si="1213"/>
        <v>2369</v>
      </c>
      <c r="V462" s="146"/>
      <c r="W462" s="147"/>
      <c r="X462" s="147"/>
      <c r="Y462" s="147"/>
      <c r="Z462" s="147"/>
      <c r="AA462" s="147"/>
      <c r="AB462" s="147"/>
      <c r="AC462" s="147"/>
      <c r="AD462" s="148"/>
      <c r="AF462" s="155">
        <f t="shared" si="1198"/>
        <v>34200</v>
      </c>
      <c r="AG462" s="78">
        <v>49.157600000000002</v>
      </c>
      <c r="AH462" s="78"/>
      <c r="AI462" s="78"/>
      <c r="AJ462" s="78"/>
      <c r="AK462" s="78"/>
      <c r="AL462" s="78"/>
      <c r="AM462" s="78"/>
      <c r="AN462" s="78"/>
      <c r="AO462" s="78"/>
      <c r="AP462" s="78"/>
      <c r="AQ462" s="78"/>
      <c r="AR462" s="78"/>
      <c r="AS462" s="78"/>
      <c r="AT462" s="78"/>
      <c r="AU462" s="78"/>
      <c r="AV462" s="78"/>
      <c r="AW462" s="78"/>
      <c r="AX462" s="78">
        <v>12308.3279</v>
      </c>
      <c r="AY462" s="78"/>
      <c r="AZ462" s="78"/>
      <c r="BA462" s="78"/>
      <c r="BB462" s="78"/>
      <c r="BC462" s="78"/>
      <c r="BD462" s="78"/>
      <c r="BE462" s="78"/>
      <c r="BF462" s="78"/>
      <c r="BG462" s="78"/>
      <c r="BH462" s="78"/>
      <c r="BI462" s="78"/>
      <c r="BJ462" s="78"/>
      <c r="BK462" s="78"/>
      <c r="BL462" s="78"/>
      <c r="BM462" s="78"/>
      <c r="BN462" s="78"/>
      <c r="BO462" s="78"/>
      <c r="BP462" s="78"/>
      <c r="BQ462" s="78"/>
      <c r="BR462" s="78"/>
      <c r="BS462" s="78"/>
      <c r="BT462" s="78"/>
      <c r="BU462" s="78"/>
      <c r="BV462" s="78"/>
      <c r="BW462" s="78"/>
      <c r="BX462" s="78"/>
      <c r="BY462" s="78"/>
      <c r="BZ462" s="78"/>
      <c r="CA462" s="78"/>
      <c r="CB462" s="78">
        <v>386.28</v>
      </c>
      <c r="CC462" s="231">
        <f t="shared" si="1212"/>
        <v>34200</v>
      </c>
    </row>
    <row r="463" spans="2:81" x14ac:dyDescent="0.25">
      <c r="B463" s="57">
        <v>34250</v>
      </c>
      <c r="C463" s="58">
        <f t="shared" si="1286"/>
        <v>0</v>
      </c>
      <c r="D463" s="58">
        <f t="shared" si="1189"/>
        <v>5162.9691999999995</v>
      </c>
      <c r="E463" s="58">
        <f t="shared" si="1206"/>
        <v>0</v>
      </c>
      <c r="F463" s="58">
        <f t="shared" si="1190"/>
        <v>0</v>
      </c>
      <c r="G463" s="58">
        <f t="shared" si="1207"/>
        <v>0</v>
      </c>
      <c r="H463" s="58">
        <f t="shared" si="1208"/>
        <v>0</v>
      </c>
      <c r="I463" s="58">
        <f t="shared" si="1209"/>
        <v>0</v>
      </c>
      <c r="J463" s="51">
        <f t="shared" si="1210"/>
        <v>0</v>
      </c>
      <c r="K463" s="99">
        <f t="shared" si="1211"/>
        <v>236.35</v>
      </c>
      <c r="L463" s="105">
        <f t="shared" si="1287"/>
        <v>46</v>
      </c>
      <c r="M463" s="58">
        <f t="shared" si="1288"/>
        <v>16178</v>
      </c>
      <c r="N463" s="58"/>
      <c r="O463" s="58">
        <f t="shared" si="1289"/>
        <v>0</v>
      </c>
      <c r="P463" s="58">
        <f t="shared" si="1290"/>
        <v>0</v>
      </c>
      <c r="Q463" s="58">
        <f t="shared" si="1291"/>
        <v>0</v>
      </c>
      <c r="R463" s="58">
        <f t="shared" si="1292"/>
        <v>0</v>
      </c>
      <c r="S463" s="58">
        <f t="shared" si="1293"/>
        <v>0</v>
      </c>
      <c r="T463" s="58">
        <f t="shared" si="1213"/>
        <v>1730</v>
      </c>
      <c r="V463" s="137"/>
      <c r="W463" s="58"/>
      <c r="X463" s="58"/>
      <c r="Y463" s="58"/>
      <c r="Z463" s="58"/>
      <c r="AA463" s="58"/>
      <c r="AB463" s="58"/>
      <c r="AC463" s="58"/>
      <c r="AD463" s="138"/>
      <c r="AF463" s="57">
        <f t="shared" si="1198"/>
        <v>34250</v>
      </c>
      <c r="AG463" s="49"/>
      <c r="AH463" s="49"/>
      <c r="AI463" s="49"/>
      <c r="AJ463" s="49"/>
      <c r="AK463" s="49"/>
      <c r="AL463" s="49"/>
      <c r="AM463" s="49"/>
      <c r="AN463" s="49"/>
      <c r="AO463" s="49"/>
      <c r="AP463" s="49"/>
      <c r="AQ463" s="49"/>
      <c r="AR463" s="49"/>
      <c r="AS463" s="49"/>
      <c r="AT463" s="49"/>
      <c r="AU463" s="49"/>
      <c r="AV463" s="49"/>
      <c r="AW463" s="49"/>
      <c r="AX463" s="49">
        <v>5162.9691999999995</v>
      </c>
      <c r="AY463" s="49"/>
      <c r="AZ463" s="49"/>
      <c r="BA463" s="49"/>
      <c r="BB463" s="49"/>
      <c r="BC463" s="49"/>
      <c r="BD463" s="49"/>
      <c r="BE463" s="49"/>
      <c r="BF463" s="49"/>
      <c r="BG463" s="49"/>
      <c r="BH463" s="49"/>
      <c r="BI463" s="49"/>
      <c r="BJ463" s="49"/>
      <c r="BK463" s="49"/>
      <c r="BL463" s="49"/>
      <c r="BM463" s="49"/>
      <c r="BN463" s="49"/>
      <c r="BO463" s="49"/>
      <c r="BP463" s="49"/>
      <c r="BQ463" s="49"/>
      <c r="BR463" s="49"/>
      <c r="BS463" s="49"/>
      <c r="BT463" s="49"/>
      <c r="BU463" s="49"/>
      <c r="BV463" s="49"/>
      <c r="BW463" s="49"/>
      <c r="BX463" s="49"/>
      <c r="BY463" s="49"/>
      <c r="BZ463" s="49"/>
      <c r="CA463" s="49"/>
      <c r="CB463" s="49">
        <v>236.35</v>
      </c>
      <c r="CC463" s="231">
        <f t="shared" si="1212"/>
        <v>34250</v>
      </c>
    </row>
    <row r="464" spans="2:81" s="3" customFormat="1" ht="15.75" thickBot="1" x14ac:dyDescent="0.3">
      <c r="B464" s="158">
        <v>34300</v>
      </c>
      <c r="C464" s="144">
        <f t="shared" si="1286"/>
        <v>121.9246</v>
      </c>
      <c r="D464" s="144">
        <f t="shared" si="1189"/>
        <v>2490.7979</v>
      </c>
      <c r="E464" s="144">
        <f t="shared" si="1206"/>
        <v>0</v>
      </c>
      <c r="F464" s="144">
        <f t="shared" si="1190"/>
        <v>0</v>
      </c>
      <c r="G464" s="144">
        <f t="shared" si="1207"/>
        <v>0</v>
      </c>
      <c r="H464" s="144">
        <f t="shared" si="1208"/>
        <v>0</v>
      </c>
      <c r="I464" s="144">
        <f t="shared" si="1209"/>
        <v>0</v>
      </c>
      <c r="J464" s="159">
        <f t="shared" si="1210"/>
        <v>0</v>
      </c>
      <c r="K464" s="160">
        <f t="shared" si="1211"/>
        <v>200.99</v>
      </c>
      <c r="L464" s="152">
        <f t="shared" si="1287"/>
        <v>113</v>
      </c>
      <c r="M464" s="144">
        <f t="shared" si="1288"/>
        <v>7087</v>
      </c>
      <c r="N464" s="144"/>
      <c r="O464" s="144">
        <f t="shared" si="1289"/>
        <v>0</v>
      </c>
      <c r="P464" s="144">
        <f t="shared" si="1290"/>
        <v>0</v>
      </c>
      <c r="Q464" s="144">
        <f t="shared" si="1291"/>
        <v>0</v>
      </c>
      <c r="R464" s="144">
        <f t="shared" si="1292"/>
        <v>0</v>
      </c>
      <c r="S464" s="144">
        <f t="shared" si="1293"/>
        <v>0</v>
      </c>
      <c r="T464" s="144">
        <f t="shared" si="1213"/>
        <v>1215</v>
      </c>
      <c r="V464" s="150">
        <f>L462+L463+L464</f>
        <v>228</v>
      </c>
      <c r="W464" s="150">
        <f t="shared" ref="W464" si="1332">M462+M463+M464</f>
        <v>52337</v>
      </c>
      <c r="X464" s="150"/>
      <c r="Y464" s="150">
        <f t="shared" ref="Y464" si="1333">O462+O463+O464</f>
        <v>0</v>
      </c>
      <c r="Z464" s="150">
        <f t="shared" ref="Z464" si="1334">P462+P463+P464</f>
        <v>0</v>
      </c>
      <c r="AA464" s="150">
        <f t="shared" ref="AA464" si="1335">Q462+Q463+Q464</f>
        <v>0</v>
      </c>
      <c r="AB464" s="150">
        <f t="shared" ref="AB464" si="1336">R462+R463+R464</f>
        <v>0</v>
      </c>
      <c r="AC464" s="150">
        <f t="shared" ref="AC464" si="1337">S462+S463+S464</f>
        <v>0</v>
      </c>
      <c r="AD464" s="150">
        <f t="shared" ref="AD464" si="1338">T462+T463+T464</f>
        <v>5314</v>
      </c>
      <c r="AF464" s="158">
        <f t="shared" si="1198"/>
        <v>34300</v>
      </c>
      <c r="AG464" s="149">
        <v>52.127899999999997</v>
      </c>
      <c r="AH464" s="149">
        <v>69.796700000000001</v>
      </c>
      <c r="AI464" s="149"/>
      <c r="AJ464" s="149"/>
      <c r="AK464" s="149"/>
      <c r="AL464" s="149"/>
      <c r="AM464" s="149"/>
      <c r="AN464" s="149"/>
      <c r="AO464" s="149"/>
      <c r="AP464" s="149"/>
      <c r="AQ464" s="149"/>
      <c r="AR464" s="149"/>
      <c r="AS464" s="149"/>
      <c r="AT464" s="149"/>
      <c r="AU464" s="149"/>
      <c r="AV464" s="149"/>
      <c r="AW464" s="149"/>
      <c r="AX464" s="149">
        <v>2490.7979</v>
      </c>
      <c r="AY464" s="149"/>
      <c r="AZ464" s="149"/>
      <c r="BA464" s="149"/>
      <c r="BB464" s="149"/>
      <c r="BC464" s="149"/>
      <c r="BD464" s="149"/>
      <c r="BE464" s="149"/>
      <c r="BF464" s="149"/>
      <c r="BG464" s="149"/>
      <c r="BH464" s="149"/>
      <c r="BI464" s="149"/>
      <c r="BJ464" s="149"/>
      <c r="BK464" s="149"/>
      <c r="BL464" s="149"/>
      <c r="BM464" s="149"/>
      <c r="BN464" s="149"/>
      <c r="BO464" s="149"/>
      <c r="BP464" s="149"/>
      <c r="BQ464" s="149"/>
      <c r="BR464" s="149"/>
      <c r="BS464" s="149"/>
      <c r="BT464" s="149"/>
      <c r="BU464" s="149"/>
      <c r="BV464" s="149"/>
      <c r="BW464" s="149"/>
      <c r="BX464" s="149"/>
      <c r="BY464" s="149"/>
      <c r="BZ464" s="149"/>
      <c r="CA464" s="149"/>
      <c r="CB464" s="149">
        <v>200.99</v>
      </c>
      <c r="CC464" s="231">
        <f t="shared" si="1212"/>
        <v>34300</v>
      </c>
    </row>
    <row r="465" spans="2:81" x14ac:dyDescent="0.25">
      <c r="B465" s="155">
        <v>34350</v>
      </c>
      <c r="C465" s="147">
        <f t="shared" si="1286"/>
        <v>1544.2844</v>
      </c>
      <c r="D465" s="147">
        <f t="shared" si="1189"/>
        <v>747.95920000000001</v>
      </c>
      <c r="E465" s="147">
        <f t="shared" si="1206"/>
        <v>0</v>
      </c>
      <c r="F465" s="147">
        <f t="shared" si="1190"/>
        <v>0</v>
      </c>
      <c r="G465" s="147">
        <f t="shared" si="1207"/>
        <v>0</v>
      </c>
      <c r="H465" s="147">
        <f t="shared" si="1208"/>
        <v>0</v>
      </c>
      <c r="I465" s="147">
        <f t="shared" si="1209"/>
        <v>0</v>
      </c>
      <c r="J465" s="156">
        <f t="shared" si="1210"/>
        <v>0</v>
      </c>
      <c r="K465" s="157">
        <f t="shared" si="1211"/>
        <v>231.48</v>
      </c>
      <c r="L465" s="151">
        <f t="shared" si="1287"/>
        <v>1543</v>
      </c>
      <c r="M465" s="147">
        <f t="shared" si="1288"/>
        <v>2999</v>
      </c>
      <c r="N465" s="147"/>
      <c r="O465" s="147">
        <f t="shared" si="1289"/>
        <v>0</v>
      </c>
      <c r="P465" s="147">
        <f t="shared" si="1290"/>
        <v>0</v>
      </c>
      <c r="Q465" s="147">
        <f t="shared" si="1291"/>
        <v>0</v>
      </c>
      <c r="R465" s="147">
        <f t="shared" si="1292"/>
        <v>0</v>
      </c>
      <c r="S465" s="147">
        <f t="shared" si="1293"/>
        <v>0</v>
      </c>
      <c r="T465" s="147">
        <f t="shared" si="1213"/>
        <v>1202</v>
      </c>
      <c r="V465" s="146"/>
      <c r="W465" s="147"/>
      <c r="X465" s="147"/>
      <c r="Y465" s="147"/>
      <c r="Z465" s="147"/>
      <c r="AA465" s="147"/>
      <c r="AB465" s="147"/>
      <c r="AC465" s="147"/>
      <c r="AD465" s="148"/>
      <c r="AF465" s="155">
        <f t="shared" si="1198"/>
        <v>34350</v>
      </c>
      <c r="AG465" s="78">
        <v>1505.7982</v>
      </c>
      <c r="AH465" s="78">
        <v>38.486199999999997</v>
      </c>
      <c r="AI465" s="78"/>
      <c r="AJ465" s="78"/>
      <c r="AK465" s="78"/>
      <c r="AL465" s="78"/>
      <c r="AM465" s="78"/>
      <c r="AN465" s="78"/>
      <c r="AO465" s="78"/>
      <c r="AP465" s="78"/>
      <c r="AQ465" s="78"/>
      <c r="AR465" s="78"/>
      <c r="AS465" s="78"/>
      <c r="AT465" s="78"/>
      <c r="AU465" s="78"/>
      <c r="AV465" s="78"/>
      <c r="AW465" s="78"/>
      <c r="AX465" s="78">
        <v>747.95920000000001</v>
      </c>
      <c r="AY465" s="78"/>
      <c r="AZ465" s="78"/>
      <c r="BA465" s="78"/>
      <c r="BB465" s="78"/>
      <c r="BC465" s="78"/>
      <c r="BD465" s="78"/>
      <c r="BE465" s="78"/>
      <c r="BF465" s="78"/>
      <c r="BG465" s="78"/>
      <c r="BH465" s="78"/>
      <c r="BI465" s="78"/>
      <c r="BJ465" s="78"/>
      <c r="BK465" s="78"/>
      <c r="BL465" s="78"/>
      <c r="BM465" s="78"/>
      <c r="BN465" s="78"/>
      <c r="BO465" s="78"/>
      <c r="BP465" s="78"/>
      <c r="BQ465" s="78"/>
      <c r="BR465" s="78"/>
      <c r="BS465" s="78"/>
      <c r="BT465" s="78"/>
      <c r="BU465" s="78"/>
      <c r="BV465" s="78"/>
      <c r="BW465" s="78"/>
      <c r="BX465" s="78"/>
      <c r="BY465" s="78"/>
      <c r="BZ465" s="78"/>
      <c r="CA465" s="78"/>
      <c r="CB465" s="78">
        <v>231.48</v>
      </c>
      <c r="CC465" s="231">
        <f t="shared" si="1212"/>
        <v>34350</v>
      </c>
    </row>
    <row r="466" spans="2:81" x14ac:dyDescent="0.25">
      <c r="B466" s="57">
        <v>34400</v>
      </c>
      <c r="C466" s="58">
        <f t="shared" si="1286"/>
        <v>5110.6255000000001</v>
      </c>
      <c r="D466" s="58">
        <f t="shared" si="1189"/>
        <v>0</v>
      </c>
      <c r="E466" s="58">
        <f t="shared" si="1206"/>
        <v>0</v>
      </c>
      <c r="F466" s="58">
        <f t="shared" si="1190"/>
        <v>0</v>
      </c>
      <c r="G466" s="58">
        <f t="shared" si="1207"/>
        <v>0</v>
      </c>
      <c r="H466" s="58">
        <f t="shared" si="1208"/>
        <v>0</v>
      </c>
      <c r="I466" s="58">
        <f t="shared" si="1209"/>
        <v>0</v>
      </c>
      <c r="J466" s="51">
        <f t="shared" si="1210"/>
        <v>0</v>
      </c>
      <c r="K466" s="99">
        <f t="shared" si="1211"/>
        <v>256.41000000000003</v>
      </c>
      <c r="L466" s="105">
        <f t="shared" si="1287"/>
        <v>6162</v>
      </c>
      <c r="M466" s="58">
        <f t="shared" si="1288"/>
        <v>693</v>
      </c>
      <c r="N466" s="58"/>
      <c r="O466" s="58">
        <f t="shared" si="1289"/>
        <v>0</v>
      </c>
      <c r="P466" s="58">
        <f t="shared" si="1290"/>
        <v>0</v>
      </c>
      <c r="Q466" s="58">
        <f t="shared" si="1291"/>
        <v>0</v>
      </c>
      <c r="R466" s="58">
        <f t="shared" si="1292"/>
        <v>0</v>
      </c>
      <c r="S466" s="58">
        <f t="shared" si="1293"/>
        <v>0</v>
      </c>
      <c r="T466" s="58">
        <f t="shared" si="1213"/>
        <v>1356</v>
      </c>
      <c r="V466" s="137"/>
      <c r="W466" s="58"/>
      <c r="X466" s="58"/>
      <c r="Y466" s="58"/>
      <c r="Z466" s="58"/>
      <c r="AA466" s="58"/>
      <c r="AB466" s="58"/>
      <c r="AC466" s="58"/>
      <c r="AD466" s="138"/>
      <c r="AF466" s="57">
        <f t="shared" si="1198"/>
        <v>34400</v>
      </c>
      <c r="AG466" s="49">
        <v>5110.6255000000001</v>
      </c>
      <c r="AH466" s="49"/>
      <c r="AI466" s="49"/>
      <c r="AJ466" s="49"/>
      <c r="AK466" s="49"/>
      <c r="AL466" s="49"/>
      <c r="AM466" s="49"/>
      <c r="AN466" s="49"/>
      <c r="AO466" s="49"/>
      <c r="AP466" s="49"/>
      <c r="AQ466" s="49"/>
      <c r="AR466" s="49"/>
      <c r="AS466" s="49"/>
      <c r="AT466" s="49"/>
      <c r="AU466" s="49"/>
      <c r="AV466" s="49"/>
      <c r="AW466" s="49"/>
      <c r="AX466" s="49"/>
      <c r="AY466" s="49"/>
      <c r="AZ466" s="49"/>
      <c r="BA466" s="49"/>
      <c r="BB466" s="49"/>
      <c r="BC466" s="49"/>
      <c r="BD466" s="49"/>
      <c r="BE466" s="49"/>
      <c r="BF466" s="49"/>
      <c r="BG466" s="49"/>
      <c r="BH466" s="49"/>
      <c r="BI466" s="49"/>
      <c r="BJ466" s="49"/>
      <c r="BK466" s="49"/>
      <c r="BL466" s="49"/>
      <c r="BM466" s="49"/>
      <c r="BN466" s="49"/>
      <c r="BO466" s="49"/>
      <c r="BP466" s="49"/>
      <c r="BQ466" s="49"/>
      <c r="BR466" s="49"/>
      <c r="BS466" s="49"/>
      <c r="BT466" s="49"/>
      <c r="BU466" s="49"/>
      <c r="BV466" s="49"/>
      <c r="BW466" s="49"/>
      <c r="BX466" s="49"/>
      <c r="BY466" s="49"/>
      <c r="BZ466" s="49"/>
      <c r="CA466" s="49"/>
      <c r="CB466" s="49">
        <v>256.41000000000003</v>
      </c>
      <c r="CC466" s="231">
        <f t="shared" si="1212"/>
        <v>34400</v>
      </c>
    </row>
    <row r="467" spans="2:81" s="3" customFormat="1" ht="15.75" thickBot="1" x14ac:dyDescent="0.3">
      <c r="B467" s="158">
        <v>34450</v>
      </c>
      <c r="C467" s="144">
        <f t="shared" si="1286"/>
        <v>10344.862300000001</v>
      </c>
      <c r="D467" s="144">
        <f t="shared" si="1189"/>
        <v>0</v>
      </c>
      <c r="E467" s="144">
        <f t="shared" si="1206"/>
        <v>0</v>
      </c>
      <c r="F467" s="144">
        <f t="shared" si="1190"/>
        <v>0</v>
      </c>
      <c r="G467" s="144">
        <f t="shared" si="1207"/>
        <v>40.438000000000002</v>
      </c>
      <c r="H467" s="144">
        <f t="shared" si="1208"/>
        <v>40.438000000000002</v>
      </c>
      <c r="I467" s="144">
        <f t="shared" si="1209"/>
        <v>79.6982</v>
      </c>
      <c r="J467" s="159">
        <f t="shared" si="1210"/>
        <v>79.6982</v>
      </c>
      <c r="K467" s="160">
        <f t="shared" si="1211"/>
        <v>307.36</v>
      </c>
      <c r="L467" s="152">
        <f t="shared" si="1287"/>
        <v>14311</v>
      </c>
      <c r="M467" s="144">
        <f t="shared" si="1288"/>
        <v>0</v>
      </c>
      <c r="N467" s="144"/>
      <c r="O467" s="144">
        <f t="shared" si="1289"/>
        <v>0</v>
      </c>
      <c r="P467" s="144">
        <f t="shared" si="1290"/>
        <v>38</v>
      </c>
      <c r="Q467" s="144">
        <f t="shared" si="1291"/>
        <v>38</v>
      </c>
      <c r="R467" s="144">
        <f t="shared" si="1292"/>
        <v>222</v>
      </c>
      <c r="S467" s="144">
        <f t="shared" si="1293"/>
        <v>222</v>
      </c>
      <c r="T467" s="144">
        <f t="shared" si="1213"/>
        <v>1567</v>
      </c>
      <c r="V467" s="150">
        <f>L465+L466+L467</f>
        <v>22016</v>
      </c>
      <c r="W467" s="150">
        <f t="shared" ref="W467" si="1339">M465+M466+M467</f>
        <v>3692</v>
      </c>
      <c r="X467" s="150"/>
      <c r="Y467" s="150">
        <f t="shared" ref="Y467" si="1340">O465+O466+O467</f>
        <v>0</v>
      </c>
      <c r="Z467" s="150">
        <f t="shared" ref="Z467" si="1341">P465+P466+P467</f>
        <v>38</v>
      </c>
      <c r="AA467" s="150">
        <f t="shared" ref="AA467" si="1342">Q465+Q466+Q467</f>
        <v>38</v>
      </c>
      <c r="AB467" s="150">
        <f t="shared" ref="AB467" si="1343">R465+R466+R467</f>
        <v>222</v>
      </c>
      <c r="AC467" s="150">
        <f t="shared" ref="AC467" si="1344">S465+S466+S467</f>
        <v>222</v>
      </c>
      <c r="AD467" s="150">
        <f t="shared" ref="AD467" si="1345">T465+T466+T467</f>
        <v>4125</v>
      </c>
      <c r="AF467" s="158">
        <f t="shared" si="1198"/>
        <v>34450</v>
      </c>
      <c r="AG467" s="149">
        <v>10344.862300000001</v>
      </c>
      <c r="AH467" s="149"/>
      <c r="AI467" s="149"/>
      <c r="AJ467" s="149"/>
      <c r="AK467" s="149"/>
      <c r="AL467" s="149"/>
      <c r="AM467" s="149"/>
      <c r="AN467" s="149"/>
      <c r="AO467" s="149"/>
      <c r="AP467" s="149"/>
      <c r="AQ467" s="149"/>
      <c r="AR467" s="149"/>
      <c r="AS467" s="149"/>
      <c r="AT467" s="149"/>
      <c r="AU467" s="149"/>
      <c r="AV467" s="149"/>
      <c r="AW467" s="149"/>
      <c r="AX467" s="149"/>
      <c r="AY467" s="149"/>
      <c r="AZ467" s="149"/>
      <c r="BA467" s="149"/>
      <c r="BB467" s="149"/>
      <c r="BC467" s="149"/>
      <c r="BD467" s="149"/>
      <c r="BE467" s="149"/>
      <c r="BF467" s="149"/>
      <c r="BG467" s="149"/>
      <c r="BH467" s="149"/>
      <c r="BI467" s="149"/>
      <c r="BJ467" s="149"/>
      <c r="BK467" s="149"/>
      <c r="BL467" s="149"/>
      <c r="BM467" s="149"/>
      <c r="BN467" s="149">
        <v>20.219000000000001</v>
      </c>
      <c r="BO467" s="149">
        <v>20.219000000000001</v>
      </c>
      <c r="BP467" s="149"/>
      <c r="BQ467" s="149">
        <f>BN467</f>
        <v>20.219000000000001</v>
      </c>
      <c r="BR467" s="149">
        <f>BO467</f>
        <v>20.219000000000001</v>
      </c>
      <c r="BS467" s="149"/>
      <c r="BT467" s="149">
        <v>39.8491</v>
      </c>
      <c r="BU467" s="149">
        <v>39.8491</v>
      </c>
      <c r="BV467" s="149"/>
      <c r="BW467" s="149">
        <f>BT467</f>
        <v>39.8491</v>
      </c>
      <c r="BX467" s="149">
        <f>BU467</f>
        <v>39.8491</v>
      </c>
      <c r="BY467" s="149">
        <f>BV467</f>
        <v>0</v>
      </c>
      <c r="BZ467" s="149"/>
      <c r="CA467" s="149"/>
      <c r="CB467" s="149">
        <v>307.36</v>
      </c>
      <c r="CC467" s="231">
        <f t="shared" si="1212"/>
        <v>34450</v>
      </c>
    </row>
    <row r="468" spans="2:81" x14ac:dyDescent="0.25">
      <c r="B468" s="155">
        <v>34500</v>
      </c>
      <c r="C468" s="147">
        <f t="shared" si="1286"/>
        <v>15344.9269</v>
      </c>
      <c r="D468" s="147">
        <f t="shared" si="1189"/>
        <v>0</v>
      </c>
      <c r="E468" s="147">
        <f t="shared" si="1206"/>
        <v>0</v>
      </c>
      <c r="F468" s="147">
        <f t="shared" si="1190"/>
        <v>0</v>
      </c>
      <c r="G468" s="147">
        <f t="shared" si="1207"/>
        <v>40.438000000000002</v>
      </c>
      <c r="H468" s="147">
        <f t="shared" si="1208"/>
        <v>40.438000000000002</v>
      </c>
      <c r="I468" s="147">
        <f t="shared" si="1209"/>
        <v>79.6982</v>
      </c>
      <c r="J468" s="156">
        <f t="shared" si="1210"/>
        <v>79.6982</v>
      </c>
      <c r="K468" s="157">
        <f t="shared" si="1211"/>
        <v>381.13</v>
      </c>
      <c r="L468" s="151">
        <f t="shared" si="1287"/>
        <v>23787</v>
      </c>
      <c r="M468" s="147">
        <f t="shared" si="1288"/>
        <v>0</v>
      </c>
      <c r="N468" s="147"/>
      <c r="O468" s="147">
        <f t="shared" si="1289"/>
        <v>0</v>
      </c>
      <c r="P468" s="147">
        <f t="shared" si="1290"/>
        <v>75</v>
      </c>
      <c r="Q468" s="147">
        <f t="shared" si="1291"/>
        <v>75</v>
      </c>
      <c r="R468" s="147">
        <f t="shared" si="1292"/>
        <v>443</v>
      </c>
      <c r="S468" s="147">
        <f t="shared" si="1293"/>
        <v>443</v>
      </c>
      <c r="T468" s="147">
        <f t="shared" si="1213"/>
        <v>1913</v>
      </c>
      <c r="V468" s="146"/>
      <c r="W468" s="147"/>
      <c r="X468" s="147"/>
      <c r="Y468" s="147"/>
      <c r="Z468" s="147"/>
      <c r="AA468" s="147"/>
      <c r="AB468" s="147"/>
      <c r="AC468" s="147"/>
      <c r="AD468" s="148"/>
      <c r="AF468" s="155">
        <f t="shared" si="1198"/>
        <v>34500</v>
      </c>
      <c r="AG468" s="78">
        <v>15344.9269</v>
      </c>
      <c r="AH468" s="78"/>
      <c r="AI468" s="78"/>
      <c r="AJ468" s="78"/>
      <c r="AK468" s="78"/>
      <c r="AL468" s="78"/>
      <c r="AM468" s="78"/>
      <c r="AN468" s="78"/>
      <c r="AO468" s="78"/>
      <c r="AP468" s="78"/>
      <c r="AQ468" s="78"/>
      <c r="AR468" s="78"/>
      <c r="AS468" s="78"/>
      <c r="AT468" s="78"/>
      <c r="AU468" s="78"/>
      <c r="AV468" s="78"/>
      <c r="AW468" s="78"/>
      <c r="AX468" s="78"/>
      <c r="AY468" s="78"/>
      <c r="AZ468" s="78"/>
      <c r="BA468" s="78"/>
      <c r="BB468" s="78"/>
      <c r="BC468" s="78"/>
      <c r="BD468" s="78"/>
      <c r="BE468" s="78"/>
      <c r="BF468" s="78"/>
      <c r="BG468" s="78"/>
      <c r="BH468" s="78"/>
      <c r="BI468" s="78"/>
      <c r="BJ468" s="78"/>
      <c r="BK468" s="78"/>
      <c r="BL468" s="78"/>
      <c r="BM468" s="78"/>
      <c r="BN468" s="78">
        <v>20.219000000000001</v>
      </c>
      <c r="BO468" s="78">
        <v>20.219000000000001</v>
      </c>
      <c r="BP468" s="78"/>
      <c r="BQ468" s="78">
        <f t="shared" ref="BQ468:BQ469" si="1346">BN468</f>
        <v>20.219000000000001</v>
      </c>
      <c r="BR468" s="78">
        <f t="shared" ref="BR468:BR469" si="1347">BO468</f>
        <v>20.219000000000001</v>
      </c>
      <c r="BS468" s="78"/>
      <c r="BT468" s="78">
        <v>39.8491</v>
      </c>
      <c r="BU468" s="78">
        <v>39.8491</v>
      </c>
      <c r="BV468" s="78"/>
      <c r="BW468" s="78">
        <f t="shared" ref="BW468:BW502" si="1348">BT468</f>
        <v>39.8491</v>
      </c>
      <c r="BX468" s="78">
        <f t="shared" ref="BX468:BY502" si="1349">BU468</f>
        <v>39.8491</v>
      </c>
      <c r="BY468" s="78">
        <f t="shared" si="1349"/>
        <v>0</v>
      </c>
      <c r="BZ468" s="78"/>
      <c r="CA468" s="78"/>
      <c r="CB468" s="78">
        <v>381.13</v>
      </c>
      <c r="CC468" s="231">
        <f t="shared" si="1212"/>
        <v>34500</v>
      </c>
    </row>
    <row r="469" spans="2:81" s="3" customFormat="1" ht="15.75" thickBot="1" x14ac:dyDescent="0.3">
      <c r="B469" s="158">
        <v>34550</v>
      </c>
      <c r="C469" s="144">
        <f t="shared" si="1286"/>
        <v>22538.451700000001</v>
      </c>
      <c r="D469" s="144">
        <f t="shared" si="1189"/>
        <v>0</v>
      </c>
      <c r="E469" s="144">
        <f t="shared" si="1206"/>
        <v>0</v>
      </c>
      <c r="F469" s="144">
        <f t="shared" si="1190"/>
        <v>0</v>
      </c>
      <c r="G469" s="144">
        <f t="shared" si="1207"/>
        <v>40.438000000000002</v>
      </c>
      <c r="H469" s="144">
        <f t="shared" si="1208"/>
        <v>40.438000000000002</v>
      </c>
      <c r="I469" s="144">
        <f t="shared" si="1209"/>
        <v>79.6982</v>
      </c>
      <c r="J469" s="159">
        <f t="shared" si="1210"/>
        <v>79.6982</v>
      </c>
      <c r="K469" s="160">
        <f t="shared" si="1211"/>
        <v>494.08</v>
      </c>
      <c r="L469" s="152">
        <f t="shared" si="1287"/>
        <v>35078</v>
      </c>
      <c r="M469" s="144">
        <f t="shared" si="1288"/>
        <v>0</v>
      </c>
      <c r="N469" s="144"/>
      <c r="O469" s="144">
        <f t="shared" si="1289"/>
        <v>0</v>
      </c>
      <c r="P469" s="144">
        <f t="shared" si="1290"/>
        <v>75</v>
      </c>
      <c r="Q469" s="144">
        <f t="shared" si="1291"/>
        <v>75</v>
      </c>
      <c r="R469" s="144">
        <f t="shared" si="1292"/>
        <v>443</v>
      </c>
      <c r="S469" s="144">
        <f t="shared" si="1293"/>
        <v>443</v>
      </c>
      <c r="T469" s="144">
        <f t="shared" si="1213"/>
        <v>2432</v>
      </c>
      <c r="V469" s="150">
        <f>L468+L469</f>
        <v>58865</v>
      </c>
      <c r="W469" s="150">
        <f t="shared" ref="W469" si="1350">M468+M469</f>
        <v>0</v>
      </c>
      <c r="X469" s="150"/>
      <c r="Y469" s="150">
        <f t="shared" ref="Y469" si="1351">O468+O469</f>
        <v>0</v>
      </c>
      <c r="Z469" s="150">
        <f t="shared" ref="Z469" si="1352">P468+P469</f>
        <v>150</v>
      </c>
      <c r="AA469" s="150">
        <f t="shared" ref="AA469" si="1353">Q468+Q469</f>
        <v>150</v>
      </c>
      <c r="AB469" s="150">
        <f t="shared" ref="AB469" si="1354">R468+R469</f>
        <v>886</v>
      </c>
      <c r="AC469" s="150">
        <f t="shared" ref="AC469" si="1355">S468+S469</f>
        <v>886</v>
      </c>
      <c r="AD469" s="150">
        <f t="shared" ref="AD469" si="1356">T468+T469</f>
        <v>4345</v>
      </c>
      <c r="AF469" s="158">
        <f t="shared" si="1198"/>
        <v>34550</v>
      </c>
      <c r="AG469" s="149">
        <v>22538.451700000001</v>
      </c>
      <c r="AH469" s="149"/>
      <c r="AI469" s="149"/>
      <c r="AJ469" s="149"/>
      <c r="AK469" s="149"/>
      <c r="AL469" s="149"/>
      <c r="AM469" s="149"/>
      <c r="AN469" s="149"/>
      <c r="AO469" s="149"/>
      <c r="AP469" s="149"/>
      <c r="AQ469" s="149"/>
      <c r="AR469" s="149"/>
      <c r="AS469" s="149"/>
      <c r="AT469" s="149"/>
      <c r="AU469" s="149"/>
      <c r="AV469" s="149"/>
      <c r="AW469" s="149"/>
      <c r="AX469" s="149"/>
      <c r="AY469" s="149"/>
      <c r="AZ469" s="149"/>
      <c r="BA469" s="149"/>
      <c r="BB469" s="149"/>
      <c r="BC469" s="149"/>
      <c r="BD469" s="149"/>
      <c r="BE469" s="149"/>
      <c r="BF469" s="149"/>
      <c r="BG469" s="149"/>
      <c r="BH469" s="149"/>
      <c r="BI469" s="149"/>
      <c r="BJ469" s="149"/>
      <c r="BK469" s="149"/>
      <c r="BL469" s="149"/>
      <c r="BM469" s="149"/>
      <c r="BN469" s="149">
        <v>20.219000000000001</v>
      </c>
      <c r="BO469" s="149">
        <v>20.219000000000001</v>
      </c>
      <c r="BP469" s="149"/>
      <c r="BQ469" s="149">
        <f t="shared" si="1346"/>
        <v>20.219000000000001</v>
      </c>
      <c r="BR469" s="149">
        <f t="shared" si="1347"/>
        <v>20.219000000000001</v>
      </c>
      <c r="BS469" s="149"/>
      <c r="BT469" s="149">
        <v>39.8491</v>
      </c>
      <c r="BU469" s="149">
        <v>39.8491</v>
      </c>
      <c r="BV469" s="149"/>
      <c r="BW469" s="149">
        <f t="shared" si="1348"/>
        <v>39.8491</v>
      </c>
      <c r="BX469" s="149">
        <f t="shared" si="1349"/>
        <v>39.8491</v>
      </c>
      <c r="BY469" s="149">
        <f t="shared" si="1349"/>
        <v>0</v>
      </c>
      <c r="BZ469" s="149"/>
      <c r="CA469" s="149"/>
      <c r="CB469" s="149">
        <v>494.08</v>
      </c>
      <c r="CC469" s="231">
        <f t="shared" si="1212"/>
        <v>34550</v>
      </c>
    </row>
    <row r="470" spans="2:81" x14ac:dyDescent="0.25">
      <c r="B470" s="155">
        <v>34600</v>
      </c>
      <c r="C470" s="147">
        <f t="shared" si="1286"/>
        <v>34725.508300000001</v>
      </c>
      <c r="D470" s="147">
        <f t="shared" si="1189"/>
        <v>0</v>
      </c>
      <c r="E470" s="147">
        <f t="shared" si="1206"/>
        <v>0</v>
      </c>
      <c r="F470" s="147">
        <f t="shared" si="1190"/>
        <v>0</v>
      </c>
      <c r="G470" s="147">
        <f t="shared" si="1207"/>
        <v>40.438000000000002</v>
      </c>
      <c r="H470" s="147">
        <f t="shared" si="1208"/>
        <v>40.438000000000002</v>
      </c>
      <c r="I470" s="147">
        <f t="shared" si="1209"/>
        <v>79.6982</v>
      </c>
      <c r="J470" s="156">
        <f t="shared" si="1210"/>
        <v>79.6982</v>
      </c>
      <c r="K470" s="157">
        <f t="shared" si="1211"/>
        <v>566.14</v>
      </c>
      <c r="L470" s="151">
        <f t="shared" si="1287"/>
        <v>53023</v>
      </c>
      <c r="M470" s="147">
        <f t="shared" si="1288"/>
        <v>0</v>
      </c>
      <c r="N470" s="147"/>
      <c r="O470" s="147">
        <f t="shared" si="1289"/>
        <v>0</v>
      </c>
      <c r="P470" s="147">
        <f t="shared" si="1290"/>
        <v>75</v>
      </c>
      <c r="Q470" s="147">
        <f t="shared" si="1291"/>
        <v>75</v>
      </c>
      <c r="R470" s="147">
        <f t="shared" si="1292"/>
        <v>443</v>
      </c>
      <c r="S470" s="147">
        <f t="shared" si="1293"/>
        <v>443</v>
      </c>
      <c r="T470" s="147">
        <f t="shared" si="1213"/>
        <v>2946</v>
      </c>
      <c r="V470" s="146"/>
      <c r="W470" s="147"/>
      <c r="X470" s="147"/>
      <c r="Y470" s="147"/>
      <c r="Z470" s="147"/>
      <c r="AA470" s="147"/>
      <c r="AB470" s="147"/>
      <c r="AC470" s="147"/>
      <c r="AD470" s="148"/>
      <c r="AF470" s="155">
        <f t="shared" si="1198"/>
        <v>34600</v>
      </c>
      <c r="AG470" s="78">
        <v>34725.508300000001</v>
      </c>
      <c r="AH470" s="78"/>
      <c r="AI470" s="78"/>
      <c r="AJ470" s="78"/>
      <c r="AK470" s="78"/>
      <c r="AL470" s="78"/>
      <c r="AM470" s="78"/>
      <c r="AN470" s="78"/>
      <c r="AO470" s="78"/>
      <c r="AP470" s="78"/>
      <c r="AQ470" s="78"/>
      <c r="AR470" s="78"/>
      <c r="AS470" s="78"/>
      <c r="AT470" s="78"/>
      <c r="AU470" s="78"/>
      <c r="AV470" s="78"/>
      <c r="AW470" s="78"/>
      <c r="AX470" s="78"/>
      <c r="AY470" s="78"/>
      <c r="AZ470" s="78"/>
      <c r="BA470" s="78"/>
      <c r="BB470" s="78"/>
      <c r="BC470" s="78"/>
      <c r="BD470" s="78"/>
      <c r="BE470" s="78"/>
      <c r="BF470" s="78"/>
      <c r="BG470" s="78"/>
      <c r="BH470" s="78"/>
      <c r="BI470" s="78"/>
      <c r="BJ470" s="78"/>
      <c r="BK470" s="78"/>
      <c r="BL470" s="78"/>
      <c r="BM470" s="78"/>
      <c r="BN470" s="78">
        <v>20.219000000000001</v>
      </c>
      <c r="BO470" s="78">
        <v>20.219000000000001</v>
      </c>
      <c r="BP470" s="78"/>
      <c r="BQ470" s="78">
        <f t="shared" ref="BQ470:BQ499" si="1357">BN470</f>
        <v>20.219000000000001</v>
      </c>
      <c r="BR470" s="78">
        <f t="shared" ref="BR470:BR499" si="1358">BO470</f>
        <v>20.219000000000001</v>
      </c>
      <c r="BS470" s="78"/>
      <c r="BT470" s="78">
        <v>39.8491</v>
      </c>
      <c r="BU470" s="78">
        <v>39.8491</v>
      </c>
      <c r="BV470" s="78"/>
      <c r="BW470" s="78">
        <f t="shared" si="1348"/>
        <v>39.8491</v>
      </c>
      <c r="BX470" s="78">
        <f t="shared" si="1349"/>
        <v>39.8491</v>
      </c>
      <c r="BY470" s="78">
        <f t="shared" si="1349"/>
        <v>0</v>
      </c>
      <c r="BZ470" s="78"/>
      <c r="CA470" s="78"/>
      <c r="CB470" s="78">
        <v>566.14</v>
      </c>
      <c r="CC470" s="231">
        <f t="shared" si="1212"/>
        <v>34600</v>
      </c>
    </row>
    <row r="471" spans="2:81" s="3" customFormat="1" ht="15.75" thickBot="1" x14ac:dyDescent="0.3">
      <c r="B471" s="158">
        <v>34650</v>
      </c>
      <c r="C471" s="144">
        <f t="shared" si="1286"/>
        <v>42367.921399999999</v>
      </c>
      <c r="D471" s="144">
        <f t="shared" si="1189"/>
        <v>0</v>
      </c>
      <c r="E471" s="144">
        <f t="shared" si="1206"/>
        <v>0</v>
      </c>
      <c r="F471" s="144">
        <f t="shared" si="1190"/>
        <v>0</v>
      </c>
      <c r="G471" s="144">
        <f t="shared" si="1207"/>
        <v>40.438000000000002</v>
      </c>
      <c r="H471" s="144">
        <f t="shared" si="1208"/>
        <v>40.438000000000002</v>
      </c>
      <c r="I471" s="144">
        <f t="shared" si="1209"/>
        <v>79.6982</v>
      </c>
      <c r="J471" s="159">
        <f t="shared" si="1210"/>
        <v>79.6982</v>
      </c>
      <c r="K471" s="160">
        <f t="shared" si="1211"/>
        <v>580.16</v>
      </c>
      <c r="L471" s="152">
        <f t="shared" si="1287"/>
        <v>71383</v>
      </c>
      <c r="M471" s="144">
        <f t="shared" si="1288"/>
        <v>0</v>
      </c>
      <c r="N471" s="144"/>
      <c r="O471" s="144">
        <f t="shared" si="1289"/>
        <v>0</v>
      </c>
      <c r="P471" s="144">
        <f t="shared" si="1290"/>
        <v>75</v>
      </c>
      <c r="Q471" s="144">
        <f t="shared" si="1291"/>
        <v>75</v>
      </c>
      <c r="R471" s="144">
        <f t="shared" si="1292"/>
        <v>443</v>
      </c>
      <c r="S471" s="144">
        <f t="shared" si="1293"/>
        <v>443</v>
      </c>
      <c r="T471" s="144">
        <f t="shared" si="1213"/>
        <v>3185</v>
      </c>
      <c r="V471" s="150">
        <f>L470+L471</f>
        <v>124406</v>
      </c>
      <c r="W471" s="150">
        <f t="shared" ref="W471" si="1359">M470+M471</f>
        <v>0</v>
      </c>
      <c r="X471" s="150"/>
      <c r="Y471" s="150">
        <f t="shared" ref="Y471" si="1360">O470+O471</f>
        <v>0</v>
      </c>
      <c r="Z471" s="150">
        <f t="shared" ref="Z471" si="1361">P470+P471</f>
        <v>150</v>
      </c>
      <c r="AA471" s="150">
        <f t="shared" ref="AA471" si="1362">Q470+Q471</f>
        <v>150</v>
      </c>
      <c r="AB471" s="150">
        <f t="shared" ref="AB471" si="1363">R470+R471</f>
        <v>886</v>
      </c>
      <c r="AC471" s="150">
        <f t="shared" ref="AC471" si="1364">S470+S471</f>
        <v>886</v>
      </c>
      <c r="AD471" s="150">
        <f t="shared" ref="AD471" si="1365">T470+T471</f>
        <v>6131</v>
      </c>
      <c r="AF471" s="158">
        <f t="shared" si="1198"/>
        <v>34650</v>
      </c>
      <c r="AG471" s="149">
        <v>42367.921399999999</v>
      </c>
      <c r="AH471" s="149"/>
      <c r="AI471" s="149"/>
      <c r="AJ471" s="149"/>
      <c r="AK471" s="149"/>
      <c r="AL471" s="149"/>
      <c r="AM471" s="149"/>
      <c r="AN471" s="149"/>
      <c r="AO471" s="149"/>
      <c r="AP471" s="149"/>
      <c r="AQ471" s="149"/>
      <c r="AR471" s="149"/>
      <c r="AS471" s="149"/>
      <c r="AT471" s="149"/>
      <c r="AU471" s="149"/>
      <c r="AV471" s="149"/>
      <c r="AW471" s="149"/>
      <c r="AX471" s="149"/>
      <c r="AY471" s="149"/>
      <c r="AZ471" s="149"/>
      <c r="BA471" s="149"/>
      <c r="BB471" s="149"/>
      <c r="BC471" s="149"/>
      <c r="BD471" s="149"/>
      <c r="BE471" s="149"/>
      <c r="BF471" s="149"/>
      <c r="BG471" s="149"/>
      <c r="BH471" s="149"/>
      <c r="BI471" s="149"/>
      <c r="BJ471" s="149"/>
      <c r="BK471" s="149"/>
      <c r="BL471" s="149"/>
      <c r="BM471" s="149"/>
      <c r="BN471" s="149">
        <v>20.219000000000001</v>
      </c>
      <c r="BO471" s="149">
        <v>20.219000000000001</v>
      </c>
      <c r="BP471" s="149"/>
      <c r="BQ471" s="149">
        <f t="shared" si="1357"/>
        <v>20.219000000000001</v>
      </c>
      <c r="BR471" s="149">
        <f t="shared" si="1358"/>
        <v>20.219000000000001</v>
      </c>
      <c r="BS471" s="149"/>
      <c r="BT471" s="149">
        <v>39.8491</v>
      </c>
      <c r="BU471" s="149">
        <v>39.8491</v>
      </c>
      <c r="BV471" s="149"/>
      <c r="BW471" s="149">
        <f t="shared" si="1348"/>
        <v>39.8491</v>
      </c>
      <c r="BX471" s="149">
        <f t="shared" si="1349"/>
        <v>39.8491</v>
      </c>
      <c r="BY471" s="149">
        <f t="shared" si="1349"/>
        <v>0</v>
      </c>
      <c r="BZ471" s="149"/>
      <c r="CA471" s="149"/>
      <c r="CB471" s="149">
        <v>580.16</v>
      </c>
      <c r="CC471" s="231">
        <f t="shared" si="1212"/>
        <v>34650</v>
      </c>
    </row>
    <row r="472" spans="2:81" x14ac:dyDescent="0.25">
      <c r="B472" s="155">
        <v>34700</v>
      </c>
      <c r="C472" s="147">
        <f t="shared" si="1286"/>
        <v>44827.0936</v>
      </c>
      <c r="D472" s="147">
        <f t="shared" si="1189"/>
        <v>0</v>
      </c>
      <c r="E472" s="147">
        <f t="shared" si="1206"/>
        <v>0</v>
      </c>
      <c r="F472" s="147">
        <f t="shared" si="1190"/>
        <v>0</v>
      </c>
      <c r="G472" s="147">
        <f t="shared" si="1207"/>
        <v>40.438000000000002</v>
      </c>
      <c r="H472" s="147">
        <f t="shared" si="1208"/>
        <v>40.438000000000002</v>
      </c>
      <c r="I472" s="147">
        <f t="shared" si="1209"/>
        <v>79.6982</v>
      </c>
      <c r="J472" s="156">
        <f t="shared" si="1210"/>
        <v>79.6982</v>
      </c>
      <c r="K472" s="157">
        <f t="shared" si="1211"/>
        <v>604.44000000000005</v>
      </c>
      <c r="L472" s="151">
        <f t="shared" si="1287"/>
        <v>80737</v>
      </c>
      <c r="M472" s="147">
        <f t="shared" si="1288"/>
        <v>0</v>
      </c>
      <c r="N472" s="147"/>
      <c r="O472" s="147">
        <f t="shared" si="1289"/>
        <v>0</v>
      </c>
      <c r="P472" s="147">
        <f t="shared" si="1290"/>
        <v>75</v>
      </c>
      <c r="Q472" s="147">
        <f t="shared" si="1291"/>
        <v>75</v>
      </c>
      <c r="R472" s="147">
        <f t="shared" si="1292"/>
        <v>443</v>
      </c>
      <c r="S472" s="147">
        <f t="shared" si="1293"/>
        <v>443</v>
      </c>
      <c r="T472" s="147">
        <f t="shared" si="1213"/>
        <v>3291</v>
      </c>
      <c r="V472" s="146"/>
      <c r="W472" s="147"/>
      <c r="X472" s="147"/>
      <c r="Y472" s="147"/>
      <c r="Z472" s="147"/>
      <c r="AA472" s="147"/>
      <c r="AB472" s="147"/>
      <c r="AC472" s="147"/>
      <c r="AD472" s="148"/>
      <c r="AF472" s="155">
        <f t="shared" si="1198"/>
        <v>34700</v>
      </c>
      <c r="AG472" s="78">
        <v>44827.0936</v>
      </c>
      <c r="AH472" s="78"/>
      <c r="AI472" s="78"/>
      <c r="AJ472" s="78"/>
      <c r="AK472" s="78"/>
      <c r="AL472" s="78"/>
      <c r="AM472" s="78"/>
      <c r="AN472" s="78"/>
      <c r="AO472" s="78"/>
      <c r="AP472" s="78"/>
      <c r="AQ472" s="78"/>
      <c r="AR472" s="78"/>
      <c r="AS472" s="78"/>
      <c r="AT472" s="78"/>
      <c r="AU472" s="78"/>
      <c r="AV472" s="78"/>
      <c r="AW472" s="78"/>
      <c r="AX472" s="78"/>
      <c r="AY472" s="78"/>
      <c r="AZ472" s="78"/>
      <c r="BA472" s="78"/>
      <c r="BB472" s="78"/>
      <c r="BC472" s="78"/>
      <c r="BD472" s="78"/>
      <c r="BE472" s="78"/>
      <c r="BF472" s="78"/>
      <c r="BG472" s="78"/>
      <c r="BH472" s="78"/>
      <c r="BI472" s="78"/>
      <c r="BJ472" s="78"/>
      <c r="BK472" s="78"/>
      <c r="BL472" s="78"/>
      <c r="BM472" s="78"/>
      <c r="BN472" s="78">
        <v>20.219000000000001</v>
      </c>
      <c r="BO472" s="78">
        <v>20.219000000000001</v>
      </c>
      <c r="BP472" s="78"/>
      <c r="BQ472" s="78">
        <f t="shared" si="1357"/>
        <v>20.219000000000001</v>
      </c>
      <c r="BR472" s="78">
        <f t="shared" si="1358"/>
        <v>20.219000000000001</v>
      </c>
      <c r="BS472" s="78"/>
      <c r="BT472" s="78">
        <v>39.8491</v>
      </c>
      <c r="BU472" s="78">
        <v>39.8491</v>
      </c>
      <c r="BV472" s="78"/>
      <c r="BW472" s="78">
        <f t="shared" si="1348"/>
        <v>39.8491</v>
      </c>
      <c r="BX472" s="78">
        <f t="shared" si="1349"/>
        <v>39.8491</v>
      </c>
      <c r="BY472" s="78">
        <f t="shared" si="1349"/>
        <v>0</v>
      </c>
      <c r="BZ472" s="78"/>
      <c r="CA472" s="78"/>
      <c r="CB472" s="78">
        <v>604.44000000000005</v>
      </c>
      <c r="CC472" s="231">
        <f t="shared" si="1212"/>
        <v>34700</v>
      </c>
    </row>
    <row r="473" spans="2:81" s="3" customFormat="1" ht="15.75" thickBot="1" x14ac:dyDescent="0.3">
      <c r="B473" s="158">
        <v>34750</v>
      </c>
      <c r="C473" s="144">
        <f t="shared" si="1286"/>
        <v>46581.021800000002</v>
      </c>
      <c r="D473" s="144">
        <f t="shared" ref="D473:D540" si="1366">AX473+AY473+AZ473+BA473+BB473+BC473+BD473+BE473+BF473+BG473</f>
        <v>0</v>
      </c>
      <c r="E473" s="144">
        <f t="shared" si="1206"/>
        <v>0</v>
      </c>
      <c r="F473" s="144">
        <f t="shared" si="1190"/>
        <v>0</v>
      </c>
      <c r="G473" s="144">
        <f t="shared" si="1207"/>
        <v>40.438000000000002</v>
      </c>
      <c r="H473" s="144">
        <f t="shared" si="1208"/>
        <v>40.438000000000002</v>
      </c>
      <c r="I473" s="144">
        <f t="shared" si="1209"/>
        <v>79.6982</v>
      </c>
      <c r="J473" s="159">
        <f t="shared" si="1210"/>
        <v>79.6982</v>
      </c>
      <c r="K473" s="160">
        <f t="shared" si="1211"/>
        <v>645.01</v>
      </c>
      <c r="L473" s="152">
        <f t="shared" si="1287"/>
        <v>84638</v>
      </c>
      <c r="M473" s="144">
        <f t="shared" si="1288"/>
        <v>0</v>
      </c>
      <c r="N473" s="144"/>
      <c r="O473" s="144">
        <f t="shared" si="1289"/>
        <v>0</v>
      </c>
      <c r="P473" s="144">
        <f t="shared" si="1290"/>
        <v>75</v>
      </c>
      <c r="Q473" s="144">
        <f t="shared" si="1291"/>
        <v>75</v>
      </c>
      <c r="R473" s="144">
        <f t="shared" si="1292"/>
        <v>443</v>
      </c>
      <c r="S473" s="144">
        <f t="shared" si="1293"/>
        <v>443</v>
      </c>
      <c r="T473" s="144">
        <f t="shared" si="1213"/>
        <v>3471</v>
      </c>
      <c r="V473" s="150">
        <f>L472+L473</f>
        <v>165375</v>
      </c>
      <c r="W473" s="150">
        <f t="shared" ref="W473" si="1367">M472+M473</f>
        <v>0</v>
      </c>
      <c r="X473" s="150"/>
      <c r="Y473" s="150">
        <f t="shared" ref="Y473" si="1368">O472+O473</f>
        <v>0</v>
      </c>
      <c r="Z473" s="150">
        <f t="shared" ref="Z473" si="1369">P472+P473</f>
        <v>150</v>
      </c>
      <c r="AA473" s="150">
        <f t="shared" ref="AA473" si="1370">Q472+Q473</f>
        <v>150</v>
      </c>
      <c r="AB473" s="150">
        <f t="shared" ref="AB473" si="1371">R472+R473</f>
        <v>886</v>
      </c>
      <c r="AC473" s="150">
        <f t="shared" ref="AC473" si="1372">S472+S473</f>
        <v>886</v>
      </c>
      <c r="AD473" s="150">
        <f t="shared" ref="AD473" si="1373">T472+T473</f>
        <v>6762</v>
      </c>
      <c r="AF473" s="158">
        <f t="shared" si="1198"/>
        <v>34750</v>
      </c>
      <c r="AG473" s="149">
        <v>46581.021800000002</v>
      </c>
      <c r="AH473" s="149"/>
      <c r="AI473" s="149"/>
      <c r="AJ473" s="149"/>
      <c r="AK473" s="149"/>
      <c r="AL473" s="149"/>
      <c r="AM473" s="149"/>
      <c r="AN473" s="149"/>
      <c r="AO473" s="149"/>
      <c r="AP473" s="149"/>
      <c r="AQ473" s="149"/>
      <c r="AR473" s="149"/>
      <c r="AS473" s="149"/>
      <c r="AT473" s="149"/>
      <c r="AU473" s="149"/>
      <c r="AV473" s="149"/>
      <c r="AW473" s="149"/>
      <c r="AX473" s="149"/>
      <c r="AY473" s="149"/>
      <c r="AZ473" s="149"/>
      <c r="BA473" s="149"/>
      <c r="BB473" s="149"/>
      <c r="BC473" s="149"/>
      <c r="BD473" s="149"/>
      <c r="BE473" s="149"/>
      <c r="BF473" s="149"/>
      <c r="BG473" s="149"/>
      <c r="BH473" s="149"/>
      <c r="BI473" s="149"/>
      <c r="BJ473" s="149"/>
      <c r="BK473" s="149"/>
      <c r="BL473" s="149"/>
      <c r="BM473" s="149"/>
      <c r="BN473" s="149">
        <v>20.219000000000001</v>
      </c>
      <c r="BO473" s="149">
        <v>20.219000000000001</v>
      </c>
      <c r="BP473" s="149"/>
      <c r="BQ473" s="149">
        <f t="shared" si="1357"/>
        <v>20.219000000000001</v>
      </c>
      <c r="BR473" s="149">
        <f t="shared" si="1358"/>
        <v>20.219000000000001</v>
      </c>
      <c r="BS473" s="149"/>
      <c r="BT473" s="149">
        <v>39.8491</v>
      </c>
      <c r="BU473" s="149">
        <v>39.8491</v>
      </c>
      <c r="BV473" s="149"/>
      <c r="BW473" s="149">
        <f t="shared" si="1348"/>
        <v>39.8491</v>
      </c>
      <c r="BX473" s="149">
        <f t="shared" si="1349"/>
        <v>39.8491</v>
      </c>
      <c r="BY473" s="149">
        <f t="shared" si="1349"/>
        <v>0</v>
      </c>
      <c r="BZ473" s="149"/>
      <c r="CA473" s="149"/>
      <c r="CB473" s="149">
        <v>645.01</v>
      </c>
      <c r="CC473" s="231">
        <f t="shared" si="1212"/>
        <v>34750</v>
      </c>
    </row>
    <row r="474" spans="2:81" x14ac:dyDescent="0.25">
      <c r="B474" s="155">
        <v>34800</v>
      </c>
      <c r="C474" s="147">
        <f t="shared" si="1286"/>
        <v>43219.030100000004</v>
      </c>
      <c r="D474" s="147">
        <f t="shared" si="1366"/>
        <v>0</v>
      </c>
      <c r="E474" s="147">
        <f t="shared" si="1206"/>
        <v>0</v>
      </c>
      <c r="F474" s="147">
        <f t="shared" ref="F474:F541" si="1374">BK474+BL474+BM474</f>
        <v>0</v>
      </c>
      <c r="G474" s="147">
        <f t="shared" si="1207"/>
        <v>40.438000000000002</v>
      </c>
      <c r="H474" s="147">
        <f t="shared" si="1208"/>
        <v>40.438000000000002</v>
      </c>
      <c r="I474" s="147">
        <f t="shared" si="1209"/>
        <v>79.6982</v>
      </c>
      <c r="J474" s="156">
        <f t="shared" si="1210"/>
        <v>79.6982</v>
      </c>
      <c r="K474" s="157">
        <f t="shared" si="1211"/>
        <v>589.99</v>
      </c>
      <c r="L474" s="151">
        <f t="shared" si="1287"/>
        <v>83149</v>
      </c>
      <c r="M474" s="147">
        <f t="shared" si="1288"/>
        <v>0</v>
      </c>
      <c r="N474" s="147"/>
      <c r="O474" s="147">
        <f t="shared" si="1289"/>
        <v>0</v>
      </c>
      <c r="P474" s="147">
        <f t="shared" si="1290"/>
        <v>75</v>
      </c>
      <c r="Q474" s="147">
        <f t="shared" si="1291"/>
        <v>75</v>
      </c>
      <c r="R474" s="147">
        <f t="shared" si="1292"/>
        <v>443</v>
      </c>
      <c r="S474" s="147">
        <f t="shared" si="1293"/>
        <v>443</v>
      </c>
      <c r="T474" s="147">
        <f t="shared" si="1213"/>
        <v>3431</v>
      </c>
      <c r="V474" s="146"/>
      <c r="W474" s="147"/>
      <c r="X474" s="147"/>
      <c r="Y474" s="147"/>
      <c r="Z474" s="147"/>
      <c r="AA474" s="147"/>
      <c r="AB474" s="147"/>
      <c r="AC474" s="147"/>
      <c r="AD474" s="148"/>
      <c r="AF474" s="155">
        <f t="shared" si="1198"/>
        <v>34800</v>
      </c>
      <c r="AG474" s="78">
        <v>43219.030100000004</v>
      </c>
      <c r="AH474" s="78"/>
      <c r="AI474" s="78"/>
      <c r="AJ474" s="78"/>
      <c r="AK474" s="78"/>
      <c r="AL474" s="78"/>
      <c r="AM474" s="78"/>
      <c r="AN474" s="78"/>
      <c r="AO474" s="78"/>
      <c r="AP474" s="78"/>
      <c r="AQ474" s="78"/>
      <c r="AR474" s="78"/>
      <c r="AS474" s="78"/>
      <c r="AT474" s="78"/>
      <c r="AU474" s="78"/>
      <c r="AV474" s="78"/>
      <c r="AW474" s="78"/>
      <c r="AX474" s="78"/>
      <c r="AY474" s="78"/>
      <c r="AZ474" s="78"/>
      <c r="BA474" s="78"/>
      <c r="BB474" s="78"/>
      <c r="BC474" s="78"/>
      <c r="BD474" s="78"/>
      <c r="BE474" s="78"/>
      <c r="BF474" s="78"/>
      <c r="BG474" s="78"/>
      <c r="BH474" s="78"/>
      <c r="BI474" s="78"/>
      <c r="BJ474" s="78"/>
      <c r="BK474" s="78"/>
      <c r="BL474" s="78"/>
      <c r="BM474" s="78"/>
      <c r="BN474" s="78">
        <v>20.219000000000001</v>
      </c>
      <c r="BO474" s="78">
        <v>20.219000000000001</v>
      </c>
      <c r="BP474" s="78"/>
      <c r="BQ474" s="78">
        <f t="shared" si="1357"/>
        <v>20.219000000000001</v>
      </c>
      <c r="BR474" s="78">
        <f t="shared" si="1358"/>
        <v>20.219000000000001</v>
      </c>
      <c r="BS474" s="78"/>
      <c r="BT474" s="78">
        <v>39.8491</v>
      </c>
      <c r="BU474" s="78">
        <v>39.8491</v>
      </c>
      <c r="BV474" s="78"/>
      <c r="BW474" s="78">
        <f t="shared" si="1348"/>
        <v>39.8491</v>
      </c>
      <c r="BX474" s="78">
        <f t="shared" si="1349"/>
        <v>39.8491</v>
      </c>
      <c r="BY474" s="78">
        <f t="shared" si="1349"/>
        <v>0</v>
      </c>
      <c r="BZ474" s="78"/>
      <c r="CA474" s="78"/>
      <c r="CB474" s="78">
        <v>589.99</v>
      </c>
      <c r="CC474" s="231">
        <f t="shared" si="1212"/>
        <v>34800</v>
      </c>
    </row>
    <row r="475" spans="2:81" s="3" customFormat="1" ht="15.75" thickBot="1" x14ac:dyDescent="0.3">
      <c r="B475" s="158">
        <v>34850</v>
      </c>
      <c r="C475" s="144">
        <f t="shared" si="1286"/>
        <v>36878.507599999997</v>
      </c>
      <c r="D475" s="144">
        <f t="shared" si="1366"/>
        <v>0</v>
      </c>
      <c r="E475" s="144">
        <f t="shared" si="1206"/>
        <v>0</v>
      </c>
      <c r="F475" s="144">
        <f t="shared" si="1374"/>
        <v>0</v>
      </c>
      <c r="G475" s="144">
        <f t="shared" si="1207"/>
        <v>40.438000000000002</v>
      </c>
      <c r="H475" s="144">
        <f t="shared" si="1208"/>
        <v>40.438000000000002</v>
      </c>
      <c r="I475" s="144">
        <f t="shared" si="1209"/>
        <v>79.697000000000003</v>
      </c>
      <c r="J475" s="159">
        <f t="shared" si="1210"/>
        <v>79.697000000000003</v>
      </c>
      <c r="K475" s="160">
        <f t="shared" si="1211"/>
        <v>516.14</v>
      </c>
      <c r="L475" s="152">
        <f t="shared" si="1287"/>
        <v>74165</v>
      </c>
      <c r="M475" s="144">
        <f t="shared" si="1288"/>
        <v>0</v>
      </c>
      <c r="N475" s="144"/>
      <c r="O475" s="144">
        <f t="shared" si="1289"/>
        <v>0</v>
      </c>
      <c r="P475" s="144">
        <f t="shared" si="1290"/>
        <v>75</v>
      </c>
      <c r="Q475" s="144">
        <f t="shared" si="1291"/>
        <v>75</v>
      </c>
      <c r="R475" s="144">
        <f t="shared" si="1292"/>
        <v>443</v>
      </c>
      <c r="S475" s="144">
        <f t="shared" si="1293"/>
        <v>443</v>
      </c>
      <c r="T475" s="144">
        <f t="shared" si="1213"/>
        <v>3073</v>
      </c>
      <c r="V475" s="150">
        <f>L474+L475</f>
        <v>157314</v>
      </c>
      <c r="W475" s="150">
        <f t="shared" ref="W475" si="1375">M474+M475</f>
        <v>0</v>
      </c>
      <c r="X475" s="150"/>
      <c r="Y475" s="150">
        <f t="shared" ref="Y475" si="1376">O474+O475</f>
        <v>0</v>
      </c>
      <c r="Z475" s="150">
        <f t="shared" ref="Z475" si="1377">P474+P475</f>
        <v>150</v>
      </c>
      <c r="AA475" s="150">
        <f t="shared" ref="AA475" si="1378">Q474+Q475</f>
        <v>150</v>
      </c>
      <c r="AB475" s="150">
        <f t="shared" ref="AB475" si="1379">R474+R475</f>
        <v>886</v>
      </c>
      <c r="AC475" s="150">
        <f t="shared" ref="AC475" si="1380">S474+S475</f>
        <v>886</v>
      </c>
      <c r="AD475" s="150">
        <f t="shared" ref="AD475" si="1381">T474+T475</f>
        <v>6504</v>
      </c>
      <c r="AF475" s="158">
        <f t="shared" si="1198"/>
        <v>34850</v>
      </c>
      <c r="AG475" s="149">
        <v>36878.507599999997</v>
      </c>
      <c r="AH475" s="149"/>
      <c r="AI475" s="149"/>
      <c r="AJ475" s="149"/>
      <c r="AK475" s="149"/>
      <c r="AL475" s="149"/>
      <c r="AM475" s="149"/>
      <c r="AN475" s="149"/>
      <c r="AO475" s="149"/>
      <c r="AP475" s="149"/>
      <c r="AQ475" s="149"/>
      <c r="AR475" s="149"/>
      <c r="AS475" s="149"/>
      <c r="AT475" s="149"/>
      <c r="AU475" s="149"/>
      <c r="AV475" s="149"/>
      <c r="AW475" s="149"/>
      <c r="AX475" s="149"/>
      <c r="AY475" s="149"/>
      <c r="AZ475" s="149"/>
      <c r="BA475" s="149"/>
      <c r="BB475" s="149"/>
      <c r="BC475" s="149"/>
      <c r="BD475" s="149"/>
      <c r="BE475" s="149"/>
      <c r="BF475" s="149"/>
      <c r="BG475" s="149"/>
      <c r="BH475" s="149"/>
      <c r="BI475" s="149"/>
      <c r="BJ475" s="149"/>
      <c r="BK475" s="149"/>
      <c r="BL475" s="149"/>
      <c r="BM475" s="149"/>
      <c r="BN475" s="149">
        <v>20.219000000000001</v>
      </c>
      <c r="BO475" s="149">
        <v>20.219000000000001</v>
      </c>
      <c r="BP475" s="149"/>
      <c r="BQ475" s="149">
        <f t="shared" si="1357"/>
        <v>20.219000000000001</v>
      </c>
      <c r="BR475" s="149">
        <f t="shared" si="1358"/>
        <v>20.219000000000001</v>
      </c>
      <c r="BS475" s="149"/>
      <c r="BT475" s="149">
        <v>39.848500000000001</v>
      </c>
      <c r="BU475" s="149">
        <v>39.848500000000001</v>
      </c>
      <c r="BV475" s="149"/>
      <c r="BW475" s="149">
        <f t="shared" si="1348"/>
        <v>39.848500000000001</v>
      </c>
      <c r="BX475" s="149">
        <f t="shared" si="1349"/>
        <v>39.848500000000001</v>
      </c>
      <c r="BY475" s="149">
        <f t="shared" si="1349"/>
        <v>0</v>
      </c>
      <c r="BZ475" s="149"/>
      <c r="CA475" s="149"/>
      <c r="CB475" s="149">
        <v>516.14</v>
      </c>
      <c r="CC475" s="231">
        <f t="shared" si="1212"/>
        <v>34850</v>
      </c>
    </row>
    <row r="476" spans="2:81" x14ac:dyDescent="0.25">
      <c r="B476" s="155">
        <v>34900</v>
      </c>
      <c r="C476" s="147">
        <f t="shared" si="1286"/>
        <v>32859.886700000003</v>
      </c>
      <c r="D476" s="147">
        <f t="shared" si="1366"/>
        <v>0</v>
      </c>
      <c r="E476" s="147">
        <f t="shared" si="1206"/>
        <v>0</v>
      </c>
      <c r="F476" s="147">
        <f t="shared" si="1374"/>
        <v>0</v>
      </c>
      <c r="G476" s="147">
        <f t="shared" si="1207"/>
        <v>40.438000000000002</v>
      </c>
      <c r="H476" s="147">
        <f t="shared" si="1208"/>
        <v>40.438000000000002</v>
      </c>
      <c r="I476" s="147">
        <f t="shared" si="1209"/>
        <v>79.695400000000006</v>
      </c>
      <c r="J476" s="156">
        <f t="shared" si="1210"/>
        <v>79.695400000000006</v>
      </c>
      <c r="K476" s="157">
        <f t="shared" si="1211"/>
        <v>463.93</v>
      </c>
      <c r="L476" s="151">
        <f t="shared" si="1287"/>
        <v>64573</v>
      </c>
      <c r="M476" s="147">
        <f t="shared" si="1288"/>
        <v>0</v>
      </c>
      <c r="N476" s="147"/>
      <c r="O476" s="147">
        <f t="shared" si="1289"/>
        <v>0</v>
      </c>
      <c r="P476" s="147">
        <f t="shared" si="1290"/>
        <v>75</v>
      </c>
      <c r="Q476" s="147">
        <f t="shared" si="1291"/>
        <v>75</v>
      </c>
      <c r="R476" s="147">
        <f t="shared" si="1292"/>
        <v>443</v>
      </c>
      <c r="S476" s="147">
        <f t="shared" si="1293"/>
        <v>443</v>
      </c>
      <c r="T476" s="147">
        <f t="shared" si="1213"/>
        <v>2723</v>
      </c>
      <c r="V476" s="146"/>
      <c r="W476" s="147"/>
      <c r="X476" s="147"/>
      <c r="Y476" s="147"/>
      <c r="Z476" s="147"/>
      <c r="AA476" s="147"/>
      <c r="AB476" s="147"/>
      <c r="AC476" s="147"/>
      <c r="AD476" s="148"/>
      <c r="AF476" s="155">
        <f t="shared" ref="AF476:AF544" si="1382">B476</f>
        <v>34900</v>
      </c>
      <c r="AG476" s="78">
        <v>32859.886700000003</v>
      </c>
      <c r="AH476" s="78"/>
      <c r="AI476" s="78"/>
      <c r="AJ476" s="78"/>
      <c r="AK476" s="78"/>
      <c r="AL476" s="78"/>
      <c r="AM476" s="78"/>
      <c r="AN476" s="78"/>
      <c r="AO476" s="78"/>
      <c r="AP476" s="78"/>
      <c r="AQ476" s="78"/>
      <c r="AR476" s="78"/>
      <c r="AS476" s="78"/>
      <c r="AT476" s="78"/>
      <c r="AU476" s="78"/>
      <c r="AV476" s="78"/>
      <c r="AW476" s="78"/>
      <c r="AX476" s="78"/>
      <c r="AY476" s="78"/>
      <c r="AZ476" s="78"/>
      <c r="BA476" s="78"/>
      <c r="BB476" s="78"/>
      <c r="BC476" s="78"/>
      <c r="BD476" s="78"/>
      <c r="BE476" s="78"/>
      <c r="BF476" s="78"/>
      <c r="BG476" s="78"/>
      <c r="BH476" s="78"/>
      <c r="BI476" s="78"/>
      <c r="BJ476" s="78"/>
      <c r="BK476" s="78"/>
      <c r="BL476" s="78"/>
      <c r="BM476" s="78"/>
      <c r="BN476" s="78">
        <v>20.219000000000001</v>
      </c>
      <c r="BO476" s="78">
        <v>20.219000000000001</v>
      </c>
      <c r="BP476" s="78"/>
      <c r="BQ476" s="78">
        <f t="shared" si="1357"/>
        <v>20.219000000000001</v>
      </c>
      <c r="BR476" s="78">
        <f t="shared" si="1358"/>
        <v>20.219000000000001</v>
      </c>
      <c r="BS476" s="78"/>
      <c r="BT476" s="78">
        <v>39.847700000000003</v>
      </c>
      <c r="BU476" s="78">
        <v>39.847700000000003</v>
      </c>
      <c r="BV476" s="78"/>
      <c r="BW476" s="78">
        <f t="shared" si="1348"/>
        <v>39.847700000000003</v>
      </c>
      <c r="BX476" s="78">
        <f t="shared" si="1349"/>
        <v>39.847700000000003</v>
      </c>
      <c r="BY476" s="78">
        <f t="shared" si="1349"/>
        <v>0</v>
      </c>
      <c r="BZ476" s="78"/>
      <c r="CA476" s="78"/>
      <c r="CB476" s="78">
        <v>463.93</v>
      </c>
      <c r="CC476" s="231">
        <f t="shared" si="1212"/>
        <v>34900</v>
      </c>
    </row>
    <row r="477" spans="2:81" s="3" customFormat="1" ht="15.75" thickBot="1" x14ac:dyDescent="0.3">
      <c r="B477" s="158">
        <v>34950</v>
      </c>
      <c r="C477" s="144">
        <f t="shared" si="1286"/>
        <v>30021.653699999999</v>
      </c>
      <c r="D477" s="144">
        <f t="shared" si="1366"/>
        <v>0</v>
      </c>
      <c r="E477" s="144">
        <f t="shared" si="1206"/>
        <v>0</v>
      </c>
      <c r="F477" s="144">
        <f t="shared" si="1374"/>
        <v>0</v>
      </c>
      <c r="G477" s="144">
        <f t="shared" si="1207"/>
        <v>40.438000000000002</v>
      </c>
      <c r="H477" s="144">
        <f t="shared" si="1208"/>
        <v>40.438000000000002</v>
      </c>
      <c r="I477" s="144">
        <f t="shared" si="1209"/>
        <v>79.700400000000002</v>
      </c>
      <c r="J477" s="159">
        <f t="shared" si="1210"/>
        <v>79.700400000000002</v>
      </c>
      <c r="K477" s="160">
        <f t="shared" si="1211"/>
        <v>444.31</v>
      </c>
      <c r="L477" s="152">
        <f t="shared" si="1287"/>
        <v>58224</v>
      </c>
      <c r="M477" s="144">
        <f t="shared" si="1288"/>
        <v>0</v>
      </c>
      <c r="N477" s="144"/>
      <c r="O477" s="144">
        <f t="shared" si="1289"/>
        <v>0</v>
      </c>
      <c r="P477" s="144">
        <f t="shared" si="1290"/>
        <v>75</v>
      </c>
      <c r="Q477" s="144">
        <f t="shared" si="1291"/>
        <v>75</v>
      </c>
      <c r="R477" s="144">
        <f t="shared" si="1292"/>
        <v>443</v>
      </c>
      <c r="S477" s="144">
        <f t="shared" si="1293"/>
        <v>443</v>
      </c>
      <c r="T477" s="144">
        <f t="shared" si="1213"/>
        <v>2523</v>
      </c>
      <c r="V477" s="150">
        <f>L476+L477</f>
        <v>122797</v>
      </c>
      <c r="W477" s="150">
        <f t="shared" ref="W477" si="1383">M476+M477</f>
        <v>0</v>
      </c>
      <c r="X477" s="150"/>
      <c r="Y477" s="150">
        <f t="shared" ref="Y477" si="1384">O476+O477</f>
        <v>0</v>
      </c>
      <c r="Z477" s="150">
        <f t="shared" ref="Z477" si="1385">P476+P477</f>
        <v>150</v>
      </c>
      <c r="AA477" s="150">
        <f t="shared" ref="AA477" si="1386">Q476+Q477</f>
        <v>150</v>
      </c>
      <c r="AB477" s="150">
        <f t="shared" ref="AB477" si="1387">R476+R477</f>
        <v>886</v>
      </c>
      <c r="AC477" s="150">
        <f t="shared" ref="AC477" si="1388">S476+S477</f>
        <v>886</v>
      </c>
      <c r="AD477" s="150">
        <f t="shared" ref="AD477" si="1389">T476+T477</f>
        <v>5246</v>
      </c>
      <c r="AF477" s="158">
        <f t="shared" si="1382"/>
        <v>34950</v>
      </c>
      <c r="AG477" s="149">
        <v>30021.653699999999</v>
      </c>
      <c r="AH477" s="149"/>
      <c r="AI477" s="149"/>
      <c r="AJ477" s="149"/>
      <c r="AK477" s="149"/>
      <c r="AL477" s="149"/>
      <c r="AM477" s="149"/>
      <c r="AN477" s="149"/>
      <c r="AO477" s="149"/>
      <c r="AP477" s="149"/>
      <c r="AQ477" s="149"/>
      <c r="AR477" s="149"/>
      <c r="AS477" s="149"/>
      <c r="AT477" s="149"/>
      <c r="AU477" s="149"/>
      <c r="AV477" s="149"/>
      <c r="AW477" s="149"/>
      <c r="AX477" s="149"/>
      <c r="AY477" s="149"/>
      <c r="AZ477" s="149"/>
      <c r="BA477" s="149"/>
      <c r="BB477" s="149"/>
      <c r="BC477" s="149"/>
      <c r="BD477" s="149"/>
      <c r="BE477" s="149"/>
      <c r="BF477" s="149"/>
      <c r="BG477" s="149"/>
      <c r="BH477" s="149"/>
      <c r="BI477" s="149"/>
      <c r="BJ477" s="149"/>
      <c r="BK477" s="149"/>
      <c r="BL477" s="149"/>
      <c r="BM477" s="149"/>
      <c r="BN477" s="149">
        <v>20.219000000000001</v>
      </c>
      <c r="BO477" s="149">
        <v>20.219000000000001</v>
      </c>
      <c r="BP477" s="149"/>
      <c r="BQ477" s="149">
        <f t="shared" si="1357"/>
        <v>20.219000000000001</v>
      </c>
      <c r="BR477" s="149">
        <f t="shared" si="1358"/>
        <v>20.219000000000001</v>
      </c>
      <c r="BS477" s="149"/>
      <c r="BT477" s="149">
        <v>39.850200000000001</v>
      </c>
      <c r="BU477" s="149">
        <v>39.850200000000001</v>
      </c>
      <c r="BV477" s="149"/>
      <c r="BW477" s="149">
        <f t="shared" si="1348"/>
        <v>39.850200000000001</v>
      </c>
      <c r="BX477" s="149">
        <f t="shared" si="1349"/>
        <v>39.850200000000001</v>
      </c>
      <c r="BY477" s="149">
        <f t="shared" si="1349"/>
        <v>0</v>
      </c>
      <c r="BZ477" s="149"/>
      <c r="CA477" s="149"/>
      <c r="CB477" s="149">
        <v>444.31</v>
      </c>
      <c r="CC477" s="231">
        <f t="shared" si="1212"/>
        <v>34950</v>
      </c>
    </row>
    <row r="478" spans="2:81" x14ac:dyDescent="0.25">
      <c r="B478" s="155">
        <v>35000</v>
      </c>
      <c r="C478" s="147">
        <f t="shared" si="1286"/>
        <v>29754.5131</v>
      </c>
      <c r="D478" s="147">
        <f t="shared" si="1366"/>
        <v>0</v>
      </c>
      <c r="E478" s="147">
        <f t="shared" si="1206"/>
        <v>0</v>
      </c>
      <c r="F478" s="147">
        <f t="shared" si="1374"/>
        <v>0</v>
      </c>
      <c r="G478" s="147">
        <f t="shared" si="1207"/>
        <v>40.438000000000002</v>
      </c>
      <c r="H478" s="147">
        <f t="shared" si="1208"/>
        <v>40.438000000000002</v>
      </c>
      <c r="I478" s="147">
        <f t="shared" si="1209"/>
        <v>79.706800000000001</v>
      </c>
      <c r="J478" s="156">
        <f t="shared" si="1210"/>
        <v>79.706800000000001</v>
      </c>
      <c r="K478" s="157">
        <f t="shared" si="1211"/>
        <v>425.8</v>
      </c>
      <c r="L478" s="151">
        <f t="shared" si="1287"/>
        <v>55349</v>
      </c>
      <c r="M478" s="147">
        <f t="shared" si="1288"/>
        <v>0</v>
      </c>
      <c r="N478" s="147"/>
      <c r="O478" s="147">
        <f t="shared" si="1289"/>
        <v>0</v>
      </c>
      <c r="P478" s="147">
        <f t="shared" si="1290"/>
        <v>75</v>
      </c>
      <c r="Q478" s="147">
        <f t="shared" si="1291"/>
        <v>75</v>
      </c>
      <c r="R478" s="147">
        <f t="shared" si="1292"/>
        <v>443</v>
      </c>
      <c r="S478" s="147">
        <f t="shared" si="1293"/>
        <v>443</v>
      </c>
      <c r="T478" s="147">
        <f t="shared" si="1213"/>
        <v>2417</v>
      </c>
      <c r="V478" s="146"/>
      <c r="W478" s="147"/>
      <c r="X478" s="147"/>
      <c r="Y478" s="147"/>
      <c r="Z478" s="147"/>
      <c r="AA478" s="147"/>
      <c r="AB478" s="147"/>
      <c r="AC478" s="147"/>
      <c r="AD478" s="148"/>
      <c r="AF478" s="155">
        <f t="shared" si="1382"/>
        <v>35000</v>
      </c>
      <c r="AG478" s="78">
        <v>29754.5131</v>
      </c>
      <c r="AH478" s="78"/>
      <c r="AI478" s="78"/>
      <c r="AJ478" s="78"/>
      <c r="AK478" s="78"/>
      <c r="AL478" s="78"/>
      <c r="AM478" s="78"/>
      <c r="AN478" s="78"/>
      <c r="AO478" s="78"/>
      <c r="AP478" s="78"/>
      <c r="AQ478" s="78"/>
      <c r="AR478" s="78"/>
      <c r="AS478" s="78"/>
      <c r="AT478" s="78"/>
      <c r="AU478" s="78"/>
      <c r="AV478" s="78"/>
      <c r="AW478" s="78"/>
      <c r="AX478" s="78"/>
      <c r="AY478" s="78"/>
      <c r="AZ478" s="78"/>
      <c r="BA478" s="78"/>
      <c r="BB478" s="78"/>
      <c r="BC478" s="78"/>
      <c r="BD478" s="78"/>
      <c r="BE478" s="78"/>
      <c r="BF478" s="78"/>
      <c r="BG478" s="78"/>
      <c r="BH478" s="78"/>
      <c r="BI478" s="78"/>
      <c r="BJ478" s="78"/>
      <c r="BK478" s="78"/>
      <c r="BL478" s="78"/>
      <c r="BM478" s="78"/>
      <c r="BN478" s="78">
        <v>20.219000000000001</v>
      </c>
      <c r="BO478" s="78">
        <v>20.219000000000001</v>
      </c>
      <c r="BP478" s="78"/>
      <c r="BQ478" s="78">
        <f t="shared" si="1357"/>
        <v>20.219000000000001</v>
      </c>
      <c r="BR478" s="78">
        <f t="shared" si="1358"/>
        <v>20.219000000000001</v>
      </c>
      <c r="BS478" s="78"/>
      <c r="BT478" s="78">
        <v>39.853400000000001</v>
      </c>
      <c r="BU478" s="78">
        <v>39.853400000000001</v>
      </c>
      <c r="BV478" s="78"/>
      <c r="BW478" s="78">
        <f t="shared" si="1348"/>
        <v>39.853400000000001</v>
      </c>
      <c r="BX478" s="78">
        <f t="shared" si="1349"/>
        <v>39.853400000000001</v>
      </c>
      <c r="BY478" s="78">
        <f t="shared" si="1349"/>
        <v>0</v>
      </c>
      <c r="BZ478" s="78"/>
      <c r="CA478" s="78"/>
      <c r="CB478" s="78">
        <v>425.8</v>
      </c>
      <c r="CC478" s="231">
        <f t="shared" si="1212"/>
        <v>35000</v>
      </c>
    </row>
    <row r="479" spans="2:81" s="3" customFormat="1" ht="15.75" thickBot="1" x14ac:dyDescent="0.3">
      <c r="B479" s="158">
        <v>35050</v>
      </c>
      <c r="C479" s="144">
        <f t="shared" si="1286"/>
        <v>28471.5105</v>
      </c>
      <c r="D479" s="144">
        <f t="shared" si="1366"/>
        <v>0</v>
      </c>
      <c r="E479" s="144">
        <f t="shared" ref="E479:E546" si="1390">BH479+BJ479+BI479</f>
        <v>0</v>
      </c>
      <c r="F479" s="144">
        <f t="shared" si="1374"/>
        <v>0</v>
      </c>
      <c r="G479" s="144">
        <f t="shared" ref="G479:G546" si="1391">BN479+BO479+BP479</f>
        <v>40.438000000000002</v>
      </c>
      <c r="H479" s="144">
        <f t="shared" ref="H479:H546" si="1392">BQ479+BR479+BS479</f>
        <v>40.438000000000002</v>
      </c>
      <c r="I479" s="144">
        <f t="shared" ref="I479:I546" si="1393">BT479+BU479+BV479</f>
        <v>79.708200000000005</v>
      </c>
      <c r="J479" s="159">
        <f t="shared" ref="J479:J546" si="1394">BW479+BX479+BY479</f>
        <v>79.708200000000005</v>
      </c>
      <c r="K479" s="160">
        <f t="shared" ref="K479:K546" si="1395">BZ479+CA479+CB479</f>
        <v>417.18</v>
      </c>
      <c r="L479" s="152">
        <f t="shared" si="1287"/>
        <v>53913</v>
      </c>
      <c r="M479" s="144">
        <f t="shared" si="1288"/>
        <v>0</v>
      </c>
      <c r="N479" s="144"/>
      <c r="O479" s="144">
        <f t="shared" si="1289"/>
        <v>0</v>
      </c>
      <c r="P479" s="144">
        <f t="shared" si="1290"/>
        <v>75</v>
      </c>
      <c r="Q479" s="144">
        <f t="shared" si="1291"/>
        <v>75</v>
      </c>
      <c r="R479" s="144">
        <f t="shared" si="1292"/>
        <v>443</v>
      </c>
      <c r="S479" s="144">
        <f t="shared" si="1293"/>
        <v>443</v>
      </c>
      <c r="T479" s="144">
        <f t="shared" si="1213"/>
        <v>2342</v>
      </c>
      <c r="V479" s="150">
        <f>L478+L479</f>
        <v>109262</v>
      </c>
      <c r="W479" s="150">
        <f t="shared" ref="W479" si="1396">M478+M479</f>
        <v>0</v>
      </c>
      <c r="X479" s="150"/>
      <c r="Y479" s="150">
        <f t="shared" ref="Y479" si="1397">O478+O479</f>
        <v>0</v>
      </c>
      <c r="Z479" s="150">
        <f t="shared" ref="Z479" si="1398">P478+P479</f>
        <v>150</v>
      </c>
      <c r="AA479" s="150">
        <f t="shared" ref="AA479" si="1399">Q478+Q479</f>
        <v>150</v>
      </c>
      <c r="AB479" s="150">
        <f t="shared" ref="AB479" si="1400">R478+R479</f>
        <v>886</v>
      </c>
      <c r="AC479" s="150">
        <f t="shared" ref="AC479" si="1401">S478+S479</f>
        <v>886</v>
      </c>
      <c r="AD479" s="150">
        <f t="shared" ref="AD479" si="1402">T478+T479</f>
        <v>4759</v>
      </c>
      <c r="AF479" s="158">
        <f t="shared" si="1382"/>
        <v>35050</v>
      </c>
      <c r="AG479" s="149">
        <v>28471.5105</v>
      </c>
      <c r="AH479" s="149"/>
      <c r="AI479" s="149"/>
      <c r="AJ479" s="149"/>
      <c r="AK479" s="149"/>
      <c r="AL479" s="149"/>
      <c r="AM479" s="149"/>
      <c r="AN479" s="149"/>
      <c r="AO479" s="149"/>
      <c r="AP479" s="149"/>
      <c r="AQ479" s="149"/>
      <c r="AR479" s="149"/>
      <c r="AS479" s="149"/>
      <c r="AT479" s="149"/>
      <c r="AU479" s="149"/>
      <c r="AV479" s="149"/>
      <c r="AW479" s="149"/>
      <c r="AX479" s="149"/>
      <c r="AY479" s="149"/>
      <c r="AZ479" s="149"/>
      <c r="BA479" s="149"/>
      <c r="BB479" s="149"/>
      <c r="BC479" s="149"/>
      <c r="BD479" s="149"/>
      <c r="BE479" s="149"/>
      <c r="BF479" s="149"/>
      <c r="BG479" s="149"/>
      <c r="BH479" s="149"/>
      <c r="BI479" s="149"/>
      <c r="BJ479" s="149"/>
      <c r="BK479" s="149"/>
      <c r="BL479" s="149"/>
      <c r="BM479" s="149"/>
      <c r="BN479" s="149">
        <v>20.219000000000001</v>
      </c>
      <c r="BO479" s="149">
        <v>20.219000000000001</v>
      </c>
      <c r="BP479" s="149"/>
      <c r="BQ479" s="149">
        <f t="shared" si="1357"/>
        <v>20.219000000000001</v>
      </c>
      <c r="BR479" s="149">
        <f t="shared" si="1358"/>
        <v>20.219000000000001</v>
      </c>
      <c r="BS479" s="149"/>
      <c r="BT479" s="149">
        <v>39.854100000000003</v>
      </c>
      <c r="BU479" s="149">
        <v>39.854100000000003</v>
      </c>
      <c r="BV479" s="149"/>
      <c r="BW479" s="149">
        <f t="shared" si="1348"/>
        <v>39.854100000000003</v>
      </c>
      <c r="BX479" s="149">
        <f t="shared" si="1349"/>
        <v>39.854100000000003</v>
      </c>
      <c r="BY479" s="149">
        <f t="shared" si="1349"/>
        <v>0</v>
      </c>
      <c r="BZ479" s="149"/>
      <c r="CA479" s="149"/>
      <c r="CB479" s="149">
        <v>417.18</v>
      </c>
      <c r="CC479" s="231">
        <f t="shared" ref="CC479:CC526" si="1403">B479</f>
        <v>35050</v>
      </c>
    </row>
    <row r="480" spans="2:81" x14ac:dyDescent="0.25">
      <c r="B480" s="155">
        <v>35100</v>
      </c>
      <c r="C480" s="147">
        <f t="shared" si="1286"/>
        <v>25683.130700000002</v>
      </c>
      <c r="D480" s="147">
        <f t="shared" si="1366"/>
        <v>0</v>
      </c>
      <c r="E480" s="147">
        <f t="shared" si="1390"/>
        <v>0</v>
      </c>
      <c r="F480" s="147">
        <f t="shared" si="1374"/>
        <v>0</v>
      </c>
      <c r="G480" s="147">
        <f t="shared" si="1391"/>
        <v>40.438000000000002</v>
      </c>
      <c r="H480" s="147">
        <f t="shared" si="1392"/>
        <v>40.438000000000002</v>
      </c>
      <c r="I480" s="147">
        <f t="shared" si="1393"/>
        <v>79.708200000000005</v>
      </c>
      <c r="J480" s="156">
        <f t="shared" si="1394"/>
        <v>79.708200000000005</v>
      </c>
      <c r="K480" s="157">
        <f t="shared" si="1395"/>
        <v>403.15</v>
      </c>
      <c r="L480" s="151">
        <f t="shared" si="1287"/>
        <v>50144</v>
      </c>
      <c r="M480" s="147">
        <f t="shared" si="1288"/>
        <v>0</v>
      </c>
      <c r="N480" s="147"/>
      <c r="O480" s="147">
        <f t="shared" si="1289"/>
        <v>0</v>
      </c>
      <c r="P480" s="147">
        <f t="shared" si="1290"/>
        <v>75</v>
      </c>
      <c r="Q480" s="147">
        <f t="shared" si="1291"/>
        <v>75</v>
      </c>
      <c r="R480" s="147">
        <f t="shared" si="1292"/>
        <v>443</v>
      </c>
      <c r="S480" s="147">
        <f t="shared" si="1293"/>
        <v>443</v>
      </c>
      <c r="T480" s="147">
        <f t="shared" ref="T480:T526" si="1404">ROUNDUP(((K480+K479)*0.5)*(B480-B479)/9,0)</f>
        <v>2279</v>
      </c>
      <c r="V480" s="146"/>
      <c r="W480" s="147"/>
      <c r="X480" s="147"/>
      <c r="Y480" s="147"/>
      <c r="Z480" s="147"/>
      <c r="AA480" s="147"/>
      <c r="AB480" s="147"/>
      <c r="AC480" s="147"/>
      <c r="AD480" s="148"/>
      <c r="AF480" s="155">
        <f t="shared" si="1382"/>
        <v>35100</v>
      </c>
      <c r="AG480" s="78">
        <v>25683.130700000002</v>
      </c>
      <c r="AH480" s="78"/>
      <c r="AI480" s="78"/>
      <c r="AJ480" s="78"/>
      <c r="AK480" s="78"/>
      <c r="AL480" s="78"/>
      <c r="AM480" s="78"/>
      <c r="AN480" s="78"/>
      <c r="AO480" s="78"/>
      <c r="AP480" s="78"/>
      <c r="AQ480" s="78"/>
      <c r="AR480" s="78"/>
      <c r="AS480" s="78"/>
      <c r="AT480" s="78"/>
      <c r="AU480" s="78"/>
      <c r="AV480" s="78"/>
      <c r="AW480" s="78"/>
      <c r="AX480" s="78"/>
      <c r="AY480" s="78"/>
      <c r="AZ480" s="78"/>
      <c r="BA480" s="78"/>
      <c r="BB480" s="78"/>
      <c r="BC480" s="78"/>
      <c r="BD480" s="78"/>
      <c r="BE480" s="78"/>
      <c r="BF480" s="78"/>
      <c r="BG480" s="78"/>
      <c r="BH480" s="78"/>
      <c r="BI480" s="78"/>
      <c r="BJ480" s="78"/>
      <c r="BK480" s="78"/>
      <c r="BL480" s="78"/>
      <c r="BM480" s="78"/>
      <c r="BN480" s="78">
        <v>20.219000000000001</v>
      </c>
      <c r="BO480" s="78">
        <v>20.219000000000001</v>
      </c>
      <c r="BP480" s="78"/>
      <c r="BQ480" s="78">
        <f t="shared" si="1357"/>
        <v>20.219000000000001</v>
      </c>
      <c r="BR480" s="78">
        <f t="shared" si="1358"/>
        <v>20.219000000000001</v>
      </c>
      <c r="BS480" s="78"/>
      <c r="BT480" s="78">
        <v>39.854100000000003</v>
      </c>
      <c r="BU480" s="78">
        <v>39.854100000000003</v>
      </c>
      <c r="BV480" s="78"/>
      <c r="BW480" s="78">
        <f t="shared" si="1348"/>
        <v>39.854100000000003</v>
      </c>
      <c r="BX480" s="78">
        <f t="shared" si="1349"/>
        <v>39.854100000000003</v>
      </c>
      <c r="BY480" s="78">
        <f t="shared" si="1349"/>
        <v>0</v>
      </c>
      <c r="BZ480" s="78"/>
      <c r="CA480" s="78"/>
      <c r="CB480" s="78">
        <v>403.15</v>
      </c>
      <c r="CC480" s="231">
        <f t="shared" si="1403"/>
        <v>35100</v>
      </c>
    </row>
    <row r="481" spans="2:81" s="3" customFormat="1" ht="15.75" thickBot="1" x14ac:dyDescent="0.3">
      <c r="B481" s="158">
        <v>35150</v>
      </c>
      <c r="C481" s="144">
        <f t="shared" si="1286"/>
        <v>22917.816900000002</v>
      </c>
      <c r="D481" s="144">
        <f t="shared" si="1366"/>
        <v>0</v>
      </c>
      <c r="E481" s="144">
        <f t="shared" si="1390"/>
        <v>0</v>
      </c>
      <c r="F481" s="144">
        <f t="shared" si="1374"/>
        <v>0</v>
      </c>
      <c r="G481" s="144">
        <f t="shared" si="1391"/>
        <v>40.438000000000002</v>
      </c>
      <c r="H481" s="144">
        <f t="shared" si="1392"/>
        <v>40.438000000000002</v>
      </c>
      <c r="I481" s="144">
        <f t="shared" si="1393"/>
        <v>79.708200000000005</v>
      </c>
      <c r="J481" s="159">
        <f t="shared" si="1394"/>
        <v>79.708200000000005</v>
      </c>
      <c r="K481" s="160">
        <f t="shared" si="1395"/>
        <v>384.62</v>
      </c>
      <c r="L481" s="152">
        <f t="shared" si="1287"/>
        <v>45001</v>
      </c>
      <c r="M481" s="144">
        <f t="shared" si="1288"/>
        <v>0</v>
      </c>
      <c r="N481" s="144"/>
      <c r="O481" s="144">
        <f t="shared" si="1289"/>
        <v>0</v>
      </c>
      <c r="P481" s="144">
        <f t="shared" si="1290"/>
        <v>75</v>
      </c>
      <c r="Q481" s="144">
        <f t="shared" si="1291"/>
        <v>75</v>
      </c>
      <c r="R481" s="144">
        <f t="shared" si="1292"/>
        <v>443</v>
      </c>
      <c r="S481" s="144">
        <f t="shared" si="1293"/>
        <v>443</v>
      </c>
      <c r="T481" s="144">
        <f t="shared" si="1404"/>
        <v>2189</v>
      </c>
      <c r="V481" s="150">
        <f>L480+L481</f>
        <v>95145</v>
      </c>
      <c r="W481" s="150">
        <f t="shared" ref="W481" si="1405">M480+M481</f>
        <v>0</v>
      </c>
      <c r="X481" s="150"/>
      <c r="Y481" s="150">
        <f t="shared" ref="Y481" si="1406">O480+O481</f>
        <v>0</v>
      </c>
      <c r="Z481" s="150">
        <f t="shared" ref="Z481" si="1407">P480+P481</f>
        <v>150</v>
      </c>
      <c r="AA481" s="150">
        <f t="shared" ref="AA481" si="1408">Q480+Q481</f>
        <v>150</v>
      </c>
      <c r="AB481" s="150">
        <f t="shared" ref="AB481" si="1409">R480+R481</f>
        <v>886</v>
      </c>
      <c r="AC481" s="150">
        <f t="shared" ref="AC481" si="1410">S480+S481</f>
        <v>886</v>
      </c>
      <c r="AD481" s="150">
        <f t="shared" ref="AD481" si="1411">T480+T481</f>
        <v>4468</v>
      </c>
      <c r="AF481" s="158">
        <f t="shared" si="1382"/>
        <v>35150</v>
      </c>
      <c r="AG481" s="149">
        <v>22917.816900000002</v>
      </c>
      <c r="AH481" s="149"/>
      <c r="AI481" s="149"/>
      <c r="AJ481" s="149"/>
      <c r="AK481" s="149"/>
      <c r="AL481" s="149"/>
      <c r="AM481" s="149"/>
      <c r="AN481" s="149"/>
      <c r="AO481" s="149"/>
      <c r="AP481" s="149"/>
      <c r="AQ481" s="149"/>
      <c r="AR481" s="149"/>
      <c r="AS481" s="149"/>
      <c r="AT481" s="149"/>
      <c r="AU481" s="149"/>
      <c r="AV481" s="149"/>
      <c r="AW481" s="149"/>
      <c r="AX481" s="149"/>
      <c r="AY481" s="149"/>
      <c r="AZ481" s="149"/>
      <c r="BA481" s="149"/>
      <c r="BB481" s="149"/>
      <c r="BC481" s="149"/>
      <c r="BD481" s="149"/>
      <c r="BE481" s="149"/>
      <c r="BF481" s="149"/>
      <c r="BG481" s="149"/>
      <c r="BH481" s="149"/>
      <c r="BI481" s="149"/>
      <c r="BJ481" s="149"/>
      <c r="BK481" s="149"/>
      <c r="BL481" s="149"/>
      <c r="BM481" s="149"/>
      <c r="BN481" s="149">
        <v>20.219000000000001</v>
      </c>
      <c r="BO481" s="149">
        <v>20.219000000000001</v>
      </c>
      <c r="BP481" s="149"/>
      <c r="BQ481" s="149">
        <f t="shared" si="1357"/>
        <v>20.219000000000001</v>
      </c>
      <c r="BR481" s="149">
        <f t="shared" si="1358"/>
        <v>20.219000000000001</v>
      </c>
      <c r="BS481" s="149"/>
      <c r="BT481" s="149">
        <v>39.854100000000003</v>
      </c>
      <c r="BU481" s="149">
        <v>39.854100000000003</v>
      </c>
      <c r="BV481" s="149"/>
      <c r="BW481" s="149">
        <f t="shared" si="1348"/>
        <v>39.854100000000003</v>
      </c>
      <c r="BX481" s="149">
        <f t="shared" si="1349"/>
        <v>39.854100000000003</v>
      </c>
      <c r="BY481" s="149">
        <f t="shared" si="1349"/>
        <v>0</v>
      </c>
      <c r="BZ481" s="149"/>
      <c r="CA481" s="149"/>
      <c r="CB481" s="149">
        <v>384.62</v>
      </c>
      <c r="CC481" s="231">
        <f t="shared" si="1403"/>
        <v>35150</v>
      </c>
    </row>
    <row r="482" spans="2:81" x14ac:dyDescent="0.25">
      <c r="B482" s="155">
        <v>35200</v>
      </c>
      <c r="C482" s="147">
        <f t="shared" si="1286"/>
        <v>20736.0854</v>
      </c>
      <c r="D482" s="147">
        <f t="shared" si="1366"/>
        <v>0</v>
      </c>
      <c r="E482" s="147">
        <f t="shared" si="1390"/>
        <v>0</v>
      </c>
      <c r="F482" s="147">
        <f t="shared" si="1374"/>
        <v>0</v>
      </c>
      <c r="G482" s="147">
        <f t="shared" si="1391"/>
        <v>40.438000000000002</v>
      </c>
      <c r="H482" s="147">
        <f t="shared" si="1392"/>
        <v>40.438000000000002</v>
      </c>
      <c r="I482" s="147">
        <f t="shared" si="1393"/>
        <v>79.708200000000005</v>
      </c>
      <c r="J482" s="156">
        <f t="shared" si="1394"/>
        <v>79.708200000000005</v>
      </c>
      <c r="K482" s="157">
        <f t="shared" si="1395"/>
        <v>362.53</v>
      </c>
      <c r="L482" s="151">
        <f t="shared" si="1287"/>
        <v>40421</v>
      </c>
      <c r="M482" s="147">
        <f t="shared" si="1288"/>
        <v>0</v>
      </c>
      <c r="N482" s="147"/>
      <c r="O482" s="147">
        <f t="shared" si="1289"/>
        <v>0</v>
      </c>
      <c r="P482" s="147">
        <f t="shared" si="1290"/>
        <v>75</v>
      </c>
      <c r="Q482" s="147">
        <f t="shared" si="1291"/>
        <v>75</v>
      </c>
      <c r="R482" s="147">
        <f t="shared" si="1292"/>
        <v>443</v>
      </c>
      <c r="S482" s="147">
        <f t="shared" si="1293"/>
        <v>443</v>
      </c>
      <c r="T482" s="147">
        <f t="shared" si="1404"/>
        <v>2076</v>
      </c>
      <c r="V482" s="146"/>
      <c r="W482" s="147"/>
      <c r="X482" s="147"/>
      <c r="Y482" s="147"/>
      <c r="Z482" s="147"/>
      <c r="AA482" s="147"/>
      <c r="AB482" s="147"/>
      <c r="AC482" s="147"/>
      <c r="AD482" s="148"/>
      <c r="AF482" s="155">
        <f t="shared" si="1382"/>
        <v>35200</v>
      </c>
      <c r="AG482" s="78">
        <v>20736.0854</v>
      </c>
      <c r="AH482" s="78"/>
      <c r="AI482" s="78"/>
      <c r="AJ482" s="78"/>
      <c r="AK482" s="78"/>
      <c r="AL482" s="78"/>
      <c r="AM482" s="78"/>
      <c r="AN482" s="78"/>
      <c r="AO482" s="78"/>
      <c r="AP482" s="78"/>
      <c r="AQ482" s="78"/>
      <c r="AR482" s="78"/>
      <c r="AS482" s="78"/>
      <c r="AT482" s="78"/>
      <c r="AU482" s="78"/>
      <c r="AV482" s="78"/>
      <c r="AW482" s="78"/>
      <c r="AX482" s="78"/>
      <c r="AY482" s="78"/>
      <c r="AZ482" s="78"/>
      <c r="BA482" s="78"/>
      <c r="BB482" s="78"/>
      <c r="BC482" s="78"/>
      <c r="BD482" s="78"/>
      <c r="BE482" s="78"/>
      <c r="BF482" s="78"/>
      <c r="BG482" s="78"/>
      <c r="BH482" s="78"/>
      <c r="BI482" s="78"/>
      <c r="BJ482" s="78"/>
      <c r="BK482" s="78"/>
      <c r="BL482" s="78"/>
      <c r="BM482" s="78"/>
      <c r="BN482" s="78">
        <v>20.219000000000001</v>
      </c>
      <c r="BO482" s="78">
        <v>20.219000000000001</v>
      </c>
      <c r="BP482" s="78"/>
      <c r="BQ482" s="78">
        <f t="shared" si="1357"/>
        <v>20.219000000000001</v>
      </c>
      <c r="BR482" s="78">
        <f t="shared" si="1358"/>
        <v>20.219000000000001</v>
      </c>
      <c r="BS482" s="78"/>
      <c r="BT482" s="78">
        <v>39.854100000000003</v>
      </c>
      <c r="BU482" s="78">
        <v>39.854100000000003</v>
      </c>
      <c r="BV482" s="78"/>
      <c r="BW482" s="78">
        <f t="shared" si="1348"/>
        <v>39.854100000000003</v>
      </c>
      <c r="BX482" s="78">
        <f t="shared" si="1349"/>
        <v>39.854100000000003</v>
      </c>
      <c r="BY482" s="78">
        <f t="shared" si="1349"/>
        <v>0</v>
      </c>
      <c r="BZ482" s="78"/>
      <c r="CA482" s="78"/>
      <c r="CB482" s="78">
        <v>362.53</v>
      </c>
      <c r="CC482" s="231">
        <f t="shared" si="1403"/>
        <v>35200</v>
      </c>
    </row>
    <row r="483" spans="2:81" s="3" customFormat="1" ht="15.75" thickBot="1" x14ac:dyDescent="0.3">
      <c r="B483" s="158">
        <v>35250</v>
      </c>
      <c r="C483" s="144">
        <f t="shared" si="1286"/>
        <v>19863.9643</v>
      </c>
      <c r="D483" s="144">
        <f t="shared" si="1366"/>
        <v>0</v>
      </c>
      <c r="E483" s="144">
        <f t="shared" si="1390"/>
        <v>0</v>
      </c>
      <c r="F483" s="144">
        <f t="shared" si="1374"/>
        <v>0</v>
      </c>
      <c r="G483" s="144">
        <f t="shared" si="1391"/>
        <v>40.438000000000002</v>
      </c>
      <c r="H483" s="144">
        <f t="shared" si="1392"/>
        <v>40.438000000000002</v>
      </c>
      <c r="I483" s="144">
        <f t="shared" si="1393"/>
        <v>79.708200000000005</v>
      </c>
      <c r="J483" s="159">
        <f t="shared" si="1394"/>
        <v>79.708200000000005</v>
      </c>
      <c r="K483" s="160">
        <f t="shared" si="1395"/>
        <v>373.56</v>
      </c>
      <c r="L483" s="152">
        <f t="shared" si="1287"/>
        <v>37593</v>
      </c>
      <c r="M483" s="144">
        <f t="shared" si="1288"/>
        <v>0</v>
      </c>
      <c r="N483" s="144"/>
      <c r="O483" s="144">
        <f t="shared" si="1289"/>
        <v>0</v>
      </c>
      <c r="P483" s="144">
        <f t="shared" si="1290"/>
        <v>75</v>
      </c>
      <c r="Q483" s="144">
        <f t="shared" si="1291"/>
        <v>75</v>
      </c>
      <c r="R483" s="144">
        <f t="shared" si="1292"/>
        <v>443</v>
      </c>
      <c r="S483" s="144">
        <f t="shared" si="1293"/>
        <v>443</v>
      </c>
      <c r="T483" s="144">
        <f t="shared" si="1404"/>
        <v>2045</v>
      </c>
      <c r="V483" s="150">
        <f>L482+L483</f>
        <v>78014</v>
      </c>
      <c r="W483" s="150">
        <f t="shared" ref="W483" si="1412">M482+M483</f>
        <v>0</v>
      </c>
      <c r="X483" s="150"/>
      <c r="Y483" s="150">
        <f t="shared" ref="Y483" si="1413">O482+O483</f>
        <v>0</v>
      </c>
      <c r="Z483" s="150">
        <f t="shared" ref="Z483" si="1414">P482+P483</f>
        <v>150</v>
      </c>
      <c r="AA483" s="150">
        <f t="shared" ref="AA483" si="1415">Q482+Q483</f>
        <v>150</v>
      </c>
      <c r="AB483" s="150">
        <f t="shared" ref="AB483" si="1416">R482+R483</f>
        <v>886</v>
      </c>
      <c r="AC483" s="150">
        <f t="shared" ref="AC483" si="1417">S482+S483</f>
        <v>886</v>
      </c>
      <c r="AD483" s="150">
        <f t="shared" ref="AD483" si="1418">T482+T483</f>
        <v>4121</v>
      </c>
      <c r="AF483" s="158">
        <f t="shared" si="1382"/>
        <v>35250</v>
      </c>
      <c r="AG483" s="149">
        <v>19863.9643</v>
      </c>
      <c r="AH483" s="149"/>
      <c r="AI483" s="149"/>
      <c r="AJ483" s="149"/>
      <c r="AK483" s="149"/>
      <c r="AL483" s="149"/>
      <c r="AM483" s="149"/>
      <c r="AN483" s="149"/>
      <c r="AO483" s="149"/>
      <c r="AP483" s="149"/>
      <c r="AQ483" s="149"/>
      <c r="AR483" s="149"/>
      <c r="AS483" s="149"/>
      <c r="AT483" s="149"/>
      <c r="AU483" s="149"/>
      <c r="AV483" s="149"/>
      <c r="AW483" s="149"/>
      <c r="AX483" s="149"/>
      <c r="AY483" s="149"/>
      <c r="AZ483" s="149"/>
      <c r="BA483" s="149"/>
      <c r="BB483" s="149"/>
      <c r="BC483" s="149"/>
      <c r="BD483" s="149"/>
      <c r="BE483" s="149"/>
      <c r="BF483" s="149"/>
      <c r="BG483" s="149"/>
      <c r="BH483" s="149"/>
      <c r="BI483" s="149"/>
      <c r="BJ483" s="149"/>
      <c r="BK483" s="149"/>
      <c r="BL483" s="149"/>
      <c r="BM483" s="149"/>
      <c r="BN483" s="149">
        <v>20.219000000000001</v>
      </c>
      <c r="BO483" s="149">
        <v>20.219000000000001</v>
      </c>
      <c r="BP483" s="149"/>
      <c r="BQ483" s="149">
        <f t="shared" si="1357"/>
        <v>20.219000000000001</v>
      </c>
      <c r="BR483" s="149">
        <f t="shared" si="1358"/>
        <v>20.219000000000001</v>
      </c>
      <c r="BS483" s="149"/>
      <c r="BT483" s="149">
        <v>39.854100000000003</v>
      </c>
      <c r="BU483" s="149">
        <v>39.854100000000003</v>
      </c>
      <c r="BV483" s="149"/>
      <c r="BW483" s="149">
        <f t="shared" si="1348"/>
        <v>39.854100000000003</v>
      </c>
      <c r="BX483" s="149">
        <f t="shared" si="1349"/>
        <v>39.854100000000003</v>
      </c>
      <c r="BY483" s="149">
        <f t="shared" si="1349"/>
        <v>0</v>
      </c>
      <c r="BZ483" s="149"/>
      <c r="CA483" s="149"/>
      <c r="CB483" s="149">
        <v>373.56</v>
      </c>
      <c r="CC483" s="231">
        <f t="shared" si="1403"/>
        <v>35250</v>
      </c>
    </row>
    <row r="484" spans="2:81" x14ac:dyDescent="0.25">
      <c r="B484" s="155">
        <v>35300</v>
      </c>
      <c r="C484" s="147">
        <f t="shared" si="1286"/>
        <v>19559.835899999998</v>
      </c>
      <c r="D484" s="147">
        <f t="shared" si="1366"/>
        <v>0</v>
      </c>
      <c r="E484" s="147">
        <f t="shared" si="1390"/>
        <v>0</v>
      </c>
      <c r="F484" s="147">
        <f t="shared" si="1374"/>
        <v>0</v>
      </c>
      <c r="G484" s="147">
        <f t="shared" si="1391"/>
        <v>40.438000000000002</v>
      </c>
      <c r="H484" s="147">
        <f t="shared" si="1392"/>
        <v>40.438000000000002</v>
      </c>
      <c r="I484" s="147">
        <f t="shared" si="1393"/>
        <v>79.708200000000005</v>
      </c>
      <c r="J484" s="156">
        <f t="shared" si="1394"/>
        <v>79.708200000000005</v>
      </c>
      <c r="K484" s="157">
        <f t="shared" si="1395"/>
        <v>363.16</v>
      </c>
      <c r="L484" s="151">
        <f t="shared" si="1287"/>
        <v>36504</v>
      </c>
      <c r="M484" s="147">
        <f t="shared" si="1288"/>
        <v>0</v>
      </c>
      <c r="N484" s="147"/>
      <c r="O484" s="147">
        <f t="shared" si="1289"/>
        <v>0</v>
      </c>
      <c r="P484" s="147">
        <f t="shared" si="1290"/>
        <v>75</v>
      </c>
      <c r="Q484" s="147">
        <f t="shared" si="1291"/>
        <v>75</v>
      </c>
      <c r="R484" s="147">
        <f t="shared" si="1292"/>
        <v>443</v>
      </c>
      <c r="S484" s="147">
        <f t="shared" si="1293"/>
        <v>443</v>
      </c>
      <c r="T484" s="147">
        <f t="shared" si="1404"/>
        <v>2047</v>
      </c>
      <c r="V484" s="146"/>
      <c r="W484" s="147"/>
      <c r="X484" s="147"/>
      <c r="Y484" s="147"/>
      <c r="Z484" s="147"/>
      <c r="AA484" s="147"/>
      <c r="AB484" s="147"/>
      <c r="AC484" s="147"/>
      <c r="AD484" s="148"/>
      <c r="AF484" s="155">
        <f t="shared" si="1382"/>
        <v>35300</v>
      </c>
      <c r="AG484" s="78">
        <v>19452.0239</v>
      </c>
      <c r="AH484" s="78">
        <v>53.905999999999999</v>
      </c>
      <c r="AI484" s="78">
        <v>53.905999999999999</v>
      </c>
      <c r="AJ484" s="78"/>
      <c r="AK484" s="78"/>
      <c r="AL484" s="78"/>
      <c r="AM484" s="78"/>
      <c r="AN484" s="78"/>
      <c r="AO484" s="78"/>
      <c r="AP484" s="78"/>
      <c r="AQ484" s="78"/>
      <c r="AR484" s="78"/>
      <c r="AS484" s="78"/>
      <c r="AT484" s="78"/>
      <c r="AU484" s="78"/>
      <c r="AV484" s="78"/>
      <c r="AW484" s="78"/>
      <c r="AX484" s="78"/>
      <c r="AY484" s="78"/>
      <c r="AZ484" s="78"/>
      <c r="BA484" s="78"/>
      <c r="BB484" s="78"/>
      <c r="BC484" s="78"/>
      <c r="BD484" s="78"/>
      <c r="BE484" s="78"/>
      <c r="BF484" s="78"/>
      <c r="BG484" s="78"/>
      <c r="BH484" s="78"/>
      <c r="BI484" s="78"/>
      <c r="BJ484" s="78"/>
      <c r="BK484" s="78"/>
      <c r="BL484" s="78"/>
      <c r="BM484" s="78"/>
      <c r="BN484" s="78">
        <v>20.219000000000001</v>
      </c>
      <c r="BO484" s="78">
        <v>20.219000000000001</v>
      </c>
      <c r="BP484" s="78"/>
      <c r="BQ484" s="78">
        <f t="shared" si="1357"/>
        <v>20.219000000000001</v>
      </c>
      <c r="BR484" s="78">
        <f t="shared" si="1358"/>
        <v>20.219000000000001</v>
      </c>
      <c r="BS484" s="78"/>
      <c r="BT484" s="78">
        <v>39.854100000000003</v>
      </c>
      <c r="BU484" s="78">
        <v>39.854100000000003</v>
      </c>
      <c r="BV484" s="78"/>
      <c r="BW484" s="78">
        <f t="shared" si="1348"/>
        <v>39.854100000000003</v>
      </c>
      <c r="BX484" s="78">
        <f t="shared" si="1349"/>
        <v>39.854100000000003</v>
      </c>
      <c r="BY484" s="78">
        <f t="shared" si="1349"/>
        <v>0</v>
      </c>
      <c r="BZ484" s="78"/>
      <c r="CA484" s="78"/>
      <c r="CB484" s="78">
        <v>363.16</v>
      </c>
      <c r="CC484" s="231">
        <f t="shared" si="1403"/>
        <v>35300</v>
      </c>
    </row>
    <row r="485" spans="2:81" s="3" customFormat="1" ht="15.75" thickBot="1" x14ac:dyDescent="0.3">
      <c r="B485" s="158">
        <v>35350</v>
      </c>
      <c r="C485" s="144">
        <f t="shared" si="1286"/>
        <v>22032.283299999999</v>
      </c>
      <c r="D485" s="144">
        <f t="shared" si="1366"/>
        <v>0</v>
      </c>
      <c r="E485" s="144">
        <f t="shared" si="1390"/>
        <v>0</v>
      </c>
      <c r="F485" s="144">
        <f t="shared" si="1374"/>
        <v>0</v>
      </c>
      <c r="G485" s="144">
        <f t="shared" si="1391"/>
        <v>40.438000000000002</v>
      </c>
      <c r="H485" s="144">
        <f t="shared" si="1392"/>
        <v>40.438000000000002</v>
      </c>
      <c r="I485" s="144">
        <f t="shared" si="1393"/>
        <v>79.708200000000005</v>
      </c>
      <c r="J485" s="159">
        <f t="shared" si="1394"/>
        <v>79.708200000000005</v>
      </c>
      <c r="K485" s="160">
        <f t="shared" si="1395"/>
        <v>386.13</v>
      </c>
      <c r="L485" s="152">
        <f t="shared" si="1287"/>
        <v>38512</v>
      </c>
      <c r="M485" s="144">
        <f t="shared" si="1288"/>
        <v>0</v>
      </c>
      <c r="N485" s="144"/>
      <c r="O485" s="144">
        <f t="shared" si="1289"/>
        <v>0</v>
      </c>
      <c r="P485" s="144">
        <f t="shared" si="1290"/>
        <v>75</v>
      </c>
      <c r="Q485" s="144">
        <f t="shared" si="1291"/>
        <v>75</v>
      </c>
      <c r="R485" s="144">
        <f t="shared" si="1292"/>
        <v>443</v>
      </c>
      <c r="S485" s="144">
        <f t="shared" si="1293"/>
        <v>443</v>
      </c>
      <c r="T485" s="144">
        <f t="shared" si="1404"/>
        <v>2082</v>
      </c>
      <c r="V485" s="150">
        <f>L484+L485</f>
        <v>75016</v>
      </c>
      <c r="W485" s="150">
        <f t="shared" ref="W485" si="1419">M484+M485</f>
        <v>0</v>
      </c>
      <c r="X485" s="150"/>
      <c r="Y485" s="150">
        <f t="shared" ref="Y485" si="1420">O484+O485</f>
        <v>0</v>
      </c>
      <c r="Z485" s="150">
        <f t="shared" ref="Z485" si="1421">P484+P485</f>
        <v>150</v>
      </c>
      <c r="AA485" s="150">
        <f t="shared" ref="AA485" si="1422">Q484+Q485</f>
        <v>150</v>
      </c>
      <c r="AB485" s="150">
        <f t="shared" ref="AB485" si="1423">R484+R485</f>
        <v>886</v>
      </c>
      <c r="AC485" s="150">
        <f t="shared" ref="AC485" si="1424">S484+S485</f>
        <v>886</v>
      </c>
      <c r="AD485" s="150">
        <f t="shared" ref="AD485" si="1425">T484+T485</f>
        <v>4129</v>
      </c>
      <c r="AF485" s="158">
        <f t="shared" si="1382"/>
        <v>35350</v>
      </c>
      <c r="AG485" s="149">
        <v>22032.283299999999</v>
      </c>
      <c r="AH485" s="149"/>
      <c r="AI485" s="149"/>
      <c r="AJ485" s="149"/>
      <c r="AK485" s="149"/>
      <c r="AL485" s="149"/>
      <c r="AM485" s="149"/>
      <c r="AN485" s="149"/>
      <c r="AO485" s="149"/>
      <c r="AP485" s="149"/>
      <c r="AQ485" s="149"/>
      <c r="AR485" s="149"/>
      <c r="AS485" s="149"/>
      <c r="AT485" s="149"/>
      <c r="AU485" s="149"/>
      <c r="AV485" s="149"/>
      <c r="AW485" s="149"/>
      <c r="AX485" s="149"/>
      <c r="AY485" s="149"/>
      <c r="AZ485" s="149"/>
      <c r="BA485" s="149"/>
      <c r="BB485" s="149"/>
      <c r="BC485" s="149"/>
      <c r="BD485" s="149"/>
      <c r="BE485" s="149"/>
      <c r="BF485" s="149"/>
      <c r="BG485" s="149"/>
      <c r="BH485" s="149"/>
      <c r="BI485" s="149"/>
      <c r="BJ485" s="149"/>
      <c r="BK485" s="149"/>
      <c r="BL485" s="149"/>
      <c r="BM485" s="149"/>
      <c r="BN485" s="149">
        <v>20.219000000000001</v>
      </c>
      <c r="BO485" s="149">
        <v>20.219000000000001</v>
      </c>
      <c r="BP485" s="149"/>
      <c r="BQ485" s="149">
        <f t="shared" si="1357"/>
        <v>20.219000000000001</v>
      </c>
      <c r="BR485" s="149">
        <f t="shared" si="1358"/>
        <v>20.219000000000001</v>
      </c>
      <c r="BS485" s="149"/>
      <c r="BT485" s="149">
        <v>39.854100000000003</v>
      </c>
      <c r="BU485" s="149">
        <v>39.854100000000003</v>
      </c>
      <c r="BV485" s="149"/>
      <c r="BW485" s="149">
        <f t="shared" si="1348"/>
        <v>39.854100000000003</v>
      </c>
      <c r="BX485" s="149">
        <f t="shared" si="1349"/>
        <v>39.854100000000003</v>
      </c>
      <c r="BY485" s="149">
        <f t="shared" si="1349"/>
        <v>0</v>
      </c>
      <c r="BZ485" s="149"/>
      <c r="CA485" s="149"/>
      <c r="CB485" s="149">
        <v>386.13</v>
      </c>
      <c r="CC485" s="231">
        <f t="shared" si="1403"/>
        <v>35350</v>
      </c>
    </row>
    <row r="486" spans="2:81" x14ac:dyDescent="0.25">
      <c r="B486" s="155">
        <v>35400</v>
      </c>
      <c r="C486" s="147">
        <f t="shared" si="1286"/>
        <v>25306.928899999999</v>
      </c>
      <c r="D486" s="147">
        <f t="shared" si="1366"/>
        <v>0</v>
      </c>
      <c r="E486" s="147">
        <f t="shared" si="1390"/>
        <v>0</v>
      </c>
      <c r="F486" s="147">
        <f t="shared" si="1374"/>
        <v>0</v>
      </c>
      <c r="G486" s="147">
        <f t="shared" si="1391"/>
        <v>40.438000000000002</v>
      </c>
      <c r="H486" s="147">
        <f t="shared" si="1392"/>
        <v>40.438000000000002</v>
      </c>
      <c r="I486" s="147">
        <f t="shared" si="1393"/>
        <v>79.708200000000005</v>
      </c>
      <c r="J486" s="156">
        <f t="shared" si="1394"/>
        <v>79.708200000000005</v>
      </c>
      <c r="K486" s="157">
        <f t="shared" si="1395"/>
        <v>410.68</v>
      </c>
      <c r="L486" s="151">
        <f t="shared" si="1287"/>
        <v>43833</v>
      </c>
      <c r="M486" s="147">
        <f t="shared" si="1288"/>
        <v>0</v>
      </c>
      <c r="N486" s="147"/>
      <c r="O486" s="147">
        <f t="shared" si="1289"/>
        <v>0</v>
      </c>
      <c r="P486" s="147">
        <f t="shared" si="1290"/>
        <v>75</v>
      </c>
      <c r="Q486" s="147">
        <f t="shared" si="1291"/>
        <v>75</v>
      </c>
      <c r="R486" s="147">
        <f t="shared" si="1292"/>
        <v>443</v>
      </c>
      <c r="S486" s="147">
        <f t="shared" si="1293"/>
        <v>443</v>
      </c>
      <c r="T486" s="147">
        <f t="shared" si="1404"/>
        <v>2214</v>
      </c>
      <c r="V486" s="146"/>
      <c r="W486" s="147"/>
      <c r="X486" s="147"/>
      <c r="Y486" s="147"/>
      <c r="Z486" s="147"/>
      <c r="AA486" s="147"/>
      <c r="AB486" s="147"/>
      <c r="AC486" s="147"/>
      <c r="AD486" s="148"/>
      <c r="AF486" s="155">
        <f t="shared" si="1382"/>
        <v>35400</v>
      </c>
      <c r="AG486" s="78">
        <v>25306.928899999999</v>
      </c>
      <c r="AH486" s="78"/>
      <c r="AI486" s="78"/>
      <c r="AJ486" s="78"/>
      <c r="AK486" s="78"/>
      <c r="AL486" s="78"/>
      <c r="AM486" s="78"/>
      <c r="AN486" s="78"/>
      <c r="AO486" s="78"/>
      <c r="AP486" s="78"/>
      <c r="AQ486" s="78"/>
      <c r="AR486" s="78"/>
      <c r="AS486" s="78"/>
      <c r="AT486" s="78"/>
      <c r="AU486" s="78"/>
      <c r="AV486" s="78"/>
      <c r="AW486" s="78"/>
      <c r="AX486" s="78"/>
      <c r="AY486" s="78"/>
      <c r="AZ486" s="78"/>
      <c r="BA486" s="78"/>
      <c r="BB486" s="78"/>
      <c r="BC486" s="78"/>
      <c r="BD486" s="78"/>
      <c r="BE486" s="78"/>
      <c r="BF486" s="78"/>
      <c r="BG486" s="78"/>
      <c r="BH486" s="78"/>
      <c r="BI486" s="78"/>
      <c r="BJ486" s="78"/>
      <c r="BK486" s="78"/>
      <c r="BL486" s="78"/>
      <c r="BM486" s="78"/>
      <c r="BN486" s="78">
        <v>20.219000000000001</v>
      </c>
      <c r="BO486" s="78">
        <v>20.219000000000001</v>
      </c>
      <c r="BP486" s="78"/>
      <c r="BQ486" s="78">
        <f t="shared" si="1357"/>
        <v>20.219000000000001</v>
      </c>
      <c r="BR486" s="78">
        <f t="shared" si="1358"/>
        <v>20.219000000000001</v>
      </c>
      <c r="BS486" s="78"/>
      <c r="BT486" s="78">
        <v>39.854100000000003</v>
      </c>
      <c r="BU486" s="78">
        <v>39.854100000000003</v>
      </c>
      <c r="BV486" s="78"/>
      <c r="BW486" s="78">
        <f t="shared" si="1348"/>
        <v>39.854100000000003</v>
      </c>
      <c r="BX486" s="78">
        <f t="shared" si="1349"/>
        <v>39.854100000000003</v>
      </c>
      <c r="BY486" s="78">
        <f t="shared" si="1349"/>
        <v>0</v>
      </c>
      <c r="BZ486" s="78"/>
      <c r="CA486" s="78"/>
      <c r="CB486" s="78">
        <v>410.68</v>
      </c>
      <c r="CC486" s="231">
        <f t="shared" si="1403"/>
        <v>35400</v>
      </c>
    </row>
    <row r="487" spans="2:81" s="3" customFormat="1" ht="15.75" thickBot="1" x14ac:dyDescent="0.3">
      <c r="B487" s="158">
        <v>35450</v>
      </c>
      <c r="C487" s="144">
        <f t="shared" si="1286"/>
        <v>27660.4542</v>
      </c>
      <c r="D487" s="144">
        <f t="shared" si="1366"/>
        <v>0</v>
      </c>
      <c r="E487" s="144">
        <f t="shared" si="1390"/>
        <v>0</v>
      </c>
      <c r="F487" s="144">
        <f t="shared" si="1374"/>
        <v>0</v>
      </c>
      <c r="G487" s="144">
        <f t="shared" si="1391"/>
        <v>40.438000000000002</v>
      </c>
      <c r="H487" s="144">
        <f t="shared" si="1392"/>
        <v>40.438000000000002</v>
      </c>
      <c r="I487" s="144">
        <f t="shared" si="1393"/>
        <v>79.708200000000005</v>
      </c>
      <c r="J487" s="159">
        <f t="shared" si="1394"/>
        <v>79.708200000000005</v>
      </c>
      <c r="K487" s="160">
        <f t="shared" si="1395"/>
        <v>424.2</v>
      </c>
      <c r="L487" s="152">
        <f t="shared" si="1287"/>
        <v>49044</v>
      </c>
      <c r="M487" s="144">
        <f t="shared" si="1288"/>
        <v>0</v>
      </c>
      <c r="N487" s="144"/>
      <c r="O487" s="144">
        <f t="shared" si="1289"/>
        <v>0</v>
      </c>
      <c r="P487" s="144">
        <f t="shared" si="1290"/>
        <v>75</v>
      </c>
      <c r="Q487" s="144">
        <f t="shared" si="1291"/>
        <v>75</v>
      </c>
      <c r="R487" s="144">
        <f t="shared" si="1292"/>
        <v>443</v>
      </c>
      <c r="S487" s="144">
        <f t="shared" si="1293"/>
        <v>443</v>
      </c>
      <c r="T487" s="144">
        <f t="shared" si="1404"/>
        <v>2320</v>
      </c>
      <c r="V487" s="150">
        <f>L486+L487</f>
        <v>92877</v>
      </c>
      <c r="W487" s="150">
        <f t="shared" ref="W487" si="1426">M486+M487</f>
        <v>0</v>
      </c>
      <c r="X487" s="150"/>
      <c r="Y487" s="150">
        <f t="shared" ref="Y487" si="1427">O486+O487</f>
        <v>0</v>
      </c>
      <c r="Z487" s="150">
        <f t="shared" ref="Z487" si="1428">P486+P487</f>
        <v>150</v>
      </c>
      <c r="AA487" s="150">
        <f t="shared" ref="AA487" si="1429">Q486+Q487</f>
        <v>150</v>
      </c>
      <c r="AB487" s="150">
        <f t="shared" ref="AB487" si="1430">R486+R487</f>
        <v>886</v>
      </c>
      <c r="AC487" s="150">
        <f t="shared" ref="AC487" si="1431">S486+S487</f>
        <v>886</v>
      </c>
      <c r="AD487" s="150">
        <f t="shared" ref="AD487" si="1432">T486+T487</f>
        <v>4534</v>
      </c>
      <c r="AF487" s="158">
        <f t="shared" si="1382"/>
        <v>35450</v>
      </c>
      <c r="AG487" s="149">
        <v>27660.4542</v>
      </c>
      <c r="AH487" s="149"/>
      <c r="AI487" s="149"/>
      <c r="AJ487" s="149"/>
      <c r="AK487" s="149"/>
      <c r="AL487" s="149"/>
      <c r="AM487" s="149"/>
      <c r="AN487" s="149"/>
      <c r="AO487" s="149"/>
      <c r="AP487" s="149"/>
      <c r="AQ487" s="149"/>
      <c r="AR487" s="149"/>
      <c r="AS487" s="149"/>
      <c r="AT487" s="149"/>
      <c r="AU487" s="149"/>
      <c r="AV487" s="149"/>
      <c r="AW487" s="149"/>
      <c r="AX487" s="149"/>
      <c r="AY487" s="149"/>
      <c r="AZ487" s="149"/>
      <c r="BA487" s="149"/>
      <c r="BB487" s="149"/>
      <c r="BC487" s="149"/>
      <c r="BD487" s="149"/>
      <c r="BE487" s="149"/>
      <c r="BF487" s="149"/>
      <c r="BG487" s="149"/>
      <c r="BH487" s="149"/>
      <c r="BI487" s="149"/>
      <c r="BJ487" s="149"/>
      <c r="BK487" s="149"/>
      <c r="BL487" s="149"/>
      <c r="BM487" s="149"/>
      <c r="BN487" s="149">
        <v>20.219000000000001</v>
      </c>
      <c r="BO487" s="149">
        <v>20.219000000000001</v>
      </c>
      <c r="BP487" s="149"/>
      <c r="BQ487" s="149">
        <f t="shared" si="1357"/>
        <v>20.219000000000001</v>
      </c>
      <c r="BR487" s="149">
        <f t="shared" si="1358"/>
        <v>20.219000000000001</v>
      </c>
      <c r="BS487" s="149"/>
      <c r="BT487" s="149">
        <v>39.854100000000003</v>
      </c>
      <c r="BU487" s="149">
        <v>39.854100000000003</v>
      </c>
      <c r="BV487" s="149"/>
      <c r="BW487" s="149">
        <f t="shared" si="1348"/>
        <v>39.854100000000003</v>
      </c>
      <c r="BX487" s="149">
        <f t="shared" si="1349"/>
        <v>39.854100000000003</v>
      </c>
      <c r="BY487" s="149">
        <f t="shared" si="1349"/>
        <v>0</v>
      </c>
      <c r="BZ487" s="149"/>
      <c r="CA487" s="149"/>
      <c r="CB487" s="149">
        <v>424.2</v>
      </c>
      <c r="CC487" s="231">
        <f t="shared" si="1403"/>
        <v>35450</v>
      </c>
    </row>
    <row r="488" spans="2:81" x14ac:dyDescent="0.25">
      <c r="B488" s="155">
        <v>35500</v>
      </c>
      <c r="C488" s="147">
        <f t="shared" si="1286"/>
        <v>28733.6073</v>
      </c>
      <c r="D488" s="147">
        <f t="shared" si="1366"/>
        <v>0</v>
      </c>
      <c r="E488" s="147">
        <f t="shared" si="1390"/>
        <v>0</v>
      </c>
      <c r="F488" s="147">
        <f t="shared" si="1374"/>
        <v>0</v>
      </c>
      <c r="G488" s="147">
        <f t="shared" si="1391"/>
        <v>40.438000000000002</v>
      </c>
      <c r="H488" s="147">
        <f t="shared" si="1392"/>
        <v>40.438000000000002</v>
      </c>
      <c r="I488" s="147">
        <f t="shared" si="1393"/>
        <v>79.708200000000005</v>
      </c>
      <c r="J488" s="156">
        <f t="shared" si="1394"/>
        <v>79.708200000000005</v>
      </c>
      <c r="K488" s="157">
        <f t="shared" si="1395"/>
        <v>411.09</v>
      </c>
      <c r="L488" s="151">
        <f t="shared" si="1287"/>
        <v>52217</v>
      </c>
      <c r="M488" s="147">
        <f t="shared" si="1288"/>
        <v>0</v>
      </c>
      <c r="N488" s="147"/>
      <c r="O488" s="147">
        <f t="shared" si="1289"/>
        <v>0</v>
      </c>
      <c r="P488" s="147">
        <f t="shared" si="1290"/>
        <v>75</v>
      </c>
      <c r="Q488" s="147">
        <f t="shared" si="1291"/>
        <v>75</v>
      </c>
      <c r="R488" s="147">
        <f t="shared" si="1292"/>
        <v>443</v>
      </c>
      <c r="S488" s="147">
        <f t="shared" si="1293"/>
        <v>443</v>
      </c>
      <c r="T488" s="147">
        <f t="shared" si="1404"/>
        <v>2321</v>
      </c>
      <c r="V488" s="146"/>
      <c r="W488" s="147"/>
      <c r="X488" s="147"/>
      <c r="Y488" s="147"/>
      <c r="Z488" s="147"/>
      <c r="AA488" s="147"/>
      <c r="AB488" s="147"/>
      <c r="AC488" s="147"/>
      <c r="AD488" s="148"/>
      <c r="AF488" s="155">
        <f t="shared" si="1382"/>
        <v>35500</v>
      </c>
      <c r="AG488" s="78">
        <v>28733.6073</v>
      </c>
      <c r="AH488" s="78"/>
      <c r="AI488" s="78"/>
      <c r="AJ488" s="78"/>
      <c r="AK488" s="78"/>
      <c r="AL488" s="78"/>
      <c r="AM488" s="78"/>
      <c r="AN488" s="78"/>
      <c r="AO488" s="78"/>
      <c r="AP488" s="78"/>
      <c r="AQ488" s="78"/>
      <c r="AR488" s="78"/>
      <c r="AS488" s="78"/>
      <c r="AT488" s="78"/>
      <c r="AU488" s="78"/>
      <c r="AV488" s="78"/>
      <c r="AW488" s="78"/>
      <c r="AX488" s="78"/>
      <c r="AY488" s="78"/>
      <c r="AZ488" s="78"/>
      <c r="BA488" s="78"/>
      <c r="BB488" s="78"/>
      <c r="BC488" s="78"/>
      <c r="BD488" s="78"/>
      <c r="BE488" s="78"/>
      <c r="BF488" s="78"/>
      <c r="BG488" s="78"/>
      <c r="BH488" s="78"/>
      <c r="BI488" s="78"/>
      <c r="BJ488" s="78"/>
      <c r="BK488" s="78"/>
      <c r="BL488" s="78"/>
      <c r="BM488" s="78"/>
      <c r="BN488" s="78">
        <v>20.219000000000001</v>
      </c>
      <c r="BO488" s="78">
        <v>20.219000000000001</v>
      </c>
      <c r="BP488" s="78"/>
      <c r="BQ488" s="78">
        <f t="shared" si="1357"/>
        <v>20.219000000000001</v>
      </c>
      <c r="BR488" s="78">
        <f t="shared" si="1358"/>
        <v>20.219000000000001</v>
      </c>
      <c r="BS488" s="78"/>
      <c r="BT488" s="78">
        <v>39.854100000000003</v>
      </c>
      <c r="BU488" s="78">
        <v>39.854100000000003</v>
      </c>
      <c r="BV488" s="78"/>
      <c r="BW488" s="78">
        <f t="shared" si="1348"/>
        <v>39.854100000000003</v>
      </c>
      <c r="BX488" s="78">
        <f t="shared" si="1349"/>
        <v>39.854100000000003</v>
      </c>
      <c r="BY488" s="78">
        <f t="shared" si="1349"/>
        <v>0</v>
      </c>
      <c r="BZ488" s="78"/>
      <c r="CA488" s="78"/>
      <c r="CB488" s="78">
        <v>411.09</v>
      </c>
      <c r="CC488" s="231">
        <f t="shared" si="1403"/>
        <v>35500</v>
      </c>
    </row>
    <row r="489" spans="2:81" s="3" customFormat="1" ht="15.75" thickBot="1" x14ac:dyDescent="0.3">
      <c r="B489" s="158">
        <v>35550</v>
      </c>
      <c r="C489" s="144">
        <f t="shared" si="1286"/>
        <v>29568.101699999999</v>
      </c>
      <c r="D489" s="144">
        <f t="shared" si="1366"/>
        <v>0</v>
      </c>
      <c r="E489" s="144">
        <f t="shared" si="1390"/>
        <v>0</v>
      </c>
      <c r="F489" s="144">
        <f t="shared" si="1374"/>
        <v>0</v>
      </c>
      <c r="G489" s="144">
        <f t="shared" si="1391"/>
        <v>40.438000000000002</v>
      </c>
      <c r="H489" s="144">
        <f t="shared" si="1392"/>
        <v>40.438000000000002</v>
      </c>
      <c r="I489" s="144">
        <f t="shared" si="1393"/>
        <v>79.708200000000005</v>
      </c>
      <c r="J489" s="159">
        <f t="shared" si="1394"/>
        <v>79.708200000000005</v>
      </c>
      <c r="K489" s="160">
        <f t="shared" si="1395"/>
        <v>443.46</v>
      </c>
      <c r="L489" s="152">
        <f t="shared" si="1287"/>
        <v>53984</v>
      </c>
      <c r="M489" s="144">
        <f t="shared" si="1288"/>
        <v>0</v>
      </c>
      <c r="N489" s="144"/>
      <c r="O489" s="144">
        <f t="shared" si="1289"/>
        <v>0</v>
      </c>
      <c r="P489" s="144">
        <f t="shared" si="1290"/>
        <v>75</v>
      </c>
      <c r="Q489" s="144">
        <f t="shared" si="1291"/>
        <v>75</v>
      </c>
      <c r="R489" s="144">
        <f t="shared" si="1292"/>
        <v>443</v>
      </c>
      <c r="S489" s="144">
        <f t="shared" si="1293"/>
        <v>443</v>
      </c>
      <c r="T489" s="144">
        <f t="shared" si="1404"/>
        <v>2374</v>
      </c>
      <c r="V489" s="150">
        <f>L488+L489</f>
        <v>106201</v>
      </c>
      <c r="W489" s="150">
        <f t="shared" ref="W489" si="1433">M488+M489</f>
        <v>0</v>
      </c>
      <c r="X489" s="150"/>
      <c r="Y489" s="150">
        <f t="shared" ref="Y489" si="1434">O488+O489</f>
        <v>0</v>
      </c>
      <c r="Z489" s="150">
        <f t="shared" ref="Z489" si="1435">P488+P489</f>
        <v>150</v>
      </c>
      <c r="AA489" s="150">
        <f t="shared" ref="AA489" si="1436">Q488+Q489</f>
        <v>150</v>
      </c>
      <c r="AB489" s="150">
        <f t="shared" ref="AB489" si="1437">R488+R489</f>
        <v>886</v>
      </c>
      <c r="AC489" s="150">
        <f t="shared" ref="AC489" si="1438">S488+S489</f>
        <v>886</v>
      </c>
      <c r="AD489" s="150">
        <f t="shared" ref="AD489" si="1439">T488+T489</f>
        <v>4695</v>
      </c>
      <c r="AF489" s="158">
        <f t="shared" si="1382"/>
        <v>35550</v>
      </c>
      <c r="AG489" s="149">
        <v>29568.101699999999</v>
      </c>
      <c r="AH489" s="149"/>
      <c r="AI489" s="149"/>
      <c r="AJ489" s="149"/>
      <c r="AK489" s="149"/>
      <c r="AL489" s="149"/>
      <c r="AM489" s="149"/>
      <c r="AN489" s="149"/>
      <c r="AO489" s="149"/>
      <c r="AP489" s="149"/>
      <c r="AQ489" s="149"/>
      <c r="AR489" s="149"/>
      <c r="AS489" s="149"/>
      <c r="AT489" s="149"/>
      <c r="AU489" s="149"/>
      <c r="AV489" s="149"/>
      <c r="AW489" s="149"/>
      <c r="AX489" s="149"/>
      <c r="AY489" s="149"/>
      <c r="AZ489" s="149"/>
      <c r="BA489" s="149"/>
      <c r="BB489" s="149"/>
      <c r="BC489" s="149"/>
      <c r="BD489" s="149"/>
      <c r="BE489" s="149"/>
      <c r="BF489" s="149"/>
      <c r="BG489" s="149"/>
      <c r="BH489" s="149"/>
      <c r="BI489" s="149"/>
      <c r="BJ489" s="149"/>
      <c r="BK489" s="149"/>
      <c r="BL489" s="149"/>
      <c r="BM489" s="149"/>
      <c r="BN489" s="149">
        <v>20.219000000000001</v>
      </c>
      <c r="BO489" s="149">
        <v>20.219000000000001</v>
      </c>
      <c r="BP489" s="149"/>
      <c r="BQ489" s="149">
        <f t="shared" si="1357"/>
        <v>20.219000000000001</v>
      </c>
      <c r="BR489" s="149">
        <f t="shared" si="1358"/>
        <v>20.219000000000001</v>
      </c>
      <c r="BS489" s="149"/>
      <c r="BT489" s="149">
        <v>39.854100000000003</v>
      </c>
      <c r="BU489" s="149">
        <v>39.854100000000003</v>
      </c>
      <c r="BV489" s="149"/>
      <c r="BW489" s="149">
        <f t="shared" si="1348"/>
        <v>39.854100000000003</v>
      </c>
      <c r="BX489" s="149">
        <f t="shared" si="1349"/>
        <v>39.854100000000003</v>
      </c>
      <c r="BY489" s="149">
        <f t="shared" si="1349"/>
        <v>0</v>
      </c>
      <c r="BZ489" s="149"/>
      <c r="CA489" s="149"/>
      <c r="CB489" s="149">
        <v>443.46</v>
      </c>
      <c r="CC489" s="231">
        <f t="shared" si="1403"/>
        <v>35550</v>
      </c>
    </row>
    <row r="490" spans="2:81" x14ac:dyDescent="0.25">
      <c r="B490" s="155">
        <v>35600</v>
      </c>
      <c r="C490" s="147">
        <f t="shared" si="1286"/>
        <v>31379.163799999998</v>
      </c>
      <c r="D490" s="147">
        <f t="shared" si="1366"/>
        <v>0</v>
      </c>
      <c r="E490" s="147">
        <f t="shared" si="1390"/>
        <v>0</v>
      </c>
      <c r="F490" s="147">
        <f t="shared" si="1374"/>
        <v>0</v>
      </c>
      <c r="G490" s="147">
        <f t="shared" si="1391"/>
        <v>40.438000000000002</v>
      </c>
      <c r="H490" s="147">
        <f t="shared" si="1392"/>
        <v>40.438000000000002</v>
      </c>
      <c r="I490" s="147">
        <f t="shared" si="1393"/>
        <v>79.708200000000005</v>
      </c>
      <c r="J490" s="156">
        <f t="shared" si="1394"/>
        <v>79.708200000000005</v>
      </c>
      <c r="K490" s="157">
        <f t="shared" si="1395"/>
        <v>494.19</v>
      </c>
      <c r="L490" s="151">
        <f t="shared" si="1287"/>
        <v>56433</v>
      </c>
      <c r="M490" s="147">
        <f t="shared" si="1288"/>
        <v>0</v>
      </c>
      <c r="N490" s="147"/>
      <c r="O490" s="147">
        <f t="shared" si="1289"/>
        <v>0</v>
      </c>
      <c r="P490" s="147">
        <f t="shared" si="1290"/>
        <v>75</v>
      </c>
      <c r="Q490" s="147">
        <f t="shared" si="1291"/>
        <v>75</v>
      </c>
      <c r="R490" s="147">
        <f t="shared" si="1292"/>
        <v>443</v>
      </c>
      <c r="S490" s="147">
        <f t="shared" si="1293"/>
        <v>443</v>
      </c>
      <c r="T490" s="147">
        <f t="shared" si="1404"/>
        <v>2605</v>
      </c>
      <c r="V490" s="146"/>
      <c r="W490" s="147"/>
      <c r="X490" s="147"/>
      <c r="Y490" s="147"/>
      <c r="Z490" s="147"/>
      <c r="AA490" s="147"/>
      <c r="AB490" s="147"/>
      <c r="AC490" s="147"/>
      <c r="AD490" s="148"/>
      <c r="AF490" s="155">
        <f t="shared" si="1382"/>
        <v>35600</v>
      </c>
      <c r="AG490" s="78">
        <v>31379.163799999998</v>
      </c>
      <c r="AH490" s="78"/>
      <c r="AI490" s="78"/>
      <c r="AJ490" s="78"/>
      <c r="AK490" s="78"/>
      <c r="AL490" s="78"/>
      <c r="AM490" s="78"/>
      <c r="AN490" s="78"/>
      <c r="AO490" s="78"/>
      <c r="AP490" s="78"/>
      <c r="AQ490" s="78"/>
      <c r="AR490" s="78"/>
      <c r="AS490" s="78"/>
      <c r="AT490" s="78"/>
      <c r="AU490" s="78"/>
      <c r="AV490" s="78"/>
      <c r="AW490" s="78"/>
      <c r="AX490" s="78"/>
      <c r="AY490" s="78"/>
      <c r="AZ490" s="78"/>
      <c r="BA490" s="78"/>
      <c r="BB490" s="78"/>
      <c r="BC490" s="78"/>
      <c r="BD490" s="78"/>
      <c r="BE490" s="78"/>
      <c r="BF490" s="78"/>
      <c r="BG490" s="78"/>
      <c r="BH490" s="78"/>
      <c r="BI490" s="78"/>
      <c r="BJ490" s="78"/>
      <c r="BK490" s="78"/>
      <c r="BL490" s="78"/>
      <c r="BM490" s="78"/>
      <c r="BN490" s="78">
        <v>20.219000000000001</v>
      </c>
      <c r="BO490" s="78">
        <v>20.219000000000001</v>
      </c>
      <c r="BP490" s="78"/>
      <c r="BQ490" s="78">
        <f t="shared" si="1357"/>
        <v>20.219000000000001</v>
      </c>
      <c r="BR490" s="78">
        <f t="shared" si="1358"/>
        <v>20.219000000000001</v>
      </c>
      <c r="BS490" s="78"/>
      <c r="BT490" s="78">
        <v>39.854100000000003</v>
      </c>
      <c r="BU490" s="78">
        <v>39.854100000000003</v>
      </c>
      <c r="BV490" s="78"/>
      <c r="BW490" s="78">
        <f t="shared" si="1348"/>
        <v>39.854100000000003</v>
      </c>
      <c r="BX490" s="78">
        <f t="shared" si="1349"/>
        <v>39.854100000000003</v>
      </c>
      <c r="BY490" s="78">
        <f t="shared" si="1349"/>
        <v>0</v>
      </c>
      <c r="BZ490" s="78"/>
      <c r="CA490" s="78"/>
      <c r="CB490" s="78">
        <v>494.19</v>
      </c>
      <c r="CC490" s="231">
        <f t="shared" si="1403"/>
        <v>35600</v>
      </c>
    </row>
    <row r="491" spans="2:81" s="3" customFormat="1" ht="15.75" thickBot="1" x14ac:dyDescent="0.3">
      <c r="B491" s="158">
        <v>35650</v>
      </c>
      <c r="C491" s="144">
        <f t="shared" si="1286"/>
        <v>35777.5913</v>
      </c>
      <c r="D491" s="144">
        <f t="shared" si="1366"/>
        <v>0</v>
      </c>
      <c r="E491" s="144">
        <f t="shared" si="1390"/>
        <v>0</v>
      </c>
      <c r="F491" s="144">
        <f t="shared" si="1374"/>
        <v>0</v>
      </c>
      <c r="G491" s="144">
        <f t="shared" si="1391"/>
        <v>40.438000000000002</v>
      </c>
      <c r="H491" s="144">
        <f t="shared" si="1392"/>
        <v>40.438000000000002</v>
      </c>
      <c r="I491" s="144">
        <f t="shared" si="1393"/>
        <v>79.708200000000005</v>
      </c>
      <c r="J491" s="159">
        <f t="shared" si="1394"/>
        <v>79.708200000000005</v>
      </c>
      <c r="K491" s="160">
        <f t="shared" si="1395"/>
        <v>570.95000000000005</v>
      </c>
      <c r="L491" s="152">
        <f t="shared" si="1287"/>
        <v>62183</v>
      </c>
      <c r="M491" s="144">
        <f t="shared" si="1288"/>
        <v>0</v>
      </c>
      <c r="N491" s="144"/>
      <c r="O491" s="144">
        <f t="shared" si="1289"/>
        <v>0</v>
      </c>
      <c r="P491" s="144">
        <f t="shared" si="1290"/>
        <v>75</v>
      </c>
      <c r="Q491" s="144">
        <f t="shared" si="1291"/>
        <v>75</v>
      </c>
      <c r="R491" s="144">
        <f t="shared" si="1292"/>
        <v>443</v>
      </c>
      <c r="S491" s="144">
        <f t="shared" si="1293"/>
        <v>443</v>
      </c>
      <c r="T491" s="144">
        <f t="shared" si="1404"/>
        <v>2959</v>
      </c>
      <c r="V491" s="150">
        <f>L490+L491</f>
        <v>118616</v>
      </c>
      <c r="W491" s="150">
        <f t="shared" ref="W491" si="1440">M490+M491</f>
        <v>0</v>
      </c>
      <c r="X491" s="150"/>
      <c r="Y491" s="150">
        <f t="shared" ref="Y491" si="1441">O490+O491</f>
        <v>0</v>
      </c>
      <c r="Z491" s="150">
        <f t="shared" ref="Z491" si="1442">P490+P491</f>
        <v>150</v>
      </c>
      <c r="AA491" s="150">
        <f t="shared" ref="AA491" si="1443">Q490+Q491</f>
        <v>150</v>
      </c>
      <c r="AB491" s="150">
        <f t="shared" ref="AB491" si="1444">R490+R491</f>
        <v>886</v>
      </c>
      <c r="AC491" s="150">
        <f t="shared" ref="AC491" si="1445">S490+S491</f>
        <v>886</v>
      </c>
      <c r="AD491" s="150">
        <f t="shared" ref="AD491" si="1446">T490+T491</f>
        <v>5564</v>
      </c>
      <c r="AF491" s="158">
        <f t="shared" si="1382"/>
        <v>35650</v>
      </c>
      <c r="AG491" s="149">
        <v>35777.5913</v>
      </c>
      <c r="AH491" s="149"/>
      <c r="AI491" s="149"/>
      <c r="AJ491" s="149"/>
      <c r="AK491" s="149"/>
      <c r="AL491" s="149"/>
      <c r="AM491" s="149"/>
      <c r="AN491" s="149"/>
      <c r="AO491" s="149"/>
      <c r="AP491" s="149"/>
      <c r="AQ491" s="149"/>
      <c r="AR491" s="149"/>
      <c r="AS491" s="149"/>
      <c r="AT491" s="149"/>
      <c r="AU491" s="149"/>
      <c r="AV491" s="149"/>
      <c r="AW491" s="149"/>
      <c r="AX491" s="149"/>
      <c r="AY491" s="149"/>
      <c r="AZ491" s="149"/>
      <c r="BA491" s="149"/>
      <c r="BB491" s="149"/>
      <c r="BC491" s="149"/>
      <c r="BD491" s="149"/>
      <c r="BE491" s="149"/>
      <c r="BF491" s="149"/>
      <c r="BG491" s="149"/>
      <c r="BH491" s="149"/>
      <c r="BI491" s="149"/>
      <c r="BJ491" s="149"/>
      <c r="BK491" s="149"/>
      <c r="BL491" s="149"/>
      <c r="BM491" s="149"/>
      <c r="BN491" s="149">
        <v>20.219000000000001</v>
      </c>
      <c r="BO491" s="149">
        <v>20.219000000000001</v>
      </c>
      <c r="BP491" s="149"/>
      <c r="BQ491" s="149">
        <f t="shared" si="1357"/>
        <v>20.219000000000001</v>
      </c>
      <c r="BR491" s="149">
        <f t="shared" si="1358"/>
        <v>20.219000000000001</v>
      </c>
      <c r="BS491" s="149"/>
      <c r="BT491" s="149">
        <v>39.854100000000003</v>
      </c>
      <c r="BU491" s="149">
        <v>39.854100000000003</v>
      </c>
      <c r="BV491" s="149"/>
      <c r="BW491" s="149">
        <f t="shared" si="1348"/>
        <v>39.854100000000003</v>
      </c>
      <c r="BX491" s="149">
        <f t="shared" si="1349"/>
        <v>39.854100000000003</v>
      </c>
      <c r="BY491" s="149">
        <f t="shared" si="1349"/>
        <v>0</v>
      </c>
      <c r="BZ491" s="149"/>
      <c r="CA491" s="149"/>
      <c r="CB491" s="149">
        <v>570.95000000000005</v>
      </c>
      <c r="CC491" s="231">
        <f t="shared" si="1403"/>
        <v>35650</v>
      </c>
    </row>
    <row r="492" spans="2:81" x14ac:dyDescent="0.25">
      <c r="B492" s="155">
        <v>35700</v>
      </c>
      <c r="C492" s="147">
        <f t="shared" si="1286"/>
        <v>41697.833299999998</v>
      </c>
      <c r="D492" s="147">
        <f t="shared" si="1366"/>
        <v>0</v>
      </c>
      <c r="E492" s="147">
        <f t="shared" si="1390"/>
        <v>0</v>
      </c>
      <c r="F492" s="147">
        <f t="shared" si="1374"/>
        <v>0</v>
      </c>
      <c r="G492" s="147">
        <f t="shared" si="1391"/>
        <v>40.438000000000002</v>
      </c>
      <c r="H492" s="147">
        <f t="shared" si="1392"/>
        <v>40.438000000000002</v>
      </c>
      <c r="I492" s="147">
        <f t="shared" si="1393"/>
        <v>79.708200000000005</v>
      </c>
      <c r="J492" s="156">
        <f t="shared" si="1394"/>
        <v>79.708200000000005</v>
      </c>
      <c r="K492" s="157">
        <f t="shared" si="1395"/>
        <v>608.94000000000005</v>
      </c>
      <c r="L492" s="151">
        <f t="shared" si="1287"/>
        <v>71737</v>
      </c>
      <c r="M492" s="147">
        <f t="shared" si="1288"/>
        <v>0</v>
      </c>
      <c r="N492" s="147"/>
      <c r="O492" s="147">
        <f t="shared" si="1289"/>
        <v>0</v>
      </c>
      <c r="P492" s="147">
        <f t="shared" si="1290"/>
        <v>75</v>
      </c>
      <c r="Q492" s="147">
        <f t="shared" si="1291"/>
        <v>75</v>
      </c>
      <c r="R492" s="147">
        <f t="shared" si="1292"/>
        <v>443</v>
      </c>
      <c r="S492" s="147">
        <f t="shared" si="1293"/>
        <v>443</v>
      </c>
      <c r="T492" s="147">
        <f t="shared" si="1404"/>
        <v>3278</v>
      </c>
      <c r="V492" s="146"/>
      <c r="W492" s="147"/>
      <c r="X492" s="147"/>
      <c r="Y492" s="147"/>
      <c r="Z492" s="147"/>
      <c r="AA492" s="147"/>
      <c r="AB492" s="147"/>
      <c r="AC492" s="147"/>
      <c r="AD492" s="148"/>
      <c r="AF492" s="155">
        <f t="shared" si="1382"/>
        <v>35700</v>
      </c>
      <c r="AG492" s="78">
        <v>41697.833299999998</v>
      </c>
      <c r="AH492" s="78"/>
      <c r="AI492" s="78"/>
      <c r="AJ492" s="78"/>
      <c r="AK492" s="78"/>
      <c r="AL492" s="78"/>
      <c r="AM492" s="78"/>
      <c r="AN492" s="78"/>
      <c r="AO492" s="78"/>
      <c r="AP492" s="78"/>
      <c r="AQ492" s="78"/>
      <c r="AR492" s="78"/>
      <c r="AS492" s="78"/>
      <c r="AT492" s="78"/>
      <c r="AU492" s="78"/>
      <c r="AV492" s="78"/>
      <c r="AW492" s="78"/>
      <c r="AX492" s="78"/>
      <c r="AY492" s="78"/>
      <c r="AZ492" s="78"/>
      <c r="BA492" s="78"/>
      <c r="BB492" s="78"/>
      <c r="BC492" s="78"/>
      <c r="BD492" s="78"/>
      <c r="BE492" s="78"/>
      <c r="BF492" s="78"/>
      <c r="BG492" s="78"/>
      <c r="BH492" s="78"/>
      <c r="BI492" s="78"/>
      <c r="BJ492" s="78"/>
      <c r="BK492" s="78"/>
      <c r="BL492" s="78"/>
      <c r="BM492" s="78"/>
      <c r="BN492" s="78">
        <v>20.219000000000001</v>
      </c>
      <c r="BO492" s="78">
        <v>20.219000000000001</v>
      </c>
      <c r="BP492" s="78"/>
      <c r="BQ492" s="78">
        <f t="shared" si="1357"/>
        <v>20.219000000000001</v>
      </c>
      <c r="BR492" s="78">
        <f t="shared" si="1358"/>
        <v>20.219000000000001</v>
      </c>
      <c r="BS492" s="78"/>
      <c r="BT492" s="78">
        <v>39.854100000000003</v>
      </c>
      <c r="BU492" s="78">
        <v>39.854100000000003</v>
      </c>
      <c r="BV492" s="78"/>
      <c r="BW492" s="78">
        <f t="shared" si="1348"/>
        <v>39.854100000000003</v>
      </c>
      <c r="BX492" s="78">
        <f t="shared" si="1349"/>
        <v>39.854100000000003</v>
      </c>
      <c r="BY492" s="78">
        <f t="shared" si="1349"/>
        <v>0</v>
      </c>
      <c r="BZ492" s="78"/>
      <c r="CA492" s="78"/>
      <c r="CB492" s="78">
        <v>608.94000000000005</v>
      </c>
      <c r="CC492" s="231">
        <f t="shared" si="1403"/>
        <v>35700</v>
      </c>
    </row>
    <row r="493" spans="2:81" s="3" customFormat="1" ht="15.75" thickBot="1" x14ac:dyDescent="0.3">
      <c r="B493" s="158">
        <v>35750</v>
      </c>
      <c r="C493" s="144">
        <f t="shared" si="1286"/>
        <v>51268.7935</v>
      </c>
      <c r="D493" s="144">
        <f t="shared" si="1366"/>
        <v>0</v>
      </c>
      <c r="E493" s="144">
        <f t="shared" si="1390"/>
        <v>0</v>
      </c>
      <c r="F493" s="144">
        <f t="shared" si="1374"/>
        <v>0</v>
      </c>
      <c r="G493" s="144">
        <f t="shared" si="1391"/>
        <v>40.438000000000002</v>
      </c>
      <c r="H493" s="144">
        <f t="shared" si="1392"/>
        <v>40.438000000000002</v>
      </c>
      <c r="I493" s="144">
        <f t="shared" si="1393"/>
        <v>79.708200000000005</v>
      </c>
      <c r="J493" s="159">
        <f t="shared" si="1394"/>
        <v>79.708200000000005</v>
      </c>
      <c r="K493" s="160">
        <f t="shared" si="1395"/>
        <v>668.28</v>
      </c>
      <c r="L493" s="152">
        <f t="shared" si="1287"/>
        <v>86081</v>
      </c>
      <c r="M493" s="144">
        <f t="shared" si="1288"/>
        <v>0</v>
      </c>
      <c r="N493" s="144"/>
      <c r="O493" s="144">
        <f t="shared" si="1289"/>
        <v>0</v>
      </c>
      <c r="P493" s="144">
        <f t="shared" si="1290"/>
        <v>75</v>
      </c>
      <c r="Q493" s="144">
        <f t="shared" si="1291"/>
        <v>75</v>
      </c>
      <c r="R493" s="144">
        <f t="shared" si="1292"/>
        <v>443</v>
      </c>
      <c r="S493" s="144">
        <f t="shared" si="1293"/>
        <v>443</v>
      </c>
      <c r="T493" s="144">
        <f t="shared" si="1404"/>
        <v>3548</v>
      </c>
      <c r="V493" s="150">
        <f>L492+L493</f>
        <v>157818</v>
      </c>
      <c r="W493" s="150">
        <f t="shared" ref="W493" si="1447">M492+M493</f>
        <v>0</v>
      </c>
      <c r="X493" s="150"/>
      <c r="Y493" s="150">
        <f t="shared" ref="Y493" si="1448">O492+O493</f>
        <v>0</v>
      </c>
      <c r="Z493" s="150">
        <f t="shared" ref="Z493" si="1449">P492+P493</f>
        <v>150</v>
      </c>
      <c r="AA493" s="150">
        <f t="shared" ref="AA493" si="1450">Q492+Q493</f>
        <v>150</v>
      </c>
      <c r="AB493" s="150">
        <f t="shared" ref="AB493" si="1451">R492+R493</f>
        <v>886</v>
      </c>
      <c r="AC493" s="150">
        <f t="shared" ref="AC493" si="1452">S492+S493</f>
        <v>886</v>
      </c>
      <c r="AD493" s="150">
        <f t="shared" ref="AD493" si="1453">T492+T493</f>
        <v>6826</v>
      </c>
      <c r="AF493" s="158">
        <f t="shared" si="1382"/>
        <v>35750</v>
      </c>
      <c r="AG493" s="149">
        <v>51268.7935</v>
      </c>
      <c r="AH493" s="149"/>
      <c r="AI493" s="149"/>
      <c r="AJ493" s="149"/>
      <c r="AK493" s="149"/>
      <c r="AL493" s="149"/>
      <c r="AM493" s="149"/>
      <c r="AN493" s="149"/>
      <c r="AO493" s="149"/>
      <c r="AP493" s="149"/>
      <c r="AQ493" s="149"/>
      <c r="AR493" s="149"/>
      <c r="AS493" s="149"/>
      <c r="AT493" s="149"/>
      <c r="AU493" s="149"/>
      <c r="AV493" s="149"/>
      <c r="AW493" s="149"/>
      <c r="AX493" s="149"/>
      <c r="AY493" s="149"/>
      <c r="AZ493" s="149"/>
      <c r="BA493" s="149"/>
      <c r="BB493" s="149"/>
      <c r="BC493" s="149"/>
      <c r="BD493" s="149"/>
      <c r="BE493" s="149"/>
      <c r="BF493" s="149"/>
      <c r="BG493" s="149"/>
      <c r="BH493" s="149"/>
      <c r="BI493" s="149"/>
      <c r="BJ493" s="149"/>
      <c r="BK493" s="149"/>
      <c r="BL493" s="149"/>
      <c r="BM493" s="149"/>
      <c r="BN493" s="149">
        <v>20.219000000000001</v>
      </c>
      <c r="BO493" s="149">
        <v>20.219000000000001</v>
      </c>
      <c r="BP493" s="149"/>
      <c r="BQ493" s="149">
        <f t="shared" si="1357"/>
        <v>20.219000000000001</v>
      </c>
      <c r="BR493" s="149">
        <f t="shared" si="1358"/>
        <v>20.219000000000001</v>
      </c>
      <c r="BS493" s="149"/>
      <c r="BT493" s="149">
        <v>39.854100000000003</v>
      </c>
      <c r="BU493" s="149">
        <v>39.854100000000003</v>
      </c>
      <c r="BV493" s="149"/>
      <c r="BW493" s="149">
        <f t="shared" si="1348"/>
        <v>39.854100000000003</v>
      </c>
      <c r="BX493" s="149">
        <f t="shared" si="1349"/>
        <v>39.854100000000003</v>
      </c>
      <c r="BY493" s="149">
        <f t="shared" si="1349"/>
        <v>0</v>
      </c>
      <c r="BZ493" s="149"/>
      <c r="CA493" s="149"/>
      <c r="CB493" s="149">
        <v>668.28</v>
      </c>
      <c r="CC493" s="231">
        <f t="shared" si="1403"/>
        <v>35750</v>
      </c>
    </row>
    <row r="494" spans="2:81" x14ac:dyDescent="0.25">
      <c r="B494" s="155">
        <v>35800</v>
      </c>
      <c r="C494" s="147">
        <f t="shared" si="1286"/>
        <v>58383.176500000001</v>
      </c>
      <c r="D494" s="147">
        <f t="shared" si="1366"/>
        <v>0</v>
      </c>
      <c r="E494" s="147">
        <f t="shared" si="1390"/>
        <v>0</v>
      </c>
      <c r="F494" s="147">
        <f t="shared" si="1374"/>
        <v>0</v>
      </c>
      <c r="G494" s="147">
        <f t="shared" si="1391"/>
        <v>40.438000000000002</v>
      </c>
      <c r="H494" s="147">
        <f t="shared" si="1392"/>
        <v>40.438000000000002</v>
      </c>
      <c r="I494" s="147">
        <f t="shared" si="1393"/>
        <v>79.708200000000005</v>
      </c>
      <c r="J494" s="156">
        <f t="shared" si="1394"/>
        <v>79.708200000000005</v>
      </c>
      <c r="K494" s="157">
        <f t="shared" si="1395"/>
        <v>684.13</v>
      </c>
      <c r="L494" s="151">
        <f t="shared" si="1287"/>
        <v>101530</v>
      </c>
      <c r="M494" s="147">
        <f t="shared" si="1288"/>
        <v>0</v>
      </c>
      <c r="N494" s="147"/>
      <c r="O494" s="147">
        <f t="shared" si="1289"/>
        <v>0</v>
      </c>
      <c r="P494" s="147">
        <f t="shared" si="1290"/>
        <v>75</v>
      </c>
      <c r="Q494" s="147">
        <f t="shared" si="1291"/>
        <v>75</v>
      </c>
      <c r="R494" s="147">
        <f t="shared" si="1292"/>
        <v>443</v>
      </c>
      <c r="S494" s="147">
        <f t="shared" si="1293"/>
        <v>443</v>
      </c>
      <c r="T494" s="147">
        <f t="shared" si="1404"/>
        <v>3757</v>
      </c>
      <c r="V494" s="146"/>
      <c r="W494" s="147"/>
      <c r="X494" s="147"/>
      <c r="Y494" s="147"/>
      <c r="Z494" s="147"/>
      <c r="AA494" s="147"/>
      <c r="AB494" s="147"/>
      <c r="AC494" s="147"/>
      <c r="AD494" s="148"/>
      <c r="AF494" s="155">
        <f t="shared" si="1382"/>
        <v>35800</v>
      </c>
      <c r="AG494" s="78">
        <v>58383.176500000001</v>
      </c>
      <c r="AH494" s="78"/>
      <c r="AI494" s="78"/>
      <c r="AJ494" s="78"/>
      <c r="AK494" s="78"/>
      <c r="AL494" s="78"/>
      <c r="AM494" s="78"/>
      <c r="AN494" s="78"/>
      <c r="AO494" s="78"/>
      <c r="AP494" s="78"/>
      <c r="AQ494" s="78"/>
      <c r="AR494" s="78"/>
      <c r="AS494" s="78"/>
      <c r="AT494" s="78"/>
      <c r="AU494" s="78"/>
      <c r="AV494" s="78"/>
      <c r="AW494" s="78"/>
      <c r="AX494" s="78"/>
      <c r="AY494" s="78"/>
      <c r="AZ494" s="78"/>
      <c r="BA494" s="78"/>
      <c r="BB494" s="78"/>
      <c r="BC494" s="78"/>
      <c r="BD494" s="78"/>
      <c r="BE494" s="78"/>
      <c r="BF494" s="78"/>
      <c r="BG494" s="78"/>
      <c r="BH494" s="78"/>
      <c r="BI494" s="78"/>
      <c r="BJ494" s="78"/>
      <c r="BK494" s="78"/>
      <c r="BL494" s="78"/>
      <c r="BM494" s="78"/>
      <c r="BN494" s="78">
        <v>20.219000000000001</v>
      </c>
      <c r="BO494" s="78">
        <v>20.219000000000001</v>
      </c>
      <c r="BP494" s="78"/>
      <c r="BQ494" s="78">
        <f t="shared" si="1357"/>
        <v>20.219000000000001</v>
      </c>
      <c r="BR494" s="78">
        <f t="shared" si="1358"/>
        <v>20.219000000000001</v>
      </c>
      <c r="BS494" s="78"/>
      <c r="BT494" s="78">
        <v>39.854100000000003</v>
      </c>
      <c r="BU494" s="78">
        <v>39.854100000000003</v>
      </c>
      <c r="BV494" s="78"/>
      <c r="BW494" s="78">
        <f t="shared" si="1348"/>
        <v>39.854100000000003</v>
      </c>
      <c r="BX494" s="78">
        <f t="shared" si="1349"/>
        <v>39.854100000000003</v>
      </c>
      <c r="BY494" s="78">
        <f t="shared" si="1349"/>
        <v>0</v>
      </c>
      <c r="BZ494" s="78"/>
      <c r="CA494" s="78"/>
      <c r="CB494" s="78">
        <v>684.13</v>
      </c>
      <c r="CC494" s="231">
        <f t="shared" si="1403"/>
        <v>35800</v>
      </c>
    </row>
    <row r="495" spans="2:81" s="3" customFormat="1" ht="15.75" thickBot="1" x14ac:dyDescent="0.3">
      <c r="B495" s="158">
        <v>35850</v>
      </c>
      <c r="C495" s="144">
        <f t="shared" si="1286"/>
        <v>52094.203099999999</v>
      </c>
      <c r="D495" s="144">
        <f t="shared" si="1366"/>
        <v>0</v>
      </c>
      <c r="E495" s="144">
        <f t="shared" si="1390"/>
        <v>0</v>
      </c>
      <c r="F495" s="144">
        <f t="shared" si="1374"/>
        <v>0</v>
      </c>
      <c r="G495" s="144">
        <f t="shared" si="1391"/>
        <v>40.438000000000002</v>
      </c>
      <c r="H495" s="144">
        <f t="shared" si="1392"/>
        <v>40.438000000000002</v>
      </c>
      <c r="I495" s="144">
        <f t="shared" si="1393"/>
        <v>79.708200000000005</v>
      </c>
      <c r="J495" s="159">
        <f t="shared" si="1394"/>
        <v>79.708200000000005</v>
      </c>
      <c r="K495" s="160">
        <f t="shared" si="1395"/>
        <v>701.73</v>
      </c>
      <c r="L495" s="152">
        <f t="shared" si="1287"/>
        <v>102294</v>
      </c>
      <c r="M495" s="144">
        <f t="shared" si="1288"/>
        <v>0</v>
      </c>
      <c r="N495" s="144"/>
      <c r="O495" s="144">
        <f t="shared" si="1289"/>
        <v>0</v>
      </c>
      <c r="P495" s="144">
        <f t="shared" si="1290"/>
        <v>75</v>
      </c>
      <c r="Q495" s="144">
        <f t="shared" si="1291"/>
        <v>75</v>
      </c>
      <c r="R495" s="144">
        <f t="shared" si="1292"/>
        <v>443</v>
      </c>
      <c r="S495" s="144">
        <f t="shared" si="1293"/>
        <v>443</v>
      </c>
      <c r="T495" s="144">
        <f t="shared" si="1404"/>
        <v>3850</v>
      </c>
      <c r="V495" s="150">
        <f>L494+L495</f>
        <v>203824</v>
      </c>
      <c r="W495" s="150">
        <f t="shared" ref="W495" si="1454">M494+M495</f>
        <v>0</v>
      </c>
      <c r="X495" s="150"/>
      <c r="Y495" s="150">
        <f t="shared" ref="Y495" si="1455">O494+O495</f>
        <v>0</v>
      </c>
      <c r="Z495" s="150">
        <f t="shared" ref="Z495" si="1456">P494+P495</f>
        <v>150</v>
      </c>
      <c r="AA495" s="150">
        <f t="shared" ref="AA495" si="1457">Q494+Q495</f>
        <v>150</v>
      </c>
      <c r="AB495" s="150">
        <f t="shared" ref="AB495" si="1458">R494+R495</f>
        <v>886</v>
      </c>
      <c r="AC495" s="150">
        <f t="shared" ref="AC495" si="1459">S494+S495</f>
        <v>886</v>
      </c>
      <c r="AD495" s="150">
        <f t="shared" ref="AD495" si="1460">T494+T495</f>
        <v>7607</v>
      </c>
      <c r="AF495" s="158">
        <f t="shared" si="1382"/>
        <v>35850</v>
      </c>
      <c r="AG495" s="149">
        <v>52094.203099999999</v>
      </c>
      <c r="AH495" s="149"/>
      <c r="AI495" s="149"/>
      <c r="AJ495" s="149"/>
      <c r="AK495" s="149"/>
      <c r="AL495" s="149"/>
      <c r="AM495" s="149"/>
      <c r="AN495" s="149"/>
      <c r="AO495" s="149"/>
      <c r="AP495" s="149"/>
      <c r="AQ495" s="149"/>
      <c r="AR495" s="149"/>
      <c r="AS495" s="149"/>
      <c r="AT495" s="149"/>
      <c r="AU495" s="149"/>
      <c r="AV495" s="149"/>
      <c r="AW495" s="149"/>
      <c r="AX495" s="149"/>
      <c r="AY495" s="149"/>
      <c r="AZ495" s="149"/>
      <c r="BA495" s="149"/>
      <c r="BB495" s="149"/>
      <c r="BC495" s="149"/>
      <c r="BD495" s="149"/>
      <c r="BE495" s="149"/>
      <c r="BF495" s="149"/>
      <c r="BG495" s="149"/>
      <c r="BH495" s="149"/>
      <c r="BI495" s="149"/>
      <c r="BJ495" s="149"/>
      <c r="BK495" s="149"/>
      <c r="BL495" s="149"/>
      <c r="BM495" s="149"/>
      <c r="BN495" s="149">
        <v>20.219000000000001</v>
      </c>
      <c r="BO495" s="149">
        <v>20.219000000000001</v>
      </c>
      <c r="BP495" s="149"/>
      <c r="BQ495" s="149">
        <f t="shared" si="1357"/>
        <v>20.219000000000001</v>
      </c>
      <c r="BR495" s="149">
        <f t="shared" si="1358"/>
        <v>20.219000000000001</v>
      </c>
      <c r="BS495" s="149"/>
      <c r="BT495" s="149">
        <v>39.854100000000003</v>
      </c>
      <c r="BU495" s="149">
        <v>39.854100000000003</v>
      </c>
      <c r="BV495" s="149"/>
      <c r="BW495" s="149">
        <f t="shared" si="1348"/>
        <v>39.854100000000003</v>
      </c>
      <c r="BX495" s="149">
        <f t="shared" si="1349"/>
        <v>39.854100000000003</v>
      </c>
      <c r="BY495" s="149">
        <f t="shared" si="1349"/>
        <v>0</v>
      </c>
      <c r="BZ495" s="149"/>
      <c r="CA495" s="149"/>
      <c r="CB495" s="149">
        <v>701.73</v>
      </c>
      <c r="CC495" s="231">
        <f t="shared" si="1403"/>
        <v>35850</v>
      </c>
    </row>
    <row r="496" spans="2:81" x14ac:dyDescent="0.25">
      <c r="B496" s="155">
        <v>35900</v>
      </c>
      <c r="C496" s="147">
        <f t="shared" si="1286"/>
        <v>45491.893300000003</v>
      </c>
      <c r="D496" s="147">
        <f t="shared" si="1366"/>
        <v>0</v>
      </c>
      <c r="E496" s="147">
        <f t="shared" si="1390"/>
        <v>0</v>
      </c>
      <c r="F496" s="147">
        <f t="shared" si="1374"/>
        <v>0</v>
      </c>
      <c r="G496" s="147">
        <f t="shared" si="1391"/>
        <v>40.438000000000002</v>
      </c>
      <c r="H496" s="147">
        <f t="shared" si="1392"/>
        <v>40.438000000000002</v>
      </c>
      <c r="I496" s="147">
        <f t="shared" si="1393"/>
        <v>79.708200000000005</v>
      </c>
      <c r="J496" s="156">
        <f t="shared" si="1394"/>
        <v>79.708200000000005</v>
      </c>
      <c r="K496" s="157">
        <f t="shared" si="1395"/>
        <v>743.22</v>
      </c>
      <c r="L496" s="151">
        <f t="shared" si="1287"/>
        <v>90358</v>
      </c>
      <c r="M496" s="147">
        <f t="shared" si="1288"/>
        <v>0</v>
      </c>
      <c r="N496" s="147"/>
      <c r="O496" s="147">
        <f t="shared" si="1289"/>
        <v>0</v>
      </c>
      <c r="P496" s="147">
        <f t="shared" si="1290"/>
        <v>75</v>
      </c>
      <c r="Q496" s="147">
        <f t="shared" si="1291"/>
        <v>75</v>
      </c>
      <c r="R496" s="147">
        <f t="shared" si="1292"/>
        <v>443</v>
      </c>
      <c r="S496" s="147">
        <f t="shared" si="1293"/>
        <v>443</v>
      </c>
      <c r="T496" s="147">
        <f t="shared" si="1404"/>
        <v>4014</v>
      </c>
      <c r="V496" s="146"/>
      <c r="W496" s="147"/>
      <c r="X496" s="147"/>
      <c r="Y496" s="147"/>
      <c r="Z496" s="147"/>
      <c r="AA496" s="147"/>
      <c r="AB496" s="147"/>
      <c r="AC496" s="147"/>
      <c r="AD496" s="148"/>
      <c r="AF496" s="155">
        <f t="shared" si="1382"/>
        <v>35900</v>
      </c>
      <c r="AG496" s="78">
        <v>45491.893300000003</v>
      </c>
      <c r="AH496" s="78"/>
      <c r="AI496" s="78"/>
      <c r="AJ496" s="78"/>
      <c r="AK496" s="78"/>
      <c r="AL496" s="78"/>
      <c r="AM496" s="78"/>
      <c r="AN496" s="78"/>
      <c r="AO496" s="78"/>
      <c r="AP496" s="78"/>
      <c r="AQ496" s="78"/>
      <c r="AR496" s="78"/>
      <c r="AS496" s="78"/>
      <c r="AT496" s="78"/>
      <c r="AU496" s="78"/>
      <c r="AV496" s="78"/>
      <c r="AW496" s="78"/>
      <c r="AX496" s="78"/>
      <c r="AY496" s="78"/>
      <c r="AZ496" s="78"/>
      <c r="BA496" s="78"/>
      <c r="BB496" s="78"/>
      <c r="BC496" s="78"/>
      <c r="BD496" s="78"/>
      <c r="BE496" s="78"/>
      <c r="BF496" s="78"/>
      <c r="BG496" s="78"/>
      <c r="BH496" s="78"/>
      <c r="BI496" s="78"/>
      <c r="BJ496" s="78"/>
      <c r="BK496" s="78"/>
      <c r="BL496" s="78"/>
      <c r="BM496" s="78"/>
      <c r="BN496" s="78">
        <v>20.219000000000001</v>
      </c>
      <c r="BO496" s="78">
        <v>20.219000000000001</v>
      </c>
      <c r="BP496" s="78"/>
      <c r="BQ496" s="78">
        <f t="shared" si="1357"/>
        <v>20.219000000000001</v>
      </c>
      <c r="BR496" s="78">
        <f t="shared" si="1358"/>
        <v>20.219000000000001</v>
      </c>
      <c r="BS496" s="78"/>
      <c r="BT496" s="78">
        <v>39.854100000000003</v>
      </c>
      <c r="BU496" s="78">
        <v>39.854100000000003</v>
      </c>
      <c r="BV496" s="78"/>
      <c r="BW496" s="78">
        <f t="shared" si="1348"/>
        <v>39.854100000000003</v>
      </c>
      <c r="BX496" s="78">
        <f t="shared" si="1349"/>
        <v>39.854100000000003</v>
      </c>
      <c r="BY496" s="78">
        <f t="shared" si="1349"/>
        <v>0</v>
      </c>
      <c r="BZ496" s="78"/>
      <c r="CA496" s="78"/>
      <c r="CB496" s="78">
        <v>743.22</v>
      </c>
      <c r="CC496" s="231">
        <f t="shared" si="1403"/>
        <v>35900</v>
      </c>
    </row>
    <row r="497" spans="2:81" s="3" customFormat="1" ht="15.75" thickBot="1" x14ac:dyDescent="0.3">
      <c r="B497" s="158">
        <v>35950</v>
      </c>
      <c r="C497" s="144">
        <f t="shared" si="1286"/>
        <v>37476.892500000002</v>
      </c>
      <c r="D497" s="144">
        <f t="shared" si="1366"/>
        <v>0</v>
      </c>
      <c r="E497" s="144">
        <f t="shared" si="1390"/>
        <v>0</v>
      </c>
      <c r="F497" s="144">
        <f t="shared" si="1374"/>
        <v>0</v>
      </c>
      <c r="G497" s="144">
        <f t="shared" si="1391"/>
        <v>40.438000000000002</v>
      </c>
      <c r="H497" s="144">
        <f t="shared" si="1392"/>
        <v>40.438000000000002</v>
      </c>
      <c r="I497" s="144">
        <f t="shared" si="1393"/>
        <v>79.708200000000005</v>
      </c>
      <c r="J497" s="159">
        <f t="shared" si="1394"/>
        <v>79.708200000000005</v>
      </c>
      <c r="K497" s="160">
        <f t="shared" si="1395"/>
        <v>634.16</v>
      </c>
      <c r="L497" s="152">
        <f t="shared" si="1287"/>
        <v>76823</v>
      </c>
      <c r="M497" s="144">
        <f t="shared" si="1288"/>
        <v>0</v>
      </c>
      <c r="N497" s="144"/>
      <c r="O497" s="144">
        <f t="shared" si="1289"/>
        <v>0</v>
      </c>
      <c r="P497" s="144">
        <f t="shared" si="1290"/>
        <v>75</v>
      </c>
      <c r="Q497" s="144">
        <f t="shared" si="1291"/>
        <v>75</v>
      </c>
      <c r="R497" s="144">
        <f t="shared" si="1292"/>
        <v>443</v>
      </c>
      <c r="S497" s="144">
        <f t="shared" si="1293"/>
        <v>443</v>
      </c>
      <c r="T497" s="144">
        <f t="shared" si="1404"/>
        <v>3827</v>
      </c>
      <c r="V497" s="150">
        <f>L496+L497</f>
        <v>167181</v>
      </c>
      <c r="W497" s="150">
        <f t="shared" ref="W497" si="1461">M496+M497</f>
        <v>0</v>
      </c>
      <c r="X497" s="150"/>
      <c r="Y497" s="150">
        <f t="shared" ref="Y497" si="1462">O496+O497</f>
        <v>0</v>
      </c>
      <c r="Z497" s="150">
        <f t="shared" ref="Z497" si="1463">P496+P497</f>
        <v>150</v>
      </c>
      <c r="AA497" s="150">
        <f t="shared" ref="AA497" si="1464">Q496+Q497</f>
        <v>150</v>
      </c>
      <c r="AB497" s="150">
        <f t="shared" ref="AB497" si="1465">R496+R497</f>
        <v>886</v>
      </c>
      <c r="AC497" s="150">
        <f t="shared" ref="AC497" si="1466">S496+S497</f>
        <v>886</v>
      </c>
      <c r="AD497" s="150">
        <f t="shared" ref="AD497" si="1467">T496+T497</f>
        <v>7841</v>
      </c>
      <c r="AF497" s="158">
        <f t="shared" si="1382"/>
        <v>35950</v>
      </c>
      <c r="AG497" s="149">
        <v>37476.892500000002</v>
      </c>
      <c r="AH497" s="149"/>
      <c r="AI497" s="149"/>
      <c r="AJ497" s="149"/>
      <c r="AK497" s="149"/>
      <c r="AL497" s="149"/>
      <c r="AM497" s="149"/>
      <c r="AN497" s="149"/>
      <c r="AO497" s="149"/>
      <c r="AP497" s="149"/>
      <c r="AQ497" s="149"/>
      <c r="AR497" s="149"/>
      <c r="AS497" s="149"/>
      <c r="AT497" s="149"/>
      <c r="AU497" s="149"/>
      <c r="AV497" s="149"/>
      <c r="AW497" s="149"/>
      <c r="AX497" s="149"/>
      <c r="AY497" s="149"/>
      <c r="AZ497" s="149"/>
      <c r="BA497" s="149"/>
      <c r="BB497" s="149"/>
      <c r="BC497" s="149"/>
      <c r="BD497" s="149"/>
      <c r="BE497" s="149"/>
      <c r="BF497" s="149"/>
      <c r="BG497" s="149"/>
      <c r="BH497" s="149"/>
      <c r="BI497" s="149"/>
      <c r="BJ497" s="149"/>
      <c r="BK497" s="149"/>
      <c r="BL497" s="149"/>
      <c r="BM497" s="149"/>
      <c r="BN497" s="149">
        <v>20.219000000000001</v>
      </c>
      <c r="BO497" s="149">
        <v>20.219000000000001</v>
      </c>
      <c r="BP497" s="149"/>
      <c r="BQ497" s="149">
        <f t="shared" si="1357"/>
        <v>20.219000000000001</v>
      </c>
      <c r="BR497" s="149">
        <f t="shared" si="1358"/>
        <v>20.219000000000001</v>
      </c>
      <c r="BS497" s="149"/>
      <c r="BT497" s="149">
        <v>39.854100000000003</v>
      </c>
      <c r="BU497" s="149">
        <v>39.854100000000003</v>
      </c>
      <c r="BV497" s="149"/>
      <c r="BW497" s="149">
        <f t="shared" si="1348"/>
        <v>39.854100000000003</v>
      </c>
      <c r="BX497" s="149">
        <f t="shared" si="1349"/>
        <v>39.854100000000003</v>
      </c>
      <c r="BY497" s="149">
        <f t="shared" si="1349"/>
        <v>0</v>
      </c>
      <c r="BZ497" s="149"/>
      <c r="CA497" s="149"/>
      <c r="CB497" s="149">
        <v>634.16</v>
      </c>
      <c r="CC497" s="231">
        <f t="shared" si="1403"/>
        <v>35950</v>
      </c>
    </row>
    <row r="498" spans="2:81" x14ac:dyDescent="0.25">
      <c r="B498" s="155">
        <v>36000</v>
      </c>
      <c r="C498" s="147">
        <f t="shared" si="1286"/>
        <v>29418.879199999999</v>
      </c>
      <c r="D498" s="147">
        <f t="shared" si="1366"/>
        <v>0</v>
      </c>
      <c r="E498" s="147">
        <f t="shared" si="1390"/>
        <v>0</v>
      </c>
      <c r="F498" s="147">
        <f t="shared" si="1374"/>
        <v>0</v>
      </c>
      <c r="G498" s="147">
        <f t="shared" si="1391"/>
        <v>40.438000000000002</v>
      </c>
      <c r="H498" s="147">
        <f t="shared" si="1392"/>
        <v>40.438000000000002</v>
      </c>
      <c r="I498" s="147">
        <f t="shared" si="1393"/>
        <v>79.708200000000005</v>
      </c>
      <c r="J498" s="156">
        <f t="shared" si="1394"/>
        <v>79.708200000000005</v>
      </c>
      <c r="K498" s="157">
        <f t="shared" si="1395"/>
        <v>541.70000000000005</v>
      </c>
      <c r="L498" s="151">
        <f t="shared" si="1287"/>
        <v>61941</v>
      </c>
      <c r="M498" s="147">
        <f t="shared" si="1288"/>
        <v>0</v>
      </c>
      <c r="N498" s="147"/>
      <c r="O498" s="147">
        <f t="shared" si="1289"/>
        <v>0</v>
      </c>
      <c r="P498" s="147">
        <f t="shared" si="1290"/>
        <v>75</v>
      </c>
      <c r="Q498" s="147">
        <f t="shared" si="1291"/>
        <v>75</v>
      </c>
      <c r="R498" s="147">
        <f t="shared" si="1292"/>
        <v>443</v>
      </c>
      <c r="S498" s="147">
        <f t="shared" si="1293"/>
        <v>443</v>
      </c>
      <c r="T498" s="147">
        <f t="shared" si="1404"/>
        <v>3267</v>
      </c>
      <c r="V498" s="146"/>
      <c r="W498" s="147"/>
      <c r="X498" s="147"/>
      <c r="Y498" s="147"/>
      <c r="Z498" s="147"/>
      <c r="AA498" s="147"/>
      <c r="AB498" s="147"/>
      <c r="AC498" s="147"/>
      <c r="AD498" s="148"/>
      <c r="AF498" s="155">
        <f t="shared" si="1382"/>
        <v>36000</v>
      </c>
      <c r="AG498" s="78">
        <v>29418.879199999999</v>
      </c>
      <c r="AH498" s="78"/>
      <c r="AI498" s="78"/>
      <c r="AJ498" s="78"/>
      <c r="AK498" s="78"/>
      <c r="AL498" s="78"/>
      <c r="AM498" s="78"/>
      <c r="AN498" s="78"/>
      <c r="AO498" s="78"/>
      <c r="AP498" s="78"/>
      <c r="AQ498" s="78"/>
      <c r="AR498" s="78"/>
      <c r="AS498" s="78"/>
      <c r="AT498" s="78"/>
      <c r="AU498" s="78"/>
      <c r="AV498" s="78"/>
      <c r="AW498" s="78"/>
      <c r="AX498" s="78"/>
      <c r="AY498" s="78"/>
      <c r="AZ498" s="78"/>
      <c r="BA498" s="78"/>
      <c r="BB498" s="78"/>
      <c r="BC498" s="78"/>
      <c r="BD498" s="78"/>
      <c r="BE498" s="78"/>
      <c r="BF498" s="78"/>
      <c r="BG498" s="78"/>
      <c r="BH498" s="78"/>
      <c r="BI498" s="78"/>
      <c r="BJ498" s="78"/>
      <c r="BK498" s="78"/>
      <c r="BL498" s="78"/>
      <c r="BM498" s="78"/>
      <c r="BN498" s="78">
        <v>20.219000000000001</v>
      </c>
      <c r="BO498" s="78">
        <v>20.219000000000001</v>
      </c>
      <c r="BP498" s="78"/>
      <c r="BQ498" s="78">
        <f t="shared" si="1357"/>
        <v>20.219000000000001</v>
      </c>
      <c r="BR498" s="78">
        <f t="shared" si="1358"/>
        <v>20.219000000000001</v>
      </c>
      <c r="BS498" s="78"/>
      <c r="BT498" s="78">
        <v>39.854100000000003</v>
      </c>
      <c r="BU498" s="78">
        <v>39.854100000000003</v>
      </c>
      <c r="BV498" s="78"/>
      <c r="BW498" s="78">
        <f t="shared" si="1348"/>
        <v>39.854100000000003</v>
      </c>
      <c r="BX498" s="78">
        <f t="shared" si="1349"/>
        <v>39.854100000000003</v>
      </c>
      <c r="BY498" s="78">
        <f t="shared" si="1349"/>
        <v>0</v>
      </c>
      <c r="BZ498" s="78"/>
      <c r="CA498" s="78"/>
      <c r="CB498" s="78">
        <v>541.70000000000005</v>
      </c>
      <c r="CC498" s="231">
        <f t="shared" si="1403"/>
        <v>36000</v>
      </c>
    </row>
    <row r="499" spans="2:81" s="3" customFormat="1" ht="15.75" thickBot="1" x14ac:dyDescent="0.3">
      <c r="B499" s="158">
        <v>36050</v>
      </c>
      <c r="C499" s="144">
        <f t="shared" si="1286"/>
        <v>22919.219499999999</v>
      </c>
      <c r="D499" s="144">
        <f t="shared" si="1366"/>
        <v>0</v>
      </c>
      <c r="E499" s="144">
        <f t="shared" si="1390"/>
        <v>0</v>
      </c>
      <c r="F499" s="144">
        <f t="shared" si="1374"/>
        <v>0</v>
      </c>
      <c r="G499" s="144">
        <f t="shared" si="1391"/>
        <v>40.438000000000002</v>
      </c>
      <c r="H499" s="144">
        <f t="shared" si="1392"/>
        <v>40.438000000000002</v>
      </c>
      <c r="I499" s="144">
        <f t="shared" si="1393"/>
        <v>79.7042</v>
      </c>
      <c r="J499" s="159">
        <f t="shared" si="1394"/>
        <v>79.7042</v>
      </c>
      <c r="K499" s="160">
        <f t="shared" si="1395"/>
        <v>469.75</v>
      </c>
      <c r="L499" s="152">
        <f t="shared" si="1287"/>
        <v>48462</v>
      </c>
      <c r="M499" s="144">
        <f t="shared" si="1288"/>
        <v>0</v>
      </c>
      <c r="N499" s="144"/>
      <c r="O499" s="144">
        <f t="shared" si="1289"/>
        <v>0</v>
      </c>
      <c r="P499" s="144">
        <f t="shared" si="1290"/>
        <v>75</v>
      </c>
      <c r="Q499" s="144">
        <f t="shared" si="1291"/>
        <v>75</v>
      </c>
      <c r="R499" s="144">
        <f t="shared" si="1292"/>
        <v>443</v>
      </c>
      <c r="S499" s="144">
        <f t="shared" si="1293"/>
        <v>443</v>
      </c>
      <c r="T499" s="144">
        <f t="shared" si="1404"/>
        <v>2810</v>
      </c>
      <c r="V499" s="150">
        <f>L498+L499</f>
        <v>110403</v>
      </c>
      <c r="W499" s="150">
        <f t="shared" ref="W499" si="1468">M498+M499</f>
        <v>0</v>
      </c>
      <c r="X499" s="150"/>
      <c r="Y499" s="150">
        <f t="shared" ref="Y499" si="1469">O498+O499</f>
        <v>0</v>
      </c>
      <c r="Z499" s="150">
        <f t="shared" ref="Z499" si="1470">P498+P499</f>
        <v>150</v>
      </c>
      <c r="AA499" s="150">
        <f t="shared" ref="AA499" si="1471">Q498+Q499</f>
        <v>150</v>
      </c>
      <c r="AB499" s="150">
        <f t="shared" ref="AB499" si="1472">R498+R499</f>
        <v>886</v>
      </c>
      <c r="AC499" s="150">
        <f t="shared" ref="AC499" si="1473">S498+S499</f>
        <v>886</v>
      </c>
      <c r="AD499" s="150">
        <f t="shared" ref="AD499" si="1474">T498+T499</f>
        <v>6077</v>
      </c>
      <c r="AF499" s="158">
        <f t="shared" si="1382"/>
        <v>36050</v>
      </c>
      <c r="AG499" s="149">
        <v>22919.219499999999</v>
      </c>
      <c r="AH499" s="149"/>
      <c r="AI499" s="149"/>
      <c r="AJ499" s="149"/>
      <c r="AK499" s="149"/>
      <c r="AL499" s="149"/>
      <c r="AM499" s="149"/>
      <c r="AN499" s="149"/>
      <c r="AO499" s="149"/>
      <c r="AP499" s="149"/>
      <c r="AQ499" s="149"/>
      <c r="AR499" s="149"/>
      <c r="AS499" s="149"/>
      <c r="AT499" s="149"/>
      <c r="AU499" s="149"/>
      <c r="AV499" s="149"/>
      <c r="AW499" s="149"/>
      <c r="AX499" s="149"/>
      <c r="AY499" s="149"/>
      <c r="AZ499" s="149"/>
      <c r="BA499" s="149"/>
      <c r="BB499" s="149"/>
      <c r="BC499" s="149"/>
      <c r="BD499" s="149"/>
      <c r="BE499" s="149"/>
      <c r="BF499" s="149"/>
      <c r="BG499" s="149"/>
      <c r="BH499" s="149"/>
      <c r="BI499" s="149"/>
      <c r="BJ499" s="149"/>
      <c r="BK499" s="149"/>
      <c r="BL499" s="149"/>
      <c r="BM499" s="149"/>
      <c r="BN499" s="149">
        <v>20.219000000000001</v>
      </c>
      <c r="BO499" s="149">
        <v>20.219000000000001</v>
      </c>
      <c r="BP499" s="149"/>
      <c r="BQ499" s="149">
        <f t="shared" si="1357"/>
        <v>20.219000000000001</v>
      </c>
      <c r="BR499" s="149">
        <f t="shared" si="1358"/>
        <v>20.219000000000001</v>
      </c>
      <c r="BS499" s="149"/>
      <c r="BT499" s="149">
        <v>39.8521</v>
      </c>
      <c r="BU499" s="149">
        <v>39.8521</v>
      </c>
      <c r="BV499" s="149"/>
      <c r="BW499" s="149">
        <f t="shared" si="1348"/>
        <v>39.8521</v>
      </c>
      <c r="BX499" s="149">
        <f t="shared" si="1349"/>
        <v>39.8521</v>
      </c>
      <c r="BY499" s="149">
        <f t="shared" si="1349"/>
        <v>0</v>
      </c>
      <c r="BZ499" s="149"/>
      <c r="CA499" s="149"/>
      <c r="CB499" s="149">
        <v>469.75</v>
      </c>
      <c r="CC499" s="231">
        <f t="shared" si="1403"/>
        <v>36050</v>
      </c>
    </row>
    <row r="500" spans="2:81" x14ac:dyDescent="0.25">
      <c r="B500" s="155">
        <v>36100</v>
      </c>
      <c r="C500" s="147">
        <f t="shared" ref="C500:C568" si="1475">AG500+AH500+AI500+AJ500+AK500+AL500+AM500+AN500+AO500+AP500+AQ500+AR500+AS500+AT500+AU500+AV500+AW500</f>
        <v>17964.351200000001</v>
      </c>
      <c r="D500" s="147">
        <f t="shared" si="1366"/>
        <v>0</v>
      </c>
      <c r="E500" s="147">
        <f t="shared" si="1390"/>
        <v>0</v>
      </c>
      <c r="F500" s="147">
        <f t="shared" si="1374"/>
        <v>0</v>
      </c>
      <c r="G500" s="147">
        <f t="shared" si="1391"/>
        <v>40.438000000000002</v>
      </c>
      <c r="H500" s="147">
        <f t="shared" si="1392"/>
        <v>40.438000000000002</v>
      </c>
      <c r="I500" s="147">
        <f t="shared" si="1393"/>
        <v>79.698599999999999</v>
      </c>
      <c r="J500" s="156">
        <f t="shared" si="1394"/>
        <v>79.698599999999999</v>
      </c>
      <c r="K500" s="157">
        <f t="shared" si="1395"/>
        <v>440.16</v>
      </c>
      <c r="L500" s="151">
        <f t="shared" si="1287"/>
        <v>37856</v>
      </c>
      <c r="M500" s="147">
        <f t="shared" si="1288"/>
        <v>0</v>
      </c>
      <c r="N500" s="147"/>
      <c r="O500" s="147">
        <f t="shared" si="1289"/>
        <v>0</v>
      </c>
      <c r="P500" s="147">
        <f t="shared" si="1290"/>
        <v>75</v>
      </c>
      <c r="Q500" s="147">
        <f t="shared" si="1291"/>
        <v>75</v>
      </c>
      <c r="R500" s="147">
        <f t="shared" si="1292"/>
        <v>443</v>
      </c>
      <c r="S500" s="147">
        <f t="shared" si="1293"/>
        <v>443</v>
      </c>
      <c r="T500" s="147">
        <f t="shared" si="1404"/>
        <v>2528</v>
      </c>
      <c r="V500" s="146"/>
      <c r="W500" s="147"/>
      <c r="X500" s="147"/>
      <c r="Y500" s="147"/>
      <c r="Z500" s="147"/>
      <c r="AA500" s="147"/>
      <c r="AB500" s="147"/>
      <c r="AC500" s="147"/>
      <c r="AD500" s="148"/>
      <c r="AF500" s="155">
        <f t="shared" si="1382"/>
        <v>36100</v>
      </c>
      <c r="AG500" s="78">
        <v>17964.351200000001</v>
      </c>
      <c r="AH500" s="78"/>
      <c r="AI500" s="78"/>
      <c r="AJ500" s="78"/>
      <c r="AK500" s="78"/>
      <c r="AL500" s="78"/>
      <c r="AM500" s="78"/>
      <c r="AN500" s="78"/>
      <c r="AO500" s="78"/>
      <c r="AP500" s="78"/>
      <c r="AQ500" s="78"/>
      <c r="AR500" s="78"/>
      <c r="AS500" s="78"/>
      <c r="AT500" s="78"/>
      <c r="AU500" s="78"/>
      <c r="AV500" s="78"/>
      <c r="AW500" s="78"/>
      <c r="AX500" s="78"/>
      <c r="AY500" s="78"/>
      <c r="AZ500" s="78"/>
      <c r="BA500" s="78"/>
      <c r="BB500" s="78"/>
      <c r="BC500" s="78"/>
      <c r="BD500" s="78"/>
      <c r="BE500" s="78"/>
      <c r="BF500" s="78"/>
      <c r="BG500" s="78"/>
      <c r="BH500" s="78"/>
      <c r="BI500" s="78"/>
      <c r="BJ500" s="78"/>
      <c r="BK500" s="78"/>
      <c r="BL500" s="78"/>
      <c r="BM500" s="78"/>
      <c r="BN500" s="78">
        <v>20.219000000000001</v>
      </c>
      <c r="BO500" s="78">
        <v>20.219000000000001</v>
      </c>
      <c r="BP500" s="78"/>
      <c r="BQ500" s="78">
        <f t="shared" ref="BQ500" si="1476">BN500</f>
        <v>20.219000000000001</v>
      </c>
      <c r="BR500" s="78">
        <f t="shared" ref="BR500" si="1477">BO500</f>
        <v>20.219000000000001</v>
      </c>
      <c r="BS500" s="78"/>
      <c r="BT500" s="78">
        <v>39.849299999999999</v>
      </c>
      <c r="BU500" s="78">
        <v>39.849299999999999</v>
      </c>
      <c r="BV500" s="78"/>
      <c r="BW500" s="78">
        <f t="shared" si="1348"/>
        <v>39.849299999999999</v>
      </c>
      <c r="BX500" s="78">
        <f t="shared" si="1349"/>
        <v>39.849299999999999</v>
      </c>
      <c r="BY500" s="78">
        <f t="shared" si="1349"/>
        <v>0</v>
      </c>
      <c r="BZ500" s="78"/>
      <c r="CA500" s="78"/>
      <c r="CB500" s="78">
        <v>440.16</v>
      </c>
      <c r="CC500" s="231">
        <f t="shared" si="1403"/>
        <v>36100</v>
      </c>
    </row>
    <row r="501" spans="2:81" x14ac:dyDescent="0.25">
      <c r="B501" s="57">
        <v>36150</v>
      </c>
      <c r="C501" s="58">
        <f t="shared" si="1475"/>
        <v>13493.873600000001</v>
      </c>
      <c r="D501" s="58">
        <f t="shared" si="1366"/>
        <v>0</v>
      </c>
      <c r="E501" s="58">
        <f t="shared" si="1390"/>
        <v>0</v>
      </c>
      <c r="F501" s="58">
        <f t="shared" si="1374"/>
        <v>0</v>
      </c>
      <c r="G501" s="58">
        <f t="shared" si="1391"/>
        <v>40.438000000000002</v>
      </c>
      <c r="H501" s="58">
        <f t="shared" si="1392"/>
        <v>40.438000000000002</v>
      </c>
      <c r="I501" s="58">
        <f t="shared" si="1393"/>
        <v>79.694999999999993</v>
      </c>
      <c r="J501" s="51">
        <f t="shared" si="1394"/>
        <v>79.694999999999993</v>
      </c>
      <c r="K501" s="99">
        <f t="shared" si="1395"/>
        <v>334.24</v>
      </c>
      <c r="L501" s="105">
        <f t="shared" si="1287"/>
        <v>29128</v>
      </c>
      <c r="M501" s="58">
        <f t="shared" si="1288"/>
        <v>0</v>
      </c>
      <c r="N501" s="58"/>
      <c r="O501" s="58">
        <f t="shared" si="1289"/>
        <v>0</v>
      </c>
      <c r="P501" s="58">
        <f t="shared" si="1290"/>
        <v>75</v>
      </c>
      <c r="Q501" s="58">
        <f t="shared" si="1291"/>
        <v>75</v>
      </c>
      <c r="R501" s="58">
        <f t="shared" si="1292"/>
        <v>443</v>
      </c>
      <c r="S501" s="58">
        <f t="shared" si="1293"/>
        <v>443</v>
      </c>
      <c r="T501" s="58">
        <f t="shared" si="1404"/>
        <v>2152</v>
      </c>
      <c r="V501" s="137"/>
      <c r="W501" s="58"/>
      <c r="X501" s="58"/>
      <c r="Y501" s="58"/>
      <c r="Z501" s="58"/>
      <c r="AA501" s="58"/>
      <c r="AB501" s="58"/>
      <c r="AC501" s="58"/>
      <c r="AD501" s="138"/>
      <c r="AF501" s="57">
        <f t="shared" si="1382"/>
        <v>36150</v>
      </c>
      <c r="AG501" s="49">
        <v>13493.873600000001</v>
      </c>
      <c r="AH501" s="49"/>
      <c r="AI501" s="49"/>
      <c r="AJ501" s="49"/>
      <c r="AK501" s="49"/>
      <c r="AL501" s="49"/>
      <c r="AM501" s="49"/>
      <c r="AN501" s="49"/>
      <c r="AO501" s="49"/>
      <c r="AP501" s="49"/>
      <c r="AQ501" s="49"/>
      <c r="AR501" s="49"/>
      <c r="AS501" s="49"/>
      <c r="AT501" s="49"/>
      <c r="AU501" s="49"/>
      <c r="AV501" s="49"/>
      <c r="AW501" s="49"/>
      <c r="AX501" s="49"/>
      <c r="AY501" s="49"/>
      <c r="AZ501" s="49"/>
      <c r="BA501" s="49"/>
      <c r="BB501" s="49"/>
      <c r="BC501" s="49"/>
      <c r="BD501" s="49"/>
      <c r="BE501" s="49"/>
      <c r="BF501" s="49"/>
      <c r="BG501" s="49"/>
      <c r="BH501" s="49"/>
      <c r="BI501" s="49"/>
      <c r="BJ501" s="49"/>
      <c r="BK501" s="49"/>
      <c r="BL501" s="49"/>
      <c r="BM501" s="49"/>
      <c r="BN501" s="49">
        <v>20.219000000000001</v>
      </c>
      <c r="BO501" s="49">
        <v>20.219000000000001</v>
      </c>
      <c r="BP501" s="49"/>
      <c r="BQ501" s="78">
        <f t="shared" ref="BQ501:BQ502" si="1478">BN501</f>
        <v>20.219000000000001</v>
      </c>
      <c r="BR501" s="78">
        <f t="shared" ref="BR501:BR502" si="1479">BO501</f>
        <v>20.219000000000001</v>
      </c>
      <c r="BS501" s="49"/>
      <c r="BT501" s="49">
        <v>39.847499999999997</v>
      </c>
      <c r="BU501" s="49">
        <v>39.847499999999997</v>
      </c>
      <c r="BV501" s="49"/>
      <c r="BW501" s="49">
        <f t="shared" si="1348"/>
        <v>39.847499999999997</v>
      </c>
      <c r="BX501" s="49">
        <f t="shared" si="1349"/>
        <v>39.847499999999997</v>
      </c>
      <c r="BY501" s="49">
        <f t="shared" si="1349"/>
        <v>0</v>
      </c>
      <c r="BZ501" s="49"/>
      <c r="CA501" s="49"/>
      <c r="CB501" s="49">
        <v>334.24</v>
      </c>
      <c r="CC501" s="231">
        <f t="shared" si="1403"/>
        <v>36150</v>
      </c>
    </row>
    <row r="502" spans="2:81" s="3" customFormat="1" ht="15.75" thickBot="1" x14ac:dyDescent="0.3">
      <c r="B502" s="158">
        <v>36200</v>
      </c>
      <c r="C502" s="144">
        <f t="shared" si="1475"/>
        <v>8334.0887000000002</v>
      </c>
      <c r="D502" s="144">
        <f t="shared" si="1366"/>
        <v>0</v>
      </c>
      <c r="E502" s="144">
        <f t="shared" si="1390"/>
        <v>0</v>
      </c>
      <c r="F502" s="144">
        <f t="shared" si="1374"/>
        <v>0</v>
      </c>
      <c r="G502" s="144">
        <f t="shared" si="1391"/>
        <v>40.438000000000002</v>
      </c>
      <c r="H502" s="144">
        <f t="shared" si="1392"/>
        <v>40.438000000000002</v>
      </c>
      <c r="I502" s="144">
        <f t="shared" si="1393"/>
        <v>79.6982</v>
      </c>
      <c r="J502" s="159">
        <f t="shared" si="1394"/>
        <v>79.6982</v>
      </c>
      <c r="K502" s="160">
        <f t="shared" si="1395"/>
        <v>265.05</v>
      </c>
      <c r="L502" s="152">
        <f t="shared" si="1287"/>
        <v>20212</v>
      </c>
      <c r="M502" s="144">
        <f t="shared" si="1288"/>
        <v>0</v>
      </c>
      <c r="N502" s="144"/>
      <c r="O502" s="144">
        <f t="shared" si="1289"/>
        <v>0</v>
      </c>
      <c r="P502" s="144">
        <f t="shared" si="1290"/>
        <v>75</v>
      </c>
      <c r="Q502" s="144">
        <f t="shared" si="1291"/>
        <v>75</v>
      </c>
      <c r="R502" s="144">
        <f t="shared" si="1292"/>
        <v>443</v>
      </c>
      <c r="S502" s="144">
        <f t="shared" si="1293"/>
        <v>443</v>
      </c>
      <c r="T502" s="144">
        <f t="shared" si="1404"/>
        <v>1665</v>
      </c>
      <c r="V502" s="150">
        <f>L500+L501+L502</f>
        <v>87196</v>
      </c>
      <c r="W502" s="150">
        <f t="shared" ref="W502" si="1480">M500+M501+M502</f>
        <v>0</v>
      </c>
      <c r="X502" s="150"/>
      <c r="Y502" s="150">
        <f t="shared" ref="Y502" si="1481">O500+O501+O502</f>
        <v>0</v>
      </c>
      <c r="Z502" s="150">
        <f t="shared" ref="Z502" si="1482">P500+P501+P502</f>
        <v>225</v>
      </c>
      <c r="AA502" s="150">
        <f t="shared" ref="AA502" si="1483">Q500+Q501+Q502</f>
        <v>225</v>
      </c>
      <c r="AB502" s="150">
        <f t="shared" ref="AB502" si="1484">R500+R501+R502</f>
        <v>1329</v>
      </c>
      <c r="AC502" s="150">
        <f t="shared" ref="AC502" si="1485">S500+S501+S502</f>
        <v>1329</v>
      </c>
      <c r="AD502" s="150">
        <f t="shared" ref="AD502" si="1486">T500+T501+T502</f>
        <v>6345</v>
      </c>
      <c r="AF502" s="158">
        <f t="shared" si="1382"/>
        <v>36200</v>
      </c>
      <c r="AG502" s="149">
        <v>8334.0887000000002</v>
      </c>
      <c r="AH502" s="149"/>
      <c r="AI502" s="149"/>
      <c r="AJ502" s="149"/>
      <c r="AK502" s="149"/>
      <c r="AL502" s="149"/>
      <c r="AM502" s="149"/>
      <c r="AN502" s="149"/>
      <c r="AO502" s="149"/>
      <c r="AP502" s="149"/>
      <c r="AQ502" s="149"/>
      <c r="AR502" s="149"/>
      <c r="AS502" s="149"/>
      <c r="AT502" s="149"/>
      <c r="AU502" s="149"/>
      <c r="AV502" s="149"/>
      <c r="AW502" s="149"/>
      <c r="AX502" s="149"/>
      <c r="AY502" s="149"/>
      <c r="AZ502" s="149"/>
      <c r="BA502" s="149"/>
      <c r="BB502" s="149"/>
      <c r="BC502" s="149"/>
      <c r="BD502" s="149"/>
      <c r="BE502" s="149"/>
      <c r="BF502" s="149"/>
      <c r="BG502" s="149"/>
      <c r="BH502" s="149"/>
      <c r="BI502" s="149"/>
      <c r="BJ502" s="149"/>
      <c r="BK502" s="149"/>
      <c r="BL502" s="149"/>
      <c r="BM502" s="149"/>
      <c r="BN502" s="149">
        <v>20.219000000000001</v>
      </c>
      <c r="BO502" s="149">
        <v>20.219000000000001</v>
      </c>
      <c r="BP502" s="149"/>
      <c r="BQ502" s="149">
        <f t="shared" si="1478"/>
        <v>20.219000000000001</v>
      </c>
      <c r="BR502" s="149">
        <f t="shared" si="1479"/>
        <v>20.219000000000001</v>
      </c>
      <c r="BS502" s="149"/>
      <c r="BT502" s="149">
        <v>39.8491</v>
      </c>
      <c r="BU502" s="149">
        <v>39.8491</v>
      </c>
      <c r="BV502" s="149"/>
      <c r="BW502" s="149">
        <f t="shared" si="1348"/>
        <v>39.8491</v>
      </c>
      <c r="BX502" s="149">
        <f t="shared" si="1349"/>
        <v>39.8491</v>
      </c>
      <c r="BY502" s="149">
        <f t="shared" si="1349"/>
        <v>0</v>
      </c>
      <c r="BZ502" s="149"/>
      <c r="CA502" s="149"/>
      <c r="CB502" s="149">
        <v>265.05</v>
      </c>
      <c r="CC502" s="231">
        <f t="shared" si="1403"/>
        <v>36200</v>
      </c>
    </row>
    <row r="503" spans="2:81" x14ac:dyDescent="0.25">
      <c r="B503" s="155">
        <v>36250</v>
      </c>
      <c r="C503" s="147">
        <f t="shared" si="1475"/>
        <v>3587.4522000000002</v>
      </c>
      <c r="D503" s="147">
        <f t="shared" si="1366"/>
        <v>0</v>
      </c>
      <c r="E503" s="147">
        <f t="shared" si="1390"/>
        <v>0</v>
      </c>
      <c r="F503" s="147">
        <f t="shared" si="1374"/>
        <v>0</v>
      </c>
      <c r="G503" s="147">
        <f t="shared" si="1391"/>
        <v>0</v>
      </c>
      <c r="H503" s="147">
        <f t="shared" si="1392"/>
        <v>0</v>
      </c>
      <c r="I503" s="147">
        <f t="shared" si="1393"/>
        <v>0</v>
      </c>
      <c r="J503" s="156">
        <f t="shared" si="1394"/>
        <v>0</v>
      </c>
      <c r="K503" s="157">
        <f t="shared" si="1395"/>
        <v>221.59</v>
      </c>
      <c r="L503" s="151">
        <f t="shared" si="1287"/>
        <v>11039</v>
      </c>
      <c r="M503" s="147">
        <f t="shared" si="1288"/>
        <v>0</v>
      </c>
      <c r="N503" s="147"/>
      <c r="O503" s="147">
        <f t="shared" si="1289"/>
        <v>0</v>
      </c>
      <c r="P503" s="147">
        <f t="shared" si="1290"/>
        <v>38</v>
      </c>
      <c r="Q503" s="147">
        <f t="shared" si="1291"/>
        <v>38</v>
      </c>
      <c r="R503" s="147">
        <f t="shared" si="1292"/>
        <v>222</v>
      </c>
      <c r="S503" s="147">
        <f t="shared" si="1293"/>
        <v>222</v>
      </c>
      <c r="T503" s="147">
        <f t="shared" si="1404"/>
        <v>1352</v>
      </c>
      <c r="V503" s="146"/>
      <c r="W503" s="147"/>
      <c r="X503" s="147"/>
      <c r="Y503" s="147"/>
      <c r="Z503" s="147"/>
      <c r="AA503" s="147"/>
      <c r="AB503" s="147"/>
      <c r="AC503" s="147"/>
      <c r="AD503" s="148"/>
      <c r="AF503" s="155">
        <f t="shared" si="1382"/>
        <v>36250</v>
      </c>
      <c r="AG503" s="78">
        <v>3587.4522000000002</v>
      </c>
      <c r="AH503" s="78"/>
      <c r="AI503" s="78"/>
      <c r="AJ503" s="78"/>
      <c r="AK503" s="78"/>
      <c r="AL503" s="78"/>
      <c r="AM503" s="78"/>
      <c r="AN503" s="78"/>
      <c r="AO503" s="78"/>
      <c r="AP503" s="78"/>
      <c r="AQ503" s="78"/>
      <c r="AR503" s="78"/>
      <c r="AS503" s="78"/>
      <c r="AT503" s="78"/>
      <c r="AU503" s="78"/>
      <c r="AV503" s="78"/>
      <c r="AW503" s="78"/>
      <c r="AX503" s="78"/>
      <c r="AY503" s="78"/>
      <c r="AZ503" s="78"/>
      <c r="BA503" s="78"/>
      <c r="BB503" s="78"/>
      <c r="BC503" s="78"/>
      <c r="BD503" s="78"/>
      <c r="BE503" s="78"/>
      <c r="BF503" s="78"/>
      <c r="BG503" s="78"/>
      <c r="BH503" s="78"/>
      <c r="BI503" s="78"/>
      <c r="BJ503" s="78"/>
      <c r="BK503" s="78"/>
      <c r="BL503" s="78"/>
      <c r="BM503" s="78"/>
      <c r="BN503" s="78"/>
      <c r="BO503" s="78"/>
      <c r="BP503" s="78"/>
      <c r="BQ503" s="78"/>
      <c r="BR503" s="78"/>
      <c r="BS503" s="78"/>
      <c r="BT503" s="78"/>
      <c r="BU503" s="78"/>
      <c r="BV503" s="78"/>
      <c r="BW503" s="78"/>
      <c r="BX503" s="78"/>
      <c r="BY503" s="78"/>
      <c r="BZ503" s="78"/>
      <c r="CA503" s="78"/>
      <c r="CB503" s="78">
        <v>221.59</v>
      </c>
      <c r="CC503" s="231">
        <f t="shared" si="1403"/>
        <v>36250</v>
      </c>
    </row>
    <row r="504" spans="2:81" x14ac:dyDescent="0.25">
      <c r="B504" s="57">
        <v>36300</v>
      </c>
      <c r="C504" s="58">
        <f t="shared" si="1475"/>
        <v>815.97449999999992</v>
      </c>
      <c r="D504" s="58">
        <f t="shared" si="1366"/>
        <v>249.55099999999999</v>
      </c>
      <c r="E504" s="58">
        <f t="shared" si="1390"/>
        <v>0</v>
      </c>
      <c r="F504" s="58">
        <f t="shared" si="1374"/>
        <v>0</v>
      </c>
      <c r="G504" s="58">
        <f t="shared" si="1391"/>
        <v>0</v>
      </c>
      <c r="H504" s="58">
        <f t="shared" si="1392"/>
        <v>0</v>
      </c>
      <c r="I504" s="58">
        <f t="shared" si="1393"/>
        <v>0</v>
      </c>
      <c r="J504" s="51">
        <f t="shared" si="1394"/>
        <v>0</v>
      </c>
      <c r="K504" s="99">
        <f t="shared" si="1395"/>
        <v>209.91</v>
      </c>
      <c r="L504" s="105">
        <f t="shared" si="1287"/>
        <v>4078</v>
      </c>
      <c r="M504" s="58">
        <f t="shared" si="1288"/>
        <v>232</v>
      </c>
      <c r="N504" s="58"/>
      <c r="O504" s="58">
        <f t="shared" si="1289"/>
        <v>0</v>
      </c>
      <c r="P504" s="58">
        <f t="shared" si="1290"/>
        <v>0</v>
      </c>
      <c r="Q504" s="58">
        <f t="shared" si="1291"/>
        <v>0</v>
      </c>
      <c r="R504" s="58">
        <f t="shared" si="1292"/>
        <v>0</v>
      </c>
      <c r="S504" s="58">
        <f t="shared" si="1293"/>
        <v>0</v>
      </c>
      <c r="T504" s="58">
        <f t="shared" si="1404"/>
        <v>1199</v>
      </c>
      <c r="V504" s="137"/>
      <c r="W504" s="58"/>
      <c r="X504" s="58"/>
      <c r="Y504" s="58"/>
      <c r="Z504" s="58"/>
      <c r="AA504" s="58"/>
      <c r="AB504" s="58"/>
      <c r="AC504" s="58"/>
      <c r="AD504" s="138"/>
      <c r="AF504" s="57">
        <f t="shared" si="1382"/>
        <v>36300</v>
      </c>
      <c r="AG504" s="49">
        <v>660.86749999999995</v>
      </c>
      <c r="AH504" s="49">
        <v>155.107</v>
      </c>
      <c r="AI504" s="49"/>
      <c r="AJ504" s="49"/>
      <c r="AK504" s="49"/>
      <c r="AL504" s="49"/>
      <c r="AM504" s="49"/>
      <c r="AN504" s="49"/>
      <c r="AO504" s="49"/>
      <c r="AP504" s="49"/>
      <c r="AQ504" s="49"/>
      <c r="AR504" s="49"/>
      <c r="AS504" s="49"/>
      <c r="AT504" s="49"/>
      <c r="AU504" s="49"/>
      <c r="AV504" s="49"/>
      <c r="AW504" s="49"/>
      <c r="AX504" s="49">
        <v>14.4588</v>
      </c>
      <c r="AY504" s="49">
        <v>235.09219999999999</v>
      </c>
      <c r="AZ504" s="49"/>
      <c r="BA504" s="49"/>
      <c r="BB504" s="49"/>
      <c r="BC504" s="49"/>
      <c r="BD504" s="49"/>
      <c r="BE504" s="49"/>
      <c r="BF504" s="49"/>
      <c r="BG504" s="49"/>
      <c r="BH504" s="49"/>
      <c r="BI504" s="49"/>
      <c r="BJ504" s="49"/>
      <c r="BK504" s="49"/>
      <c r="BL504" s="49"/>
      <c r="BM504" s="49"/>
      <c r="BN504" s="49"/>
      <c r="BO504" s="49"/>
      <c r="BP504" s="49"/>
      <c r="BQ504" s="49"/>
      <c r="BR504" s="49"/>
      <c r="BS504" s="49"/>
      <c r="BT504" s="49"/>
      <c r="BU504" s="49"/>
      <c r="BV504" s="49"/>
      <c r="BW504" s="49"/>
      <c r="BX504" s="49"/>
      <c r="BY504" s="49"/>
      <c r="BZ504" s="49"/>
      <c r="CA504" s="49"/>
      <c r="CB504" s="49">
        <v>209.91</v>
      </c>
      <c r="CC504" s="231">
        <f t="shared" si="1403"/>
        <v>36300</v>
      </c>
    </row>
    <row r="505" spans="2:81" s="3" customFormat="1" ht="15.75" thickBot="1" x14ac:dyDescent="0.3">
      <c r="B505" s="158">
        <v>36350</v>
      </c>
      <c r="C505" s="144">
        <f t="shared" si="1475"/>
        <v>475.2747</v>
      </c>
      <c r="D505" s="144">
        <f t="shared" si="1366"/>
        <v>2026.9257</v>
      </c>
      <c r="E505" s="144">
        <f t="shared" si="1390"/>
        <v>0</v>
      </c>
      <c r="F505" s="144">
        <f t="shared" si="1374"/>
        <v>0</v>
      </c>
      <c r="G505" s="144">
        <f t="shared" si="1391"/>
        <v>0</v>
      </c>
      <c r="H505" s="144">
        <f t="shared" si="1392"/>
        <v>0</v>
      </c>
      <c r="I505" s="144">
        <f t="shared" si="1393"/>
        <v>0</v>
      </c>
      <c r="J505" s="159">
        <f t="shared" si="1394"/>
        <v>0</v>
      </c>
      <c r="K505" s="160">
        <f t="shared" si="1395"/>
        <v>267.36</v>
      </c>
      <c r="L505" s="152">
        <f t="shared" si="1287"/>
        <v>1196</v>
      </c>
      <c r="M505" s="144">
        <f t="shared" si="1288"/>
        <v>2108</v>
      </c>
      <c r="N505" s="144"/>
      <c r="O505" s="144">
        <f t="shared" si="1289"/>
        <v>0</v>
      </c>
      <c r="P505" s="144">
        <f t="shared" si="1290"/>
        <v>0</v>
      </c>
      <c r="Q505" s="144">
        <f t="shared" si="1291"/>
        <v>0</v>
      </c>
      <c r="R505" s="144">
        <f t="shared" si="1292"/>
        <v>0</v>
      </c>
      <c r="S505" s="144">
        <f t="shared" si="1293"/>
        <v>0</v>
      </c>
      <c r="T505" s="144">
        <f t="shared" si="1404"/>
        <v>1326</v>
      </c>
      <c r="V505" s="150">
        <f>L503+L504+L505</f>
        <v>16313</v>
      </c>
      <c r="W505" s="150">
        <f t="shared" ref="W505" si="1487">M503+M504+M505</f>
        <v>2340</v>
      </c>
      <c r="X505" s="150"/>
      <c r="Y505" s="150">
        <f t="shared" ref="Y505" si="1488">O503+O504+O505</f>
        <v>0</v>
      </c>
      <c r="Z505" s="150">
        <f t="shared" ref="Z505" si="1489">P503+P504+P505</f>
        <v>38</v>
      </c>
      <c r="AA505" s="150">
        <f t="shared" ref="AA505" si="1490">Q503+Q504+Q505</f>
        <v>38</v>
      </c>
      <c r="AB505" s="150">
        <f t="shared" ref="AB505" si="1491">R503+R504+R505</f>
        <v>222</v>
      </c>
      <c r="AC505" s="150">
        <f t="shared" ref="AC505" si="1492">S503+S504+S505</f>
        <v>222</v>
      </c>
      <c r="AD505" s="150">
        <f t="shared" ref="AD505" si="1493">T503+T504+T505</f>
        <v>3877</v>
      </c>
      <c r="AF505" s="158">
        <f t="shared" si="1382"/>
        <v>36350</v>
      </c>
      <c r="AG505" s="149">
        <v>475.2747</v>
      </c>
      <c r="AH505" s="149"/>
      <c r="AI505" s="149"/>
      <c r="AJ505" s="149"/>
      <c r="AK505" s="149"/>
      <c r="AL505" s="149"/>
      <c r="AM505" s="149"/>
      <c r="AN505" s="149"/>
      <c r="AO505" s="149"/>
      <c r="AP505" s="149"/>
      <c r="AQ505" s="149"/>
      <c r="AR505" s="149"/>
      <c r="AS505" s="149"/>
      <c r="AT505" s="149"/>
      <c r="AU505" s="149"/>
      <c r="AV505" s="149"/>
      <c r="AW505" s="149"/>
      <c r="AX505" s="149">
        <v>2026.9257</v>
      </c>
      <c r="AY505" s="149"/>
      <c r="AZ505" s="149"/>
      <c r="BA505" s="149"/>
      <c r="BB505" s="149"/>
      <c r="BC505" s="149"/>
      <c r="BD505" s="149"/>
      <c r="BE505" s="149"/>
      <c r="BF505" s="149"/>
      <c r="BG505" s="149"/>
      <c r="BH505" s="149"/>
      <c r="BI505" s="149"/>
      <c r="BJ505" s="149"/>
      <c r="BK505" s="149"/>
      <c r="BL505" s="149"/>
      <c r="BM505" s="149"/>
      <c r="BN505" s="149"/>
      <c r="BO505" s="149"/>
      <c r="BP505" s="149"/>
      <c r="BQ505" s="149"/>
      <c r="BR505" s="149"/>
      <c r="BS505" s="149"/>
      <c r="BT505" s="149"/>
      <c r="BU505" s="149"/>
      <c r="BV505" s="149"/>
      <c r="BW505" s="149"/>
      <c r="BX505" s="149"/>
      <c r="BY505" s="149"/>
      <c r="BZ505" s="149"/>
      <c r="CA505" s="149"/>
      <c r="CB505" s="149">
        <v>267.36</v>
      </c>
      <c r="CC505" s="231">
        <f t="shared" si="1403"/>
        <v>36350</v>
      </c>
    </row>
    <row r="506" spans="2:81" x14ac:dyDescent="0.25">
      <c r="B506" s="155">
        <v>36400</v>
      </c>
      <c r="C506" s="147">
        <f t="shared" si="1475"/>
        <v>395.00619999999998</v>
      </c>
      <c r="D506" s="147">
        <f t="shared" si="1366"/>
        <v>4868.8816999999999</v>
      </c>
      <c r="E506" s="147">
        <f t="shared" si="1390"/>
        <v>0</v>
      </c>
      <c r="F506" s="147">
        <f t="shared" si="1374"/>
        <v>0</v>
      </c>
      <c r="G506" s="147">
        <f t="shared" si="1391"/>
        <v>0</v>
      </c>
      <c r="H506" s="147">
        <f t="shared" si="1392"/>
        <v>0</v>
      </c>
      <c r="I506" s="147">
        <f t="shared" si="1393"/>
        <v>0</v>
      </c>
      <c r="J506" s="156">
        <f t="shared" si="1394"/>
        <v>0</v>
      </c>
      <c r="K506" s="157">
        <f t="shared" si="1395"/>
        <v>264.56</v>
      </c>
      <c r="L506" s="151">
        <f t="shared" si="1287"/>
        <v>806</v>
      </c>
      <c r="M506" s="147">
        <f t="shared" si="1288"/>
        <v>6386</v>
      </c>
      <c r="N506" s="147"/>
      <c r="O506" s="147">
        <f t="shared" si="1289"/>
        <v>0</v>
      </c>
      <c r="P506" s="147">
        <f t="shared" si="1290"/>
        <v>0</v>
      </c>
      <c r="Q506" s="147">
        <f t="shared" si="1291"/>
        <v>0</v>
      </c>
      <c r="R506" s="147">
        <f t="shared" si="1292"/>
        <v>0</v>
      </c>
      <c r="S506" s="147">
        <f t="shared" si="1293"/>
        <v>0</v>
      </c>
      <c r="T506" s="147">
        <f t="shared" si="1404"/>
        <v>1478</v>
      </c>
      <c r="V506" s="146"/>
      <c r="W506" s="147"/>
      <c r="X506" s="147"/>
      <c r="Y506" s="147"/>
      <c r="Z506" s="147"/>
      <c r="AA506" s="147"/>
      <c r="AB506" s="147"/>
      <c r="AC506" s="147"/>
      <c r="AD506" s="148"/>
      <c r="AF506" s="155">
        <f t="shared" si="1382"/>
        <v>36400</v>
      </c>
      <c r="AG506" s="78">
        <v>384.25349999999997</v>
      </c>
      <c r="AH506" s="78">
        <v>10.752700000000001</v>
      </c>
      <c r="AI506" s="78"/>
      <c r="AJ506" s="78"/>
      <c r="AK506" s="78"/>
      <c r="AL506" s="78"/>
      <c r="AM506" s="78"/>
      <c r="AN506" s="78"/>
      <c r="AO506" s="78"/>
      <c r="AP506" s="78"/>
      <c r="AQ506" s="78"/>
      <c r="AR506" s="78"/>
      <c r="AS506" s="78"/>
      <c r="AT506" s="78"/>
      <c r="AU506" s="78"/>
      <c r="AV506" s="78"/>
      <c r="AW506" s="78"/>
      <c r="AX506" s="78">
        <v>4868.8816999999999</v>
      </c>
      <c r="AY506" s="78"/>
      <c r="AZ506" s="78"/>
      <c r="BA506" s="78"/>
      <c r="BB506" s="78"/>
      <c r="BC506" s="78"/>
      <c r="BD506" s="78"/>
      <c r="BE506" s="78"/>
      <c r="BF506" s="78"/>
      <c r="BG506" s="78"/>
      <c r="BH506" s="78"/>
      <c r="BI506" s="78"/>
      <c r="BJ506" s="78"/>
      <c r="BK506" s="78"/>
      <c r="BL506" s="78"/>
      <c r="BM506" s="78"/>
      <c r="BN506" s="78"/>
      <c r="BO506" s="78"/>
      <c r="BP506" s="78"/>
      <c r="BQ506" s="78"/>
      <c r="BR506" s="78"/>
      <c r="BS506" s="78"/>
      <c r="BT506" s="78"/>
      <c r="BU506" s="78"/>
      <c r="BV506" s="78"/>
      <c r="BW506" s="78"/>
      <c r="BX506" s="78"/>
      <c r="BY506" s="78"/>
      <c r="BZ506" s="78"/>
      <c r="CA506" s="78"/>
      <c r="CB506" s="78">
        <v>264.56</v>
      </c>
      <c r="CC506" s="231">
        <f t="shared" si="1403"/>
        <v>36400</v>
      </c>
    </row>
    <row r="507" spans="2:81" x14ac:dyDescent="0.25">
      <c r="B507" s="57">
        <v>36450</v>
      </c>
      <c r="C507" s="58">
        <f t="shared" si="1475"/>
        <v>27.3691</v>
      </c>
      <c r="D507" s="58">
        <f t="shared" si="1366"/>
        <v>7217.5716000000002</v>
      </c>
      <c r="E507" s="58">
        <f t="shared" si="1390"/>
        <v>0</v>
      </c>
      <c r="F507" s="58">
        <f t="shared" si="1374"/>
        <v>0</v>
      </c>
      <c r="G507" s="58">
        <f t="shared" si="1391"/>
        <v>0</v>
      </c>
      <c r="H507" s="58">
        <f t="shared" si="1392"/>
        <v>0</v>
      </c>
      <c r="I507" s="58">
        <f t="shared" si="1393"/>
        <v>0</v>
      </c>
      <c r="J507" s="51">
        <f t="shared" si="1394"/>
        <v>0</v>
      </c>
      <c r="K507" s="99">
        <f t="shared" si="1395"/>
        <v>267.14999999999998</v>
      </c>
      <c r="L507" s="105">
        <f t="shared" ref="L507:L577" si="1494">ROUNDUP(((C506+C507)*0.5)*(B507-B506)/27,0)</f>
        <v>392</v>
      </c>
      <c r="M507" s="58">
        <f t="shared" ref="M507:M577" si="1495">ROUNDUP(((D506+D507)*0.5)*(B507-B506)/27,0)</f>
        <v>11192</v>
      </c>
      <c r="N507" s="58"/>
      <c r="O507" s="58">
        <f t="shared" ref="O507:O526" si="1496">ROUNDUP(((F506+F507)*0.5)*(B507-B506)/27,0)</f>
        <v>0</v>
      </c>
      <c r="P507" s="58">
        <f t="shared" ref="P507:P577" si="1497">ROUNDUP(((G507+G506)*0.5)*(B507-B506)/27,0)</f>
        <v>0</v>
      </c>
      <c r="Q507" s="58">
        <f t="shared" ref="Q507:Q577" si="1498">ROUNDUP(((H507+H506)*0.5)*(B507-B506)/27,0)</f>
        <v>0</v>
      </c>
      <c r="R507" s="58">
        <f t="shared" ref="R507:R577" si="1499">ROUNDUP(((I507+I506)*0.5)*(B507-B506)/9,0)</f>
        <v>0</v>
      </c>
      <c r="S507" s="58">
        <f t="shared" ref="S507:S577" si="1500">ROUNDUP(((J507+J506)*0.5)*(B507-B506)/9,0)</f>
        <v>0</v>
      </c>
      <c r="T507" s="58">
        <f t="shared" si="1404"/>
        <v>1477</v>
      </c>
      <c r="V507" s="137"/>
      <c r="W507" s="58"/>
      <c r="X507" s="58"/>
      <c r="Y507" s="58"/>
      <c r="Z507" s="58"/>
      <c r="AA507" s="58"/>
      <c r="AB507" s="58"/>
      <c r="AC507" s="58"/>
      <c r="AD507" s="138"/>
      <c r="AF507" s="57">
        <f t="shared" si="1382"/>
        <v>36450</v>
      </c>
      <c r="AG507" s="49">
        <v>27.3691</v>
      </c>
      <c r="AH507" s="49"/>
      <c r="AI507" s="49"/>
      <c r="AJ507" s="49"/>
      <c r="AK507" s="49"/>
      <c r="AL507" s="49"/>
      <c r="AM507" s="49"/>
      <c r="AN507" s="49"/>
      <c r="AO507" s="49"/>
      <c r="AP507" s="49"/>
      <c r="AQ507" s="49"/>
      <c r="AR507" s="49"/>
      <c r="AS507" s="49"/>
      <c r="AT507" s="49"/>
      <c r="AU507" s="49"/>
      <c r="AV507" s="49"/>
      <c r="AW507" s="49"/>
      <c r="AX507" s="49">
        <v>7217.5716000000002</v>
      </c>
      <c r="AY507" s="49"/>
      <c r="AZ507" s="49"/>
      <c r="BA507" s="49"/>
      <c r="BB507" s="49"/>
      <c r="BC507" s="49"/>
      <c r="BD507" s="49"/>
      <c r="BE507" s="49"/>
      <c r="BF507" s="49"/>
      <c r="BG507" s="49"/>
      <c r="BH507" s="49"/>
      <c r="BI507" s="49"/>
      <c r="BJ507" s="49"/>
      <c r="BK507" s="49"/>
      <c r="BL507" s="49"/>
      <c r="BM507" s="49"/>
      <c r="BN507" s="49"/>
      <c r="BO507" s="49"/>
      <c r="BP507" s="49"/>
      <c r="BQ507" s="49"/>
      <c r="BR507" s="49"/>
      <c r="BS507" s="49"/>
      <c r="BT507" s="49"/>
      <c r="BU507" s="49"/>
      <c r="BV507" s="49"/>
      <c r="BW507" s="49"/>
      <c r="BX507" s="49"/>
      <c r="BY507" s="49"/>
      <c r="BZ507" s="49"/>
      <c r="CA507" s="49"/>
      <c r="CB507" s="49">
        <v>267.14999999999998</v>
      </c>
      <c r="CC507" s="231">
        <f t="shared" si="1403"/>
        <v>36450</v>
      </c>
    </row>
    <row r="508" spans="2:81" s="3" customFormat="1" ht="15.75" thickBot="1" x14ac:dyDescent="0.3">
      <c r="B508" s="158">
        <v>36500</v>
      </c>
      <c r="C508" s="144">
        <f t="shared" si="1475"/>
        <v>23.6557</v>
      </c>
      <c r="D508" s="144">
        <f t="shared" si="1366"/>
        <v>8878.5455999999995</v>
      </c>
      <c r="E508" s="144">
        <f t="shared" si="1390"/>
        <v>0</v>
      </c>
      <c r="F508" s="144">
        <f t="shared" si="1374"/>
        <v>0</v>
      </c>
      <c r="G508" s="144">
        <f t="shared" si="1391"/>
        <v>0</v>
      </c>
      <c r="H508" s="144">
        <f t="shared" si="1392"/>
        <v>0</v>
      </c>
      <c r="I508" s="144">
        <f t="shared" si="1393"/>
        <v>0</v>
      </c>
      <c r="J508" s="159">
        <f t="shared" si="1394"/>
        <v>0</v>
      </c>
      <c r="K508" s="160">
        <f t="shared" si="1395"/>
        <v>284.51</v>
      </c>
      <c r="L508" s="152">
        <f t="shared" si="1494"/>
        <v>48</v>
      </c>
      <c r="M508" s="144">
        <f t="shared" si="1495"/>
        <v>14904</v>
      </c>
      <c r="N508" s="144"/>
      <c r="O508" s="144">
        <f t="shared" si="1496"/>
        <v>0</v>
      </c>
      <c r="P508" s="144">
        <f t="shared" si="1497"/>
        <v>0</v>
      </c>
      <c r="Q508" s="144">
        <f t="shared" si="1498"/>
        <v>0</v>
      </c>
      <c r="R508" s="144">
        <f t="shared" si="1499"/>
        <v>0</v>
      </c>
      <c r="S508" s="144">
        <f t="shared" si="1500"/>
        <v>0</v>
      </c>
      <c r="T508" s="144">
        <f t="shared" si="1404"/>
        <v>1533</v>
      </c>
      <c r="V508" s="150">
        <f>L506+L507+L508</f>
        <v>1246</v>
      </c>
      <c r="W508" s="150">
        <f t="shared" ref="W508" si="1501">M506+M507+M508</f>
        <v>32482</v>
      </c>
      <c r="X508" s="150"/>
      <c r="Y508" s="150">
        <f t="shared" ref="Y508" si="1502">O506+O507+O508</f>
        <v>0</v>
      </c>
      <c r="Z508" s="150">
        <f t="shared" ref="Z508" si="1503">P506+P507+P508</f>
        <v>0</v>
      </c>
      <c r="AA508" s="150">
        <f t="shared" ref="AA508" si="1504">Q506+Q507+Q508</f>
        <v>0</v>
      </c>
      <c r="AB508" s="150">
        <f t="shared" ref="AB508" si="1505">R506+R507+R508</f>
        <v>0</v>
      </c>
      <c r="AC508" s="150">
        <f t="shared" ref="AC508" si="1506">S506+S507+S508</f>
        <v>0</v>
      </c>
      <c r="AD508" s="150">
        <f t="shared" ref="AD508" si="1507">T506+T507+T508</f>
        <v>4488</v>
      </c>
      <c r="AF508" s="158">
        <f t="shared" si="1382"/>
        <v>36500</v>
      </c>
      <c r="AG508" s="149">
        <v>23.6557</v>
      </c>
      <c r="AH508" s="149"/>
      <c r="AI508" s="149"/>
      <c r="AJ508" s="149"/>
      <c r="AK508" s="149"/>
      <c r="AL508" s="149"/>
      <c r="AM508" s="149"/>
      <c r="AN508" s="149"/>
      <c r="AO508" s="149"/>
      <c r="AP508" s="149"/>
      <c r="AQ508" s="149"/>
      <c r="AR508" s="149"/>
      <c r="AS508" s="149"/>
      <c r="AT508" s="149"/>
      <c r="AU508" s="149"/>
      <c r="AV508" s="149"/>
      <c r="AW508" s="149"/>
      <c r="AX508" s="149">
        <v>8878.5455999999995</v>
      </c>
      <c r="AY508" s="149"/>
      <c r="AZ508" s="149"/>
      <c r="BA508" s="149"/>
      <c r="BB508" s="149"/>
      <c r="BC508" s="149"/>
      <c r="BD508" s="149"/>
      <c r="BE508" s="149"/>
      <c r="BF508" s="149"/>
      <c r="BG508" s="149"/>
      <c r="BH508" s="149"/>
      <c r="BI508" s="149"/>
      <c r="BJ508" s="149"/>
      <c r="BK508" s="149"/>
      <c r="BL508" s="149"/>
      <c r="BM508" s="149"/>
      <c r="BN508" s="149"/>
      <c r="BO508" s="149"/>
      <c r="BP508" s="149"/>
      <c r="BQ508" s="149"/>
      <c r="BR508" s="149"/>
      <c r="BS508" s="149"/>
      <c r="BT508" s="149"/>
      <c r="BU508" s="149"/>
      <c r="BV508" s="149"/>
      <c r="BW508" s="149"/>
      <c r="BX508" s="149"/>
      <c r="BY508" s="149"/>
      <c r="BZ508" s="149"/>
      <c r="CA508" s="149"/>
      <c r="CB508" s="149">
        <v>284.51</v>
      </c>
      <c r="CC508" s="231">
        <f t="shared" si="1403"/>
        <v>36500</v>
      </c>
    </row>
    <row r="509" spans="2:81" x14ac:dyDescent="0.25">
      <c r="B509" s="155">
        <v>36550</v>
      </c>
      <c r="C509" s="147">
        <f t="shared" si="1475"/>
        <v>34.396299999999997</v>
      </c>
      <c r="D509" s="147">
        <f t="shared" si="1366"/>
        <v>11154.8163</v>
      </c>
      <c r="E509" s="147">
        <f t="shared" si="1390"/>
        <v>0</v>
      </c>
      <c r="F509" s="147">
        <f t="shared" si="1374"/>
        <v>0</v>
      </c>
      <c r="G509" s="147">
        <f t="shared" si="1391"/>
        <v>0</v>
      </c>
      <c r="H509" s="147">
        <f t="shared" si="1392"/>
        <v>0</v>
      </c>
      <c r="I509" s="147">
        <f t="shared" si="1393"/>
        <v>0</v>
      </c>
      <c r="J509" s="156">
        <f t="shared" si="1394"/>
        <v>0</v>
      </c>
      <c r="K509" s="157">
        <f t="shared" si="1395"/>
        <v>360.87</v>
      </c>
      <c r="L509" s="151">
        <f t="shared" si="1494"/>
        <v>54</v>
      </c>
      <c r="M509" s="147">
        <f t="shared" si="1495"/>
        <v>18550</v>
      </c>
      <c r="N509" s="147"/>
      <c r="O509" s="147">
        <f t="shared" si="1496"/>
        <v>0</v>
      </c>
      <c r="P509" s="147">
        <f t="shared" si="1497"/>
        <v>0</v>
      </c>
      <c r="Q509" s="147">
        <f t="shared" si="1498"/>
        <v>0</v>
      </c>
      <c r="R509" s="147">
        <f t="shared" si="1499"/>
        <v>0</v>
      </c>
      <c r="S509" s="147">
        <f t="shared" si="1500"/>
        <v>0</v>
      </c>
      <c r="T509" s="147">
        <f t="shared" si="1404"/>
        <v>1793</v>
      </c>
      <c r="V509" s="146"/>
      <c r="W509" s="147"/>
      <c r="X509" s="147"/>
      <c r="Y509" s="147"/>
      <c r="Z509" s="147"/>
      <c r="AA509" s="147"/>
      <c r="AB509" s="147"/>
      <c r="AC509" s="147"/>
      <c r="AD509" s="148"/>
      <c r="AF509" s="155">
        <f t="shared" si="1382"/>
        <v>36550</v>
      </c>
      <c r="AG509" s="78">
        <v>34.396299999999997</v>
      </c>
      <c r="AH509" s="78"/>
      <c r="AI509" s="78"/>
      <c r="AJ509" s="78"/>
      <c r="AK509" s="78"/>
      <c r="AL509" s="78"/>
      <c r="AM509" s="78"/>
      <c r="AN509" s="78"/>
      <c r="AO509" s="78"/>
      <c r="AP509" s="78"/>
      <c r="AQ509" s="78"/>
      <c r="AR509" s="78"/>
      <c r="AS509" s="78"/>
      <c r="AT509" s="78"/>
      <c r="AU509" s="78"/>
      <c r="AV509" s="78"/>
      <c r="AW509" s="78"/>
      <c r="AX509" s="78">
        <v>11154.8163</v>
      </c>
      <c r="AY509" s="78"/>
      <c r="AZ509" s="78"/>
      <c r="BA509" s="78"/>
      <c r="BB509" s="78"/>
      <c r="BC509" s="78"/>
      <c r="BD509" s="78"/>
      <c r="BE509" s="78"/>
      <c r="BF509" s="78"/>
      <c r="BG509" s="78"/>
      <c r="BH509" s="78"/>
      <c r="BI509" s="78"/>
      <c r="BJ509" s="78"/>
      <c r="BK509" s="78"/>
      <c r="BL509" s="78"/>
      <c r="BM509" s="78"/>
      <c r="BN509" s="78"/>
      <c r="BO509" s="78"/>
      <c r="BP509" s="78"/>
      <c r="BQ509" s="78"/>
      <c r="BR509" s="78"/>
      <c r="BS509" s="78"/>
      <c r="BT509" s="78"/>
      <c r="BU509" s="78"/>
      <c r="BV509" s="78"/>
      <c r="BW509" s="78"/>
      <c r="BX509" s="78"/>
      <c r="BY509" s="78"/>
      <c r="BZ509" s="78"/>
      <c r="CA509" s="78"/>
      <c r="CB509" s="78">
        <v>360.87</v>
      </c>
      <c r="CC509" s="231">
        <f t="shared" si="1403"/>
        <v>36550</v>
      </c>
    </row>
    <row r="510" spans="2:81" s="3" customFormat="1" ht="15.75" thickBot="1" x14ac:dyDescent="0.3">
      <c r="B510" s="158">
        <v>36600</v>
      </c>
      <c r="C510" s="144">
        <f t="shared" si="1475"/>
        <v>29.938600000000001</v>
      </c>
      <c r="D510" s="144">
        <f t="shared" si="1366"/>
        <v>12706.172500000001</v>
      </c>
      <c r="E510" s="144">
        <f t="shared" si="1390"/>
        <v>0</v>
      </c>
      <c r="F510" s="144">
        <f t="shared" si="1374"/>
        <v>0</v>
      </c>
      <c r="G510" s="144">
        <f t="shared" si="1391"/>
        <v>0</v>
      </c>
      <c r="H510" s="144">
        <f t="shared" si="1392"/>
        <v>0</v>
      </c>
      <c r="I510" s="144">
        <f t="shared" si="1393"/>
        <v>0</v>
      </c>
      <c r="J510" s="159">
        <f t="shared" si="1394"/>
        <v>0</v>
      </c>
      <c r="K510" s="160">
        <f t="shared" si="1395"/>
        <v>413.68</v>
      </c>
      <c r="L510" s="152">
        <f t="shared" si="1494"/>
        <v>60</v>
      </c>
      <c r="M510" s="144">
        <f t="shared" si="1495"/>
        <v>22094</v>
      </c>
      <c r="N510" s="144"/>
      <c r="O510" s="144">
        <f t="shared" si="1496"/>
        <v>0</v>
      </c>
      <c r="P510" s="144">
        <f t="shared" si="1497"/>
        <v>0</v>
      </c>
      <c r="Q510" s="144">
        <f t="shared" si="1498"/>
        <v>0</v>
      </c>
      <c r="R510" s="144">
        <f t="shared" si="1499"/>
        <v>0</v>
      </c>
      <c r="S510" s="144">
        <f t="shared" si="1500"/>
        <v>0</v>
      </c>
      <c r="T510" s="144">
        <f t="shared" si="1404"/>
        <v>2152</v>
      </c>
      <c r="V510" s="150">
        <f>L509+L510</f>
        <v>114</v>
      </c>
      <c r="W510" s="150">
        <f t="shared" ref="W510" si="1508">M509+M510</f>
        <v>40644</v>
      </c>
      <c r="X510" s="150"/>
      <c r="Y510" s="150">
        <f t="shared" ref="Y510" si="1509">O509+O510</f>
        <v>0</v>
      </c>
      <c r="Z510" s="150">
        <f t="shared" ref="Z510" si="1510">P509+P510</f>
        <v>0</v>
      </c>
      <c r="AA510" s="150">
        <f t="shared" ref="AA510" si="1511">Q509+Q510</f>
        <v>0</v>
      </c>
      <c r="AB510" s="150">
        <f t="shared" ref="AB510" si="1512">R509+R510</f>
        <v>0</v>
      </c>
      <c r="AC510" s="150">
        <f t="shared" ref="AC510" si="1513">S509+S510</f>
        <v>0</v>
      </c>
      <c r="AD510" s="150">
        <f t="shared" ref="AD510" si="1514">T509+T510</f>
        <v>3945</v>
      </c>
      <c r="AF510" s="158">
        <f t="shared" si="1382"/>
        <v>36600</v>
      </c>
      <c r="AG510" s="149">
        <v>29.938600000000001</v>
      </c>
      <c r="AH510" s="149"/>
      <c r="AI510" s="149"/>
      <c r="AJ510" s="149"/>
      <c r="AK510" s="149"/>
      <c r="AL510" s="149"/>
      <c r="AM510" s="149"/>
      <c r="AN510" s="149"/>
      <c r="AO510" s="149"/>
      <c r="AP510" s="149"/>
      <c r="AQ510" s="149"/>
      <c r="AR510" s="149"/>
      <c r="AS510" s="149"/>
      <c r="AT510" s="149"/>
      <c r="AU510" s="149"/>
      <c r="AV510" s="149"/>
      <c r="AW510" s="149"/>
      <c r="AX510" s="149">
        <v>12706.172500000001</v>
      </c>
      <c r="AY510" s="149"/>
      <c r="AZ510" s="149"/>
      <c r="BA510" s="149"/>
      <c r="BB510" s="149"/>
      <c r="BC510" s="149"/>
      <c r="BD510" s="149"/>
      <c r="BE510" s="149"/>
      <c r="BF510" s="149"/>
      <c r="BG510" s="149"/>
      <c r="BH510" s="149"/>
      <c r="BI510" s="149"/>
      <c r="BJ510" s="149"/>
      <c r="BK510" s="149"/>
      <c r="BL510" s="149"/>
      <c r="BM510" s="149"/>
      <c r="BN510" s="149"/>
      <c r="BO510" s="149"/>
      <c r="BP510" s="149"/>
      <c r="BQ510" s="149"/>
      <c r="BR510" s="149"/>
      <c r="BS510" s="149"/>
      <c r="BT510" s="149"/>
      <c r="BU510" s="149"/>
      <c r="BV510" s="149"/>
      <c r="BW510" s="149"/>
      <c r="BX510" s="149"/>
      <c r="BY510" s="149"/>
      <c r="BZ510" s="149"/>
      <c r="CA510" s="149"/>
      <c r="CB510" s="149">
        <v>413.68</v>
      </c>
      <c r="CC510" s="231">
        <f t="shared" si="1403"/>
        <v>36600</v>
      </c>
    </row>
    <row r="511" spans="2:81" x14ac:dyDescent="0.25">
      <c r="B511" s="155">
        <v>36650</v>
      </c>
      <c r="C511" s="147">
        <f t="shared" si="1475"/>
        <v>334.90010000000001</v>
      </c>
      <c r="D511" s="147">
        <f t="shared" si="1366"/>
        <v>15179.686600000001</v>
      </c>
      <c r="E511" s="147">
        <f t="shared" si="1390"/>
        <v>0</v>
      </c>
      <c r="F511" s="147">
        <f t="shared" si="1374"/>
        <v>0</v>
      </c>
      <c r="G511" s="147">
        <f t="shared" si="1391"/>
        <v>0</v>
      </c>
      <c r="H511" s="147">
        <f t="shared" si="1392"/>
        <v>0</v>
      </c>
      <c r="I511" s="147">
        <f t="shared" si="1393"/>
        <v>0</v>
      </c>
      <c r="J511" s="156">
        <f t="shared" si="1394"/>
        <v>0</v>
      </c>
      <c r="K511" s="157">
        <f t="shared" si="1395"/>
        <v>436.49</v>
      </c>
      <c r="L511" s="151">
        <f t="shared" si="1494"/>
        <v>338</v>
      </c>
      <c r="M511" s="147">
        <f t="shared" si="1495"/>
        <v>25821</v>
      </c>
      <c r="N511" s="147"/>
      <c r="O511" s="147">
        <f t="shared" si="1496"/>
        <v>0</v>
      </c>
      <c r="P511" s="147">
        <f t="shared" si="1497"/>
        <v>0</v>
      </c>
      <c r="Q511" s="147">
        <f t="shared" si="1498"/>
        <v>0</v>
      </c>
      <c r="R511" s="147">
        <f t="shared" si="1499"/>
        <v>0</v>
      </c>
      <c r="S511" s="147">
        <f t="shared" si="1500"/>
        <v>0</v>
      </c>
      <c r="T511" s="147">
        <f t="shared" si="1404"/>
        <v>2362</v>
      </c>
      <c r="V511" s="146"/>
      <c r="W511" s="147"/>
      <c r="X511" s="147"/>
      <c r="Y511" s="147"/>
      <c r="Z511" s="147"/>
      <c r="AA511" s="147"/>
      <c r="AB511" s="147"/>
      <c r="AC511" s="147"/>
      <c r="AD511" s="148"/>
      <c r="AF511" s="155">
        <f t="shared" si="1382"/>
        <v>36650</v>
      </c>
      <c r="AG511" s="185">
        <v>171.3973</v>
      </c>
      <c r="AH511" s="185">
        <v>163.50280000000001</v>
      </c>
      <c r="AI511" s="78"/>
      <c r="AJ511" s="78"/>
      <c r="AK511" s="78"/>
      <c r="AL511" s="78"/>
      <c r="AM511" s="78"/>
      <c r="AN511" s="78"/>
      <c r="AO511" s="78"/>
      <c r="AP511" s="78"/>
      <c r="AQ511" s="78"/>
      <c r="AR511" s="78"/>
      <c r="AS511" s="78"/>
      <c r="AT511" s="78"/>
      <c r="AU511" s="78"/>
      <c r="AV511" s="78"/>
      <c r="AW511" s="78"/>
      <c r="AX511" s="78">
        <v>14844.7865</v>
      </c>
      <c r="AY511" s="185">
        <v>171.3973</v>
      </c>
      <c r="AZ511" s="185">
        <v>163.50280000000001</v>
      </c>
      <c r="BA511" s="78"/>
      <c r="BB511" s="78"/>
      <c r="BC511" s="78"/>
      <c r="BD511" s="78"/>
      <c r="BE511" s="78"/>
      <c r="BF511" s="78"/>
      <c r="BG511" s="78"/>
      <c r="BH511" s="78"/>
      <c r="BI511" s="78"/>
      <c r="BJ511" s="78"/>
      <c r="BK511" s="78"/>
      <c r="BL511" s="78"/>
      <c r="BM511" s="78"/>
      <c r="BN511" s="78"/>
      <c r="BO511" s="78"/>
      <c r="BP511" s="78"/>
      <c r="BQ511" s="78"/>
      <c r="BR511" s="78"/>
      <c r="BS511" s="78"/>
      <c r="BT511" s="78"/>
      <c r="BU511" s="78"/>
      <c r="BV511" s="78"/>
      <c r="BW511" s="78"/>
      <c r="BX511" s="78"/>
      <c r="BY511" s="78"/>
      <c r="BZ511" s="78"/>
      <c r="CA511" s="78"/>
      <c r="CB511" s="78">
        <v>436.49</v>
      </c>
      <c r="CC511" s="231">
        <f t="shared" si="1403"/>
        <v>36650</v>
      </c>
    </row>
    <row r="512" spans="2:81" s="3" customFormat="1" ht="15.75" thickBot="1" x14ac:dyDescent="0.3">
      <c r="B512" s="158">
        <v>36700</v>
      </c>
      <c r="C512" s="144">
        <f t="shared" si="1475"/>
        <v>680.02650000000006</v>
      </c>
      <c r="D512" s="144">
        <f t="shared" si="1366"/>
        <v>15533.5409</v>
      </c>
      <c r="E512" s="144">
        <f t="shared" si="1390"/>
        <v>0</v>
      </c>
      <c r="F512" s="144">
        <f t="shared" si="1374"/>
        <v>0</v>
      </c>
      <c r="G512" s="144">
        <f t="shared" si="1391"/>
        <v>0</v>
      </c>
      <c r="H512" s="144">
        <f t="shared" si="1392"/>
        <v>0</v>
      </c>
      <c r="I512" s="144">
        <f t="shared" si="1393"/>
        <v>0</v>
      </c>
      <c r="J512" s="159">
        <f t="shared" si="1394"/>
        <v>0</v>
      </c>
      <c r="K512" s="160">
        <f t="shared" si="1395"/>
        <v>434.55</v>
      </c>
      <c r="L512" s="152">
        <f t="shared" si="1494"/>
        <v>940</v>
      </c>
      <c r="M512" s="144">
        <f t="shared" si="1495"/>
        <v>28439</v>
      </c>
      <c r="N512" s="144"/>
      <c r="O512" s="144">
        <f t="shared" si="1496"/>
        <v>0</v>
      </c>
      <c r="P512" s="144">
        <f t="shared" si="1497"/>
        <v>0</v>
      </c>
      <c r="Q512" s="144">
        <f t="shared" si="1498"/>
        <v>0</v>
      </c>
      <c r="R512" s="144">
        <f t="shared" si="1499"/>
        <v>0</v>
      </c>
      <c r="S512" s="144">
        <f t="shared" si="1500"/>
        <v>0</v>
      </c>
      <c r="T512" s="144">
        <f t="shared" si="1404"/>
        <v>2420</v>
      </c>
      <c r="V512" s="150">
        <f>L511+L512</f>
        <v>1278</v>
      </c>
      <c r="W512" s="150">
        <f>M511+M512</f>
        <v>54260</v>
      </c>
      <c r="X512" s="150"/>
      <c r="Y512" s="150">
        <f t="shared" ref="Y512" si="1515">O511+O512</f>
        <v>0</v>
      </c>
      <c r="Z512" s="150">
        <f t="shared" ref="Z512" si="1516">P511+P512</f>
        <v>0</v>
      </c>
      <c r="AA512" s="150">
        <f t="shared" ref="AA512" si="1517">Q511+Q512</f>
        <v>0</v>
      </c>
      <c r="AB512" s="150">
        <f t="shared" ref="AB512" si="1518">R511+R512</f>
        <v>0</v>
      </c>
      <c r="AC512" s="150">
        <f t="shared" ref="AC512" si="1519">S511+S512</f>
        <v>0</v>
      </c>
      <c r="AD512" s="150">
        <f t="shared" ref="AD512" si="1520">T511+T512</f>
        <v>4782</v>
      </c>
      <c r="AF512" s="158">
        <f t="shared" si="1382"/>
        <v>36700</v>
      </c>
      <c r="AG512" s="149">
        <v>230.8699</v>
      </c>
      <c r="AH512" s="186">
        <v>252.12819999999999</v>
      </c>
      <c r="AI512" s="186">
        <v>197.0284</v>
      </c>
      <c r="AJ512" s="149"/>
      <c r="AK512" s="149"/>
      <c r="AL512" s="149"/>
      <c r="AM512" s="149"/>
      <c r="AN512" s="149"/>
      <c r="AO512" s="149"/>
      <c r="AP512" s="149"/>
      <c r="AQ512" s="149"/>
      <c r="AR512" s="149"/>
      <c r="AS512" s="149"/>
      <c r="AT512" s="149"/>
      <c r="AU512" s="149"/>
      <c r="AV512" s="149"/>
      <c r="AW512" s="149"/>
      <c r="AX512" s="186">
        <v>252.12819999999999</v>
      </c>
      <c r="AY512" s="186">
        <v>197.0284</v>
      </c>
      <c r="AZ512" s="149">
        <v>15084.3843</v>
      </c>
      <c r="BA512" s="149"/>
      <c r="BB512" s="149"/>
      <c r="BC512" s="149"/>
      <c r="BD512" s="149"/>
      <c r="BE512" s="149"/>
      <c r="BF512" s="149"/>
      <c r="BG512" s="149"/>
      <c r="BH512" s="149"/>
      <c r="BI512" s="149"/>
      <c r="BJ512" s="149"/>
      <c r="BK512" s="149"/>
      <c r="BL512" s="149"/>
      <c r="BM512" s="149"/>
      <c r="BN512" s="149"/>
      <c r="BO512" s="149"/>
      <c r="BP512" s="149"/>
      <c r="BQ512" s="149"/>
      <c r="BR512" s="149"/>
      <c r="BS512" s="149"/>
      <c r="BT512" s="149"/>
      <c r="BU512" s="149"/>
      <c r="BV512" s="149"/>
      <c r="BW512" s="149"/>
      <c r="BX512" s="149"/>
      <c r="BY512" s="149"/>
      <c r="BZ512" s="149"/>
      <c r="CA512" s="149"/>
      <c r="CB512" s="149">
        <v>434.55</v>
      </c>
      <c r="CC512" s="231">
        <f t="shared" si="1403"/>
        <v>36700</v>
      </c>
    </row>
    <row r="513" spans="1:82" x14ac:dyDescent="0.25">
      <c r="B513" s="155">
        <v>36750</v>
      </c>
      <c r="C513" s="147">
        <f t="shared" si="1475"/>
        <v>847.94299999999998</v>
      </c>
      <c r="D513" s="147">
        <f t="shared" si="1366"/>
        <v>15793.1095</v>
      </c>
      <c r="E513" s="147">
        <f t="shared" si="1390"/>
        <v>0</v>
      </c>
      <c r="F513" s="147">
        <f t="shared" si="1374"/>
        <v>0</v>
      </c>
      <c r="G513" s="147">
        <f t="shared" si="1391"/>
        <v>0</v>
      </c>
      <c r="H513" s="147">
        <f t="shared" si="1392"/>
        <v>0</v>
      </c>
      <c r="I513" s="147">
        <f t="shared" si="1393"/>
        <v>0</v>
      </c>
      <c r="J513" s="156">
        <f t="shared" si="1394"/>
        <v>0</v>
      </c>
      <c r="K513" s="157">
        <f t="shared" si="1395"/>
        <v>475.63</v>
      </c>
      <c r="L513" s="151">
        <f t="shared" si="1494"/>
        <v>1415</v>
      </c>
      <c r="M513" s="147">
        <f t="shared" si="1495"/>
        <v>29007</v>
      </c>
      <c r="N513" s="147"/>
      <c r="O513" s="147">
        <f t="shared" si="1496"/>
        <v>0</v>
      </c>
      <c r="P513" s="147">
        <f t="shared" si="1497"/>
        <v>0</v>
      </c>
      <c r="Q513" s="147">
        <f t="shared" si="1498"/>
        <v>0</v>
      </c>
      <c r="R513" s="147">
        <f t="shared" si="1499"/>
        <v>0</v>
      </c>
      <c r="S513" s="147">
        <f t="shared" si="1500"/>
        <v>0</v>
      </c>
      <c r="T513" s="147">
        <f t="shared" si="1404"/>
        <v>2529</v>
      </c>
      <c r="V513" s="146"/>
      <c r="W513" s="147"/>
      <c r="X513" s="147"/>
      <c r="Y513" s="147"/>
      <c r="Z513" s="147"/>
      <c r="AA513" s="147"/>
      <c r="AB513" s="147"/>
      <c r="AC513" s="147"/>
      <c r="AD513" s="148"/>
      <c r="AF513" s="155">
        <f t="shared" si="1382"/>
        <v>36750</v>
      </c>
      <c r="AG513" s="78">
        <v>332.82060000000001</v>
      </c>
      <c r="AH513" s="185">
        <v>184.3785</v>
      </c>
      <c r="AI513" s="185">
        <v>330.7439</v>
      </c>
      <c r="AJ513" s="78"/>
      <c r="AK513" s="78"/>
      <c r="AL513" s="78"/>
      <c r="AM513" s="78"/>
      <c r="AN513" s="78"/>
      <c r="AO513" s="78"/>
      <c r="AP513" s="78"/>
      <c r="AQ513" s="78"/>
      <c r="AR513" s="78"/>
      <c r="AS513" s="78"/>
      <c r="AT513" s="78"/>
      <c r="AU513" s="78"/>
      <c r="AV513" s="78"/>
      <c r="AW513" s="78"/>
      <c r="AX513" s="185">
        <v>184.3785</v>
      </c>
      <c r="AY513" s="185">
        <v>330.7439</v>
      </c>
      <c r="AZ513" s="78">
        <v>15277.9871</v>
      </c>
      <c r="BA513" s="78"/>
      <c r="BB513" s="78"/>
      <c r="BC513" s="78"/>
      <c r="BD513" s="78"/>
      <c r="BE513" s="78"/>
      <c r="BF513" s="78"/>
      <c r="BG513" s="78"/>
      <c r="BH513" s="78"/>
      <c r="BI513" s="78"/>
      <c r="BJ513" s="78"/>
      <c r="BK513" s="78"/>
      <c r="BL513" s="78"/>
      <c r="BM513" s="78"/>
      <c r="BN513" s="78"/>
      <c r="BO513" s="78"/>
      <c r="BP513" s="78"/>
      <c r="BQ513" s="78"/>
      <c r="BR513" s="78"/>
      <c r="BS513" s="78"/>
      <c r="BT513" s="78"/>
      <c r="BU513" s="78"/>
      <c r="BV513" s="78"/>
      <c r="BW513" s="78"/>
      <c r="BX513" s="78"/>
      <c r="BY513" s="78"/>
      <c r="BZ513" s="78"/>
      <c r="CA513" s="78"/>
      <c r="CB513" s="78">
        <v>475.63</v>
      </c>
      <c r="CC513" s="231">
        <f t="shared" si="1403"/>
        <v>36750</v>
      </c>
    </row>
    <row r="514" spans="1:82" s="3" customFormat="1" ht="15.75" thickBot="1" x14ac:dyDescent="0.3">
      <c r="B514" s="158">
        <v>36800</v>
      </c>
      <c r="C514" s="144">
        <f t="shared" si="1475"/>
        <v>1560.0775999999998</v>
      </c>
      <c r="D514" s="144">
        <f t="shared" si="1366"/>
        <v>16999.709000000003</v>
      </c>
      <c r="E514" s="144">
        <f t="shared" si="1390"/>
        <v>0</v>
      </c>
      <c r="F514" s="144">
        <f t="shared" si="1374"/>
        <v>0</v>
      </c>
      <c r="G514" s="144">
        <f t="shared" si="1391"/>
        <v>0</v>
      </c>
      <c r="H514" s="144">
        <f t="shared" si="1392"/>
        <v>0</v>
      </c>
      <c r="I514" s="144">
        <f t="shared" si="1393"/>
        <v>0</v>
      </c>
      <c r="J514" s="159">
        <f t="shared" si="1394"/>
        <v>0</v>
      </c>
      <c r="K514" s="160">
        <f t="shared" si="1395"/>
        <v>439.46</v>
      </c>
      <c r="L514" s="152">
        <f t="shared" si="1494"/>
        <v>2230</v>
      </c>
      <c r="M514" s="144">
        <f t="shared" si="1495"/>
        <v>30364</v>
      </c>
      <c r="N514" s="144"/>
      <c r="O514" s="144">
        <f t="shared" si="1496"/>
        <v>0</v>
      </c>
      <c r="P514" s="144">
        <f t="shared" si="1497"/>
        <v>0</v>
      </c>
      <c r="Q514" s="144">
        <f t="shared" si="1498"/>
        <v>0</v>
      </c>
      <c r="R514" s="144">
        <f t="shared" si="1499"/>
        <v>0</v>
      </c>
      <c r="S514" s="144">
        <f t="shared" si="1500"/>
        <v>0</v>
      </c>
      <c r="T514" s="144">
        <f t="shared" si="1404"/>
        <v>2542</v>
      </c>
      <c r="V514" s="150">
        <f>L513+L514</f>
        <v>3645</v>
      </c>
      <c r="W514" s="150">
        <f t="shared" ref="W514" si="1521">M513+M514</f>
        <v>59371</v>
      </c>
      <c r="X514" s="150"/>
      <c r="Y514" s="150">
        <f t="shared" ref="Y514" si="1522">O513+O514</f>
        <v>0</v>
      </c>
      <c r="Z514" s="150">
        <f t="shared" ref="Z514" si="1523">P513+P514</f>
        <v>0</v>
      </c>
      <c r="AA514" s="150">
        <f t="shared" ref="AA514" si="1524">Q513+Q514</f>
        <v>0</v>
      </c>
      <c r="AB514" s="150">
        <f t="shared" ref="AB514" si="1525">R513+R514</f>
        <v>0</v>
      </c>
      <c r="AC514" s="150">
        <f t="shared" ref="AC514" si="1526">S513+S514</f>
        <v>0</v>
      </c>
      <c r="AD514" s="150">
        <f t="shared" ref="AD514" si="1527">T513+T514</f>
        <v>5071</v>
      </c>
      <c r="AF514" s="158">
        <f t="shared" si="1382"/>
        <v>36800</v>
      </c>
      <c r="AG514" s="149">
        <v>359.12470000000002</v>
      </c>
      <c r="AH514" s="186">
        <v>306.83440000000002</v>
      </c>
      <c r="AI514" s="186">
        <v>154.69120000000001</v>
      </c>
      <c r="AJ514" s="186">
        <v>77.373400000000004</v>
      </c>
      <c r="AK514" s="186">
        <v>195.21850000000001</v>
      </c>
      <c r="AL514" s="186">
        <v>132.36850000000001</v>
      </c>
      <c r="AM514" s="186">
        <v>35.566000000000003</v>
      </c>
      <c r="AN514" s="186">
        <v>104.7059</v>
      </c>
      <c r="AO514" s="186">
        <v>194.19499999999999</v>
      </c>
      <c r="AP514" s="149"/>
      <c r="AQ514" s="149"/>
      <c r="AR514" s="149"/>
      <c r="AS514" s="149"/>
      <c r="AT514" s="149"/>
      <c r="AU514" s="149"/>
      <c r="AV514" s="149"/>
      <c r="AW514" s="149"/>
      <c r="AX514" s="186">
        <v>306.83440000000002</v>
      </c>
      <c r="AY514" s="186">
        <v>154.69120000000001</v>
      </c>
      <c r="AZ514" s="186">
        <v>77.373400000000004</v>
      </c>
      <c r="BA514" s="186">
        <v>195.21850000000001</v>
      </c>
      <c r="BB514" s="186">
        <v>132.36850000000001</v>
      </c>
      <c r="BC514" s="186">
        <v>35.566000000000003</v>
      </c>
      <c r="BD514" s="186">
        <v>104.7059</v>
      </c>
      <c r="BE514" s="186">
        <v>194.19499999999999</v>
      </c>
      <c r="BF514" s="149">
        <v>15798.756100000001</v>
      </c>
      <c r="BG514" s="149"/>
      <c r="BH514" s="149"/>
      <c r="BI514" s="149"/>
      <c r="BJ514" s="149"/>
      <c r="BK514" s="149"/>
      <c r="BL514" s="149"/>
      <c r="BM514" s="149"/>
      <c r="BN514" s="149"/>
      <c r="BO514" s="149"/>
      <c r="BP514" s="149"/>
      <c r="BQ514" s="149"/>
      <c r="BR514" s="149"/>
      <c r="BS514" s="149"/>
      <c r="BT514" s="149"/>
      <c r="BU514" s="149"/>
      <c r="BV514" s="149"/>
      <c r="BW514" s="149"/>
      <c r="BX514" s="149"/>
      <c r="BY514" s="149"/>
      <c r="BZ514" s="149"/>
      <c r="CA514" s="149"/>
      <c r="CB514" s="149">
        <v>439.46</v>
      </c>
      <c r="CC514" s="231">
        <f t="shared" si="1403"/>
        <v>36800</v>
      </c>
    </row>
    <row r="515" spans="1:82" x14ac:dyDescent="0.25">
      <c r="B515" s="155">
        <v>36850</v>
      </c>
      <c r="C515" s="147">
        <f t="shared" si="1475"/>
        <v>1204.6442999999999</v>
      </c>
      <c r="D515" s="147">
        <f t="shared" si="1366"/>
        <v>17510.5193</v>
      </c>
      <c r="E515" s="147">
        <f t="shared" si="1390"/>
        <v>0</v>
      </c>
      <c r="F515" s="147">
        <f t="shared" si="1374"/>
        <v>0</v>
      </c>
      <c r="G515" s="147">
        <f t="shared" si="1391"/>
        <v>0</v>
      </c>
      <c r="H515" s="147">
        <f t="shared" si="1392"/>
        <v>0</v>
      </c>
      <c r="I515" s="147">
        <f t="shared" si="1393"/>
        <v>0</v>
      </c>
      <c r="J515" s="156">
        <f t="shared" si="1394"/>
        <v>0</v>
      </c>
      <c r="K515" s="157">
        <f t="shared" si="1395"/>
        <v>421.52</v>
      </c>
      <c r="L515" s="151">
        <f t="shared" si="1494"/>
        <v>2560</v>
      </c>
      <c r="M515" s="147">
        <f t="shared" si="1495"/>
        <v>31954</v>
      </c>
      <c r="N515" s="147"/>
      <c r="O515" s="147">
        <f t="shared" si="1496"/>
        <v>0</v>
      </c>
      <c r="P515" s="147">
        <f t="shared" si="1497"/>
        <v>0</v>
      </c>
      <c r="Q515" s="147">
        <f t="shared" si="1498"/>
        <v>0</v>
      </c>
      <c r="R515" s="147">
        <f t="shared" si="1499"/>
        <v>0</v>
      </c>
      <c r="S515" s="147">
        <f t="shared" si="1500"/>
        <v>0</v>
      </c>
      <c r="T515" s="147">
        <f t="shared" si="1404"/>
        <v>2392</v>
      </c>
      <c r="V515" s="146"/>
      <c r="W515" s="147"/>
      <c r="X515" s="147"/>
      <c r="Y515" s="147"/>
      <c r="Z515" s="147"/>
      <c r="AA515" s="147"/>
      <c r="AB515" s="147"/>
      <c r="AC515" s="147"/>
      <c r="AD515" s="148"/>
      <c r="AF515" s="155">
        <f t="shared" si="1382"/>
        <v>36850</v>
      </c>
      <c r="AG515" s="78">
        <v>239.08240000000001</v>
      </c>
      <c r="AH515" s="185">
        <v>190.34450000000001</v>
      </c>
      <c r="AI515" s="185">
        <v>136.70609999999999</v>
      </c>
      <c r="AJ515" s="185">
        <v>108.768</v>
      </c>
      <c r="AK515" s="185">
        <v>94.029200000000003</v>
      </c>
      <c r="AL515" s="185">
        <v>79.245699999999999</v>
      </c>
      <c r="AM515" s="185">
        <v>129.7045</v>
      </c>
      <c r="AN515" s="185">
        <v>34.491300000000003</v>
      </c>
      <c r="AO515" s="185">
        <v>46.410299999999999</v>
      </c>
      <c r="AP515" s="185">
        <v>145.8623</v>
      </c>
      <c r="AQ515" s="78"/>
      <c r="AR515" s="78"/>
      <c r="AS515" s="78"/>
      <c r="AT515" s="78"/>
      <c r="AU515" s="78"/>
      <c r="AV515" s="78"/>
      <c r="AW515" s="78"/>
      <c r="AX515" s="185">
        <v>190.34450000000001</v>
      </c>
      <c r="AY515" s="185">
        <v>136.70609999999999</v>
      </c>
      <c r="AZ515" s="185">
        <v>108.768</v>
      </c>
      <c r="BA515" s="185">
        <v>94.029200000000003</v>
      </c>
      <c r="BB515" s="185">
        <v>79.245699999999999</v>
      </c>
      <c r="BC515" s="185">
        <v>129.7045</v>
      </c>
      <c r="BD515" s="185">
        <v>34.491300000000003</v>
      </c>
      <c r="BE515" s="185">
        <v>46.410299999999999</v>
      </c>
      <c r="BF515" s="185">
        <v>145.8623</v>
      </c>
      <c r="BG515" s="78">
        <v>16544.957399999999</v>
      </c>
      <c r="BH515" s="78"/>
      <c r="BI515" s="78"/>
      <c r="BJ515" s="78"/>
      <c r="BK515" s="78"/>
      <c r="BL515" s="78"/>
      <c r="BM515" s="78"/>
      <c r="BN515" s="78"/>
      <c r="BO515" s="78"/>
      <c r="BP515" s="78"/>
      <c r="BQ515" s="78"/>
      <c r="BR515" s="78"/>
      <c r="BS515" s="78"/>
      <c r="BT515" s="78"/>
      <c r="BU515" s="78"/>
      <c r="BV515" s="78"/>
      <c r="BW515" s="78"/>
      <c r="BX515" s="78"/>
      <c r="BY515" s="78"/>
      <c r="BZ515" s="78"/>
      <c r="CA515" s="78"/>
      <c r="CB515" s="78">
        <v>421.52</v>
      </c>
      <c r="CC515" s="231">
        <f t="shared" si="1403"/>
        <v>36850</v>
      </c>
    </row>
    <row r="516" spans="1:82" s="3" customFormat="1" ht="15.75" thickBot="1" x14ac:dyDescent="0.3">
      <c r="B516" s="158">
        <v>36900</v>
      </c>
      <c r="C516" s="144">
        <f t="shared" si="1475"/>
        <v>942.4991</v>
      </c>
      <c r="D516" s="144">
        <f t="shared" si="1366"/>
        <v>17542.515900000002</v>
      </c>
      <c r="E516" s="144">
        <f t="shared" si="1390"/>
        <v>0</v>
      </c>
      <c r="F516" s="144">
        <f t="shared" si="1374"/>
        <v>0</v>
      </c>
      <c r="G516" s="144">
        <f t="shared" si="1391"/>
        <v>0</v>
      </c>
      <c r="H516" s="144">
        <f t="shared" si="1392"/>
        <v>0</v>
      </c>
      <c r="I516" s="144">
        <f t="shared" si="1393"/>
        <v>0</v>
      </c>
      <c r="J516" s="159">
        <f t="shared" si="1394"/>
        <v>0</v>
      </c>
      <c r="K516" s="160">
        <f t="shared" si="1395"/>
        <v>394.46</v>
      </c>
      <c r="L516" s="152">
        <f t="shared" si="1494"/>
        <v>1989</v>
      </c>
      <c r="M516" s="144">
        <f t="shared" si="1495"/>
        <v>32457</v>
      </c>
      <c r="N516" s="144"/>
      <c r="O516" s="144">
        <f t="shared" si="1496"/>
        <v>0</v>
      </c>
      <c r="P516" s="144">
        <f t="shared" si="1497"/>
        <v>0</v>
      </c>
      <c r="Q516" s="144">
        <f t="shared" si="1498"/>
        <v>0</v>
      </c>
      <c r="R516" s="144">
        <f t="shared" si="1499"/>
        <v>0</v>
      </c>
      <c r="S516" s="144">
        <f t="shared" si="1500"/>
        <v>0</v>
      </c>
      <c r="T516" s="144">
        <f t="shared" si="1404"/>
        <v>2267</v>
      </c>
      <c r="V516" s="150">
        <f>L515+L516</f>
        <v>4549</v>
      </c>
      <c r="W516" s="150">
        <f t="shared" ref="W516" si="1528">M515+M516</f>
        <v>64411</v>
      </c>
      <c r="X516" s="150"/>
      <c r="Y516" s="150">
        <f t="shared" ref="Y516" si="1529">O515+O516</f>
        <v>0</v>
      </c>
      <c r="Z516" s="150">
        <f t="shared" ref="Z516" si="1530">P515+P516</f>
        <v>0</v>
      </c>
      <c r="AA516" s="150">
        <f t="shared" ref="AA516" si="1531">Q515+Q516</f>
        <v>0</v>
      </c>
      <c r="AB516" s="150">
        <f t="shared" ref="AB516" si="1532">R515+R516</f>
        <v>0</v>
      </c>
      <c r="AC516" s="150">
        <f t="shared" ref="AC516" si="1533">S515+S516</f>
        <v>0</v>
      </c>
      <c r="AD516" s="150">
        <f t="shared" ref="AD516" si="1534">T515+T516</f>
        <v>4659</v>
      </c>
      <c r="AF516" s="158">
        <f t="shared" si="1382"/>
        <v>36900</v>
      </c>
      <c r="AG516" s="149">
        <v>60.422400000000003</v>
      </c>
      <c r="AH516" s="186">
        <v>271.14370000000002</v>
      </c>
      <c r="AI516" s="186">
        <v>212.28309999999999</v>
      </c>
      <c r="AJ516" s="186">
        <v>25.631900000000002</v>
      </c>
      <c r="AK516" s="186">
        <v>99.397999999999996</v>
      </c>
      <c r="AL516" s="186">
        <v>115.12050000000001</v>
      </c>
      <c r="AM516" s="186">
        <v>37.188499999999998</v>
      </c>
      <c r="AN516" s="186">
        <v>60.704700000000003</v>
      </c>
      <c r="AO516" s="186">
        <v>60.606299999999997</v>
      </c>
      <c r="AP516" s="149"/>
      <c r="AQ516" s="149"/>
      <c r="AR516" s="149"/>
      <c r="AS516" s="149"/>
      <c r="AT516" s="149"/>
      <c r="AU516" s="149"/>
      <c r="AV516" s="149"/>
      <c r="AW516" s="149"/>
      <c r="AX516" s="186">
        <v>271.14370000000002</v>
      </c>
      <c r="AY516" s="186">
        <v>212.28309999999999</v>
      </c>
      <c r="AZ516" s="186">
        <v>25.631900000000002</v>
      </c>
      <c r="BA516" s="186">
        <v>99.397999999999996</v>
      </c>
      <c r="BB516" s="186">
        <v>115.12050000000001</v>
      </c>
      <c r="BC516" s="186">
        <v>37.188499999999998</v>
      </c>
      <c r="BD516" s="186">
        <v>60.704700000000003</v>
      </c>
      <c r="BE516" s="186">
        <v>60.606299999999997</v>
      </c>
      <c r="BF516" s="149">
        <v>16660.439200000001</v>
      </c>
      <c r="BG516" s="149"/>
      <c r="BH516" s="149"/>
      <c r="BI516" s="149"/>
      <c r="BJ516" s="149"/>
      <c r="BK516" s="149"/>
      <c r="BL516" s="149"/>
      <c r="BM516" s="149"/>
      <c r="BN516" s="149"/>
      <c r="BO516" s="149"/>
      <c r="BP516" s="149"/>
      <c r="BQ516" s="149"/>
      <c r="BR516" s="149"/>
      <c r="BS516" s="149"/>
      <c r="BT516" s="149"/>
      <c r="BU516" s="149"/>
      <c r="BV516" s="149"/>
      <c r="BW516" s="149"/>
      <c r="BX516" s="149"/>
      <c r="BY516" s="149"/>
      <c r="BZ516" s="149"/>
      <c r="CA516" s="149"/>
      <c r="CB516" s="149">
        <v>394.46</v>
      </c>
      <c r="CC516" s="231">
        <f t="shared" si="1403"/>
        <v>36900</v>
      </c>
    </row>
    <row r="517" spans="1:82" x14ac:dyDescent="0.25">
      <c r="B517" s="155">
        <v>36950</v>
      </c>
      <c r="C517" s="147">
        <f t="shared" si="1475"/>
        <v>756.96260000000007</v>
      </c>
      <c r="D517" s="147">
        <f t="shared" si="1366"/>
        <v>18155.302799999998</v>
      </c>
      <c r="E517" s="147">
        <f t="shared" si="1390"/>
        <v>0</v>
      </c>
      <c r="F517" s="147">
        <f t="shared" si="1374"/>
        <v>0</v>
      </c>
      <c r="G517" s="147">
        <f t="shared" si="1391"/>
        <v>0</v>
      </c>
      <c r="H517" s="147">
        <f t="shared" si="1392"/>
        <v>0</v>
      </c>
      <c r="I517" s="147">
        <f t="shared" si="1393"/>
        <v>0</v>
      </c>
      <c r="J517" s="156">
        <f t="shared" si="1394"/>
        <v>0</v>
      </c>
      <c r="K517" s="157">
        <f t="shared" si="1395"/>
        <v>371.38</v>
      </c>
      <c r="L517" s="151">
        <f t="shared" si="1494"/>
        <v>1574</v>
      </c>
      <c r="M517" s="147">
        <f t="shared" si="1495"/>
        <v>33054</v>
      </c>
      <c r="N517" s="147"/>
      <c r="O517" s="147">
        <f t="shared" si="1496"/>
        <v>0</v>
      </c>
      <c r="P517" s="147">
        <f t="shared" si="1497"/>
        <v>0</v>
      </c>
      <c r="Q517" s="147">
        <f t="shared" si="1498"/>
        <v>0</v>
      </c>
      <c r="R517" s="147">
        <f t="shared" si="1499"/>
        <v>0</v>
      </c>
      <c r="S517" s="147">
        <f t="shared" si="1500"/>
        <v>0</v>
      </c>
      <c r="T517" s="147">
        <f t="shared" si="1404"/>
        <v>2128</v>
      </c>
      <c r="V517" s="146"/>
      <c r="W517" s="147"/>
      <c r="X517" s="147"/>
      <c r="Y517" s="147"/>
      <c r="Z517" s="147"/>
      <c r="AA517" s="147"/>
      <c r="AB517" s="147"/>
      <c r="AC517" s="147"/>
      <c r="AD517" s="148"/>
      <c r="AF517" s="155">
        <f t="shared" si="1382"/>
        <v>36950</v>
      </c>
      <c r="AG517" s="185">
        <v>126.2454</v>
      </c>
      <c r="AH517" s="185">
        <v>189.21420000000001</v>
      </c>
      <c r="AI517" s="185">
        <v>80.240200000000002</v>
      </c>
      <c r="AJ517" s="185">
        <v>47.722200000000001</v>
      </c>
      <c r="AK517" s="185">
        <v>131.06209999999999</v>
      </c>
      <c r="AL517" s="185">
        <v>75.428899999999999</v>
      </c>
      <c r="AM517" s="185">
        <v>36.405200000000001</v>
      </c>
      <c r="AN517" s="185">
        <v>70.644400000000005</v>
      </c>
      <c r="AO517" s="78"/>
      <c r="AP517" s="78"/>
      <c r="AQ517" s="78"/>
      <c r="AR517" s="78"/>
      <c r="AS517" s="78"/>
      <c r="AT517" s="78"/>
      <c r="AU517" s="78"/>
      <c r="AV517" s="78"/>
      <c r="AW517" s="78"/>
      <c r="AX517" s="185">
        <v>126.2454</v>
      </c>
      <c r="AY517" s="185">
        <v>189.21420000000001</v>
      </c>
      <c r="AZ517" s="185">
        <v>80.240200000000002</v>
      </c>
      <c r="BA517" s="185">
        <v>47.722200000000001</v>
      </c>
      <c r="BB517" s="185">
        <v>131.06209999999999</v>
      </c>
      <c r="BC517" s="185">
        <v>75.428899999999999</v>
      </c>
      <c r="BD517" s="185">
        <v>36.405200000000001</v>
      </c>
      <c r="BE517" s="185">
        <v>70.644400000000005</v>
      </c>
      <c r="BF517" s="78">
        <v>17398.340199999999</v>
      </c>
      <c r="BG517" s="78"/>
      <c r="BH517" s="78"/>
      <c r="BI517" s="78"/>
      <c r="BJ517" s="78"/>
      <c r="BK517" s="78"/>
      <c r="BL517" s="78"/>
      <c r="BM517" s="78"/>
      <c r="BN517" s="78"/>
      <c r="BO517" s="78"/>
      <c r="BP517" s="78"/>
      <c r="BQ517" s="78"/>
      <c r="BR517" s="78"/>
      <c r="BS517" s="78"/>
      <c r="BT517" s="78"/>
      <c r="BU517" s="78"/>
      <c r="BV517" s="78"/>
      <c r="BW517" s="78"/>
      <c r="BX517" s="78"/>
      <c r="BY517" s="78"/>
      <c r="BZ517" s="78"/>
      <c r="CA517" s="78"/>
      <c r="CB517" s="78">
        <v>371.38</v>
      </c>
      <c r="CC517" s="231">
        <f t="shared" si="1403"/>
        <v>36950</v>
      </c>
    </row>
    <row r="518" spans="1:82" s="3" customFormat="1" ht="15.75" thickBot="1" x14ac:dyDescent="0.3">
      <c r="B518" s="158">
        <v>37000</v>
      </c>
      <c r="C518" s="144">
        <f t="shared" si="1475"/>
        <v>802.48609999999985</v>
      </c>
      <c r="D518" s="144">
        <f t="shared" si="1366"/>
        <v>18598.755399999998</v>
      </c>
      <c r="E518" s="144">
        <f t="shared" si="1390"/>
        <v>0</v>
      </c>
      <c r="F518" s="144">
        <f t="shared" si="1374"/>
        <v>0</v>
      </c>
      <c r="G518" s="144">
        <f t="shared" si="1391"/>
        <v>0</v>
      </c>
      <c r="H518" s="144">
        <f t="shared" si="1392"/>
        <v>0</v>
      </c>
      <c r="I518" s="144">
        <f t="shared" si="1393"/>
        <v>0</v>
      </c>
      <c r="J518" s="159">
        <f t="shared" si="1394"/>
        <v>0</v>
      </c>
      <c r="K518" s="160">
        <f t="shared" si="1395"/>
        <v>394.43</v>
      </c>
      <c r="L518" s="152">
        <f t="shared" si="1494"/>
        <v>1444</v>
      </c>
      <c r="M518" s="144">
        <f t="shared" si="1495"/>
        <v>34032</v>
      </c>
      <c r="N518" s="144"/>
      <c r="O518" s="144">
        <f t="shared" si="1496"/>
        <v>0</v>
      </c>
      <c r="P518" s="144">
        <f t="shared" si="1497"/>
        <v>0</v>
      </c>
      <c r="Q518" s="144">
        <f t="shared" si="1498"/>
        <v>0</v>
      </c>
      <c r="R518" s="144">
        <f t="shared" si="1499"/>
        <v>0</v>
      </c>
      <c r="S518" s="144">
        <f t="shared" si="1500"/>
        <v>0</v>
      </c>
      <c r="T518" s="144">
        <f t="shared" si="1404"/>
        <v>2128</v>
      </c>
      <c r="V518" s="150">
        <f>L517+L518</f>
        <v>3018</v>
      </c>
      <c r="W518" s="150">
        <f t="shared" ref="W518" si="1535">M517+M518</f>
        <v>67086</v>
      </c>
      <c r="X518" s="150"/>
      <c r="Y518" s="150">
        <f t="shared" ref="Y518" si="1536">O517+O518</f>
        <v>0</v>
      </c>
      <c r="Z518" s="150">
        <f t="shared" ref="Z518" si="1537">P517+P518</f>
        <v>0</v>
      </c>
      <c r="AA518" s="150">
        <f t="shared" ref="AA518" si="1538">Q517+Q518</f>
        <v>0</v>
      </c>
      <c r="AB518" s="150">
        <f t="shared" ref="AB518" si="1539">R517+R518</f>
        <v>0</v>
      </c>
      <c r="AC518" s="150">
        <f t="shared" ref="AC518" si="1540">S517+S518</f>
        <v>0</v>
      </c>
      <c r="AD518" s="150">
        <f t="shared" ref="AD518" si="1541">T517+T518</f>
        <v>4256</v>
      </c>
      <c r="AF518" s="158">
        <f t="shared" si="1382"/>
        <v>37000</v>
      </c>
      <c r="AG518" s="186">
        <v>153.3913</v>
      </c>
      <c r="AH518" s="186">
        <v>128.55080000000001</v>
      </c>
      <c r="AI518" s="186">
        <v>173.4615</v>
      </c>
      <c r="AJ518" s="186">
        <v>41.789499999999997</v>
      </c>
      <c r="AK518" s="186">
        <v>69.238799999999998</v>
      </c>
      <c r="AL518" s="186">
        <v>147.44980000000001</v>
      </c>
      <c r="AM518" s="186">
        <v>62.721600000000002</v>
      </c>
      <c r="AN518" s="186">
        <v>25.8828</v>
      </c>
      <c r="AO518" s="149"/>
      <c r="AP518" s="149"/>
      <c r="AQ518" s="149"/>
      <c r="AR518" s="149"/>
      <c r="AS518" s="149"/>
      <c r="AT518" s="149"/>
      <c r="AU518" s="149"/>
      <c r="AV518" s="149"/>
      <c r="AW518" s="149"/>
      <c r="AX518" s="186">
        <v>153.3913</v>
      </c>
      <c r="AY518" s="186">
        <v>128.55080000000001</v>
      </c>
      <c r="AZ518" s="186">
        <v>173.4615</v>
      </c>
      <c r="BA518" s="186">
        <v>41.789499999999997</v>
      </c>
      <c r="BB518" s="186">
        <v>69.238799999999998</v>
      </c>
      <c r="BC518" s="186">
        <v>147.44980000000001</v>
      </c>
      <c r="BD518" s="186">
        <v>62.721600000000002</v>
      </c>
      <c r="BE518" s="186">
        <v>25.8828</v>
      </c>
      <c r="BF518" s="149">
        <v>17796.2693</v>
      </c>
      <c r="BG518" s="149"/>
      <c r="BH518" s="149"/>
      <c r="BI518" s="149"/>
      <c r="BJ518" s="149"/>
      <c r="BK518" s="149"/>
      <c r="BL518" s="149"/>
      <c r="BM518" s="149"/>
      <c r="BN518" s="149"/>
      <c r="BO518" s="149"/>
      <c r="BP518" s="149"/>
      <c r="BQ518" s="149"/>
      <c r="BR518" s="149"/>
      <c r="BS518" s="149"/>
      <c r="BT518" s="149"/>
      <c r="BU518" s="149"/>
      <c r="BV518" s="149"/>
      <c r="BW518" s="149"/>
      <c r="BX518" s="149"/>
      <c r="BY518" s="149"/>
      <c r="BZ518" s="149"/>
      <c r="CA518" s="149"/>
      <c r="CB518" s="149">
        <v>394.43</v>
      </c>
      <c r="CC518" s="231">
        <f t="shared" si="1403"/>
        <v>37000</v>
      </c>
    </row>
    <row r="519" spans="1:82" x14ac:dyDescent="0.25">
      <c r="B519" s="155">
        <v>37050</v>
      </c>
      <c r="C519" s="147">
        <f t="shared" si="1475"/>
        <v>532.60969999999998</v>
      </c>
      <c r="D519" s="147">
        <f t="shared" si="1366"/>
        <v>18086.4303</v>
      </c>
      <c r="E519" s="147">
        <f t="shared" si="1390"/>
        <v>0</v>
      </c>
      <c r="F519" s="147">
        <f t="shared" si="1374"/>
        <v>0</v>
      </c>
      <c r="G519" s="147">
        <f t="shared" si="1391"/>
        <v>0</v>
      </c>
      <c r="H519" s="147">
        <f t="shared" si="1392"/>
        <v>0</v>
      </c>
      <c r="I519" s="147">
        <f t="shared" si="1393"/>
        <v>0</v>
      </c>
      <c r="J519" s="156">
        <f t="shared" si="1394"/>
        <v>0</v>
      </c>
      <c r="K519" s="157">
        <f t="shared" si="1395"/>
        <v>412.43</v>
      </c>
      <c r="L519" s="151">
        <f t="shared" si="1494"/>
        <v>1237</v>
      </c>
      <c r="M519" s="147">
        <f t="shared" si="1495"/>
        <v>33968</v>
      </c>
      <c r="N519" s="147"/>
      <c r="O519" s="147">
        <f t="shared" si="1496"/>
        <v>0</v>
      </c>
      <c r="P519" s="147">
        <f t="shared" si="1497"/>
        <v>0</v>
      </c>
      <c r="Q519" s="147">
        <f t="shared" si="1498"/>
        <v>0</v>
      </c>
      <c r="R519" s="147">
        <f t="shared" si="1499"/>
        <v>0</v>
      </c>
      <c r="S519" s="147">
        <f t="shared" si="1500"/>
        <v>0</v>
      </c>
      <c r="T519" s="147">
        <f t="shared" si="1404"/>
        <v>2242</v>
      </c>
      <c r="V519" s="146"/>
      <c r="W519" s="147"/>
      <c r="X519" s="147"/>
      <c r="Y519" s="147"/>
      <c r="Z519" s="147"/>
      <c r="AA519" s="147"/>
      <c r="AB519" s="147"/>
      <c r="AC519" s="147"/>
      <c r="AD519" s="148"/>
      <c r="AF519" s="155">
        <f t="shared" si="1382"/>
        <v>37050</v>
      </c>
      <c r="AG519" s="185">
        <v>176.91149999999999</v>
      </c>
      <c r="AH519" s="185">
        <v>45.438000000000002</v>
      </c>
      <c r="AI519" s="185">
        <v>43.665500000000002</v>
      </c>
      <c r="AJ519" s="185">
        <v>153.89949999999999</v>
      </c>
      <c r="AK519" s="185">
        <v>112.6952</v>
      </c>
      <c r="AL519" s="78"/>
      <c r="AM519" s="78"/>
      <c r="AN519" s="78"/>
      <c r="AO519" s="78"/>
      <c r="AP519" s="78"/>
      <c r="AQ519" s="78"/>
      <c r="AR519" s="78"/>
      <c r="AS519" s="78"/>
      <c r="AT519" s="78"/>
      <c r="AU519" s="78"/>
      <c r="AV519" s="78"/>
      <c r="AW519" s="78"/>
      <c r="AX519" s="185">
        <v>176.91149999999999</v>
      </c>
      <c r="AY519" s="185">
        <v>45.438000000000002</v>
      </c>
      <c r="AZ519" s="185">
        <v>43.665500000000002</v>
      </c>
      <c r="BA519" s="185">
        <v>153.89949999999999</v>
      </c>
      <c r="BB519" s="185">
        <v>112.6952</v>
      </c>
      <c r="BC519" s="78">
        <v>17553.820599999999</v>
      </c>
      <c r="BD519" s="78"/>
      <c r="BE519" s="78"/>
      <c r="BF519" s="78"/>
      <c r="BG519" s="78"/>
      <c r="BH519" s="78"/>
      <c r="BI519" s="78"/>
      <c r="BJ519" s="78"/>
      <c r="BK519" s="78"/>
      <c r="BL519" s="78"/>
      <c r="BM519" s="78"/>
      <c r="BN519" s="78"/>
      <c r="BO519" s="78"/>
      <c r="BP519" s="78"/>
      <c r="BQ519" s="78"/>
      <c r="BR519" s="78"/>
      <c r="BS519" s="78"/>
      <c r="BT519" s="78"/>
      <c r="BU519" s="78"/>
      <c r="BV519" s="78"/>
      <c r="BW519" s="78"/>
      <c r="BX519" s="78"/>
      <c r="BY519" s="78"/>
      <c r="BZ519" s="78"/>
      <c r="CA519" s="78"/>
      <c r="CB519" s="78">
        <v>412.43</v>
      </c>
      <c r="CC519" s="231">
        <f t="shared" si="1403"/>
        <v>37050</v>
      </c>
    </row>
    <row r="520" spans="1:82" s="3" customFormat="1" ht="15.75" thickBot="1" x14ac:dyDescent="0.3">
      <c r="B520" s="158">
        <v>37100</v>
      </c>
      <c r="C520" s="144">
        <f t="shared" si="1475"/>
        <v>615.34429999999998</v>
      </c>
      <c r="D520" s="144">
        <f t="shared" si="1366"/>
        <v>17983.9192</v>
      </c>
      <c r="E520" s="144">
        <f t="shared" si="1390"/>
        <v>0</v>
      </c>
      <c r="F520" s="144">
        <f t="shared" si="1374"/>
        <v>0</v>
      </c>
      <c r="G520" s="144">
        <f t="shared" si="1391"/>
        <v>0</v>
      </c>
      <c r="H520" s="144">
        <f t="shared" si="1392"/>
        <v>0</v>
      </c>
      <c r="I520" s="144">
        <f t="shared" si="1393"/>
        <v>0</v>
      </c>
      <c r="J520" s="159">
        <f t="shared" si="1394"/>
        <v>0</v>
      </c>
      <c r="K520" s="160">
        <f t="shared" si="1395"/>
        <v>384.84</v>
      </c>
      <c r="L520" s="152">
        <f t="shared" si="1494"/>
        <v>1063</v>
      </c>
      <c r="M520" s="144">
        <f t="shared" si="1495"/>
        <v>33399</v>
      </c>
      <c r="N520" s="144"/>
      <c r="O520" s="144">
        <f t="shared" si="1496"/>
        <v>0</v>
      </c>
      <c r="P520" s="144">
        <f t="shared" si="1497"/>
        <v>0</v>
      </c>
      <c r="Q520" s="144">
        <f t="shared" si="1498"/>
        <v>0</v>
      </c>
      <c r="R520" s="144">
        <f t="shared" si="1499"/>
        <v>0</v>
      </c>
      <c r="S520" s="144">
        <f t="shared" si="1500"/>
        <v>0</v>
      </c>
      <c r="T520" s="144">
        <f t="shared" si="1404"/>
        <v>2215</v>
      </c>
      <c r="V520" s="150">
        <f>L519+L520</f>
        <v>2300</v>
      </c>
      <c r="W520" s="150">
        <f t="shared" ref="W520" si="1542">M519+M520</f>
        <v>67367</v>
      </c>
      <c r="X520" s="150"/>
      <c r="Y520" s="150">
        <f t="shared" ref="Y520" si="1543">O519+O520</f>
        <v>0</v>
      </c>
      <c r="Z520" s="150">
        <f t="shared" ref="Z520" si="1544">P519+P520</f>
        <v>0</v>
      </c>
      <c r="AA520" s="150">
        <f t="shared" ref="AA520" si="1545">Q519+Q520</f>
        <v>0</v>
      </c>
      <c r="AB520" s="150">
        <f t="shared" ref="AB520" si="1546">R519+R520</f>
        <v>0</v>
      </c>
      <c r="AC520" s="150">
        <f t="shared" ref="AC520" si="1547">S519+S520</f>
        <v>0</v>
      </c>
      <c r="AD520" s="150">
        <f t="shared" ref="AD520" si="1548">T519+T520</f>
        <v>4457</v>
      </c>
      <c r="AF520" s="158">
        <f t="shared" si="1382"/>
        <v>37100</v>
      </c>
      <c r="AG520" s="186">
        <v>199.7251</v>
      </c>
      <c r="AH520" s="186">
        <v>100.9046</v>
      </c>
      <c r="AI520" s="186">
        <v>99.073899999999995</v>
      </c>
      <c r="AJ520" s="186">
        <v>148.1464</v>
      </c>
      <c r="AK520" s="186">
        <v>67.494299999999996</v>
      </c>
      <c r="AL520" s="149"/>
      <c r="AM520" s="149"/>
      <c r="AN520" s="149"/>
      <c r="AO520" s="149"/>
      <c r="AP520" s="149"/>
      <c r="AQ520" s="149"/>
      <c r="AR520" s="149"/>
      <c r="AS520" s="149"/>
      <c r="AT520" s="149"/>
      <c r="AU520" s="149"/>
      <c r="AV520" s="149"/>
      <c r="AW520" s="149"/>
      <c r="AX520" s="186">
        <v>199.7251</v>
      </c>
      <c r="AY520" s="186">
        <v>100.9046</v>
      </c>
      <c r="AZ520" s="186">
        <v>99.073899999999995</v>
      </c>
      <c r="BA520" s="186">
        <v>148.1464</v>
      </c>
      <c r="BB520" s="186">
        <v>67.494299999999996</v>
      </c>
      <c r="BC520" s="149">
        <v>17368.5749</v>
      </c>
      <c r="BD520" s="149"/>
      <c r="BE520" s="149"/>
      <c r="BF520" s="149"/>
      <c r="BG520" s="149"/>
      <c r="BH520" s="149"/>
      <c r="BI520" s="149"/>
      <c r="BJ520" s="149"/>
      <c r="BK520" s="149"/>
      <c r="BL520" s="149"/>
      <c r="BM520" s="149"/>
      <c r="BN520" s="149"/>
      <c r="BO520" s="149"/>
      <c r="BP520" s="149"/>
      <c r="BQ520" s="149"/>
      <c r="BR520" s="149"/>
      <c r="BS520" s="149"/>
      <c r="BT520" s="149"/>
      <c r="BU520" s="149"/>
      <c r="BV520" s="149"/>
      <c r="BW520" s="149"/>
      <c r="BX520" s="149"/>
      <c r="BY520" s="149"/>
      <c r="BZ520" s="149"/>
      <c r="CA520" s="149"/>
      <c r="CB520" s="149">
        <v>384.84</v>
      </c>
      <c r="CC520" s="231">
        <f t="shared" si="1403"/>
        <v>37100</v>
      </c>
    </row>
    <row r="521" spans="1:82" x14ac:dyDescent="0.25">
      <c r="B521" s="155">
        <v>37150</v>
      </c>
      <c r="C521" s="147">
        <f t="shared" si="1475"/>
        <v>570.62760000000003</v>
      </c>
      <c r="D521" s="147">
        <f t="shared" si="1366"/>
        <v>18433.1692</v>
      </c>
      <c r="E521" s="147">
        <f t="shared" si="1390"/>
        <v>0</v>
      </c>
      <c r="F521" s="147">
        <f t="shared" si="1374"/>
        <v>0</v>
      </c>
      <c r="G521" s="147">
        <f t="shared" si="1391"/>
        <v>0</v>
      </c>
      <c r="H521" s="147">
        <f t="shared" si="1392"/>
        <v>0</v>
      </c>
      <c r="I521" s="147">
        <f t="shared" si="1393"/>
        <v>0</v>
      </c>
      <c r="J521" s="156">
        <f t="shared" si="1394"/>
        <v>0</v>
      </c>
      <c r="K521" s="157">
        <f t="shared" si="1395"/>
        <v>391.07</v>
      </c>
      <c r="L521" s="151">
        <f t="shared" si="1494"/>
        <v>1099</v>
      </c>
      <c r="M521" s="147">
        <f t="shared" si="1495"/>
        <v>33720</v>
      </c>
      <c r="N521" s="147"/>
      <c r="O521" s="147">
        <f t="shared" si="1496"/>
        <v>0</v>
      </c>
      <c r="P521" s="147">
        <f t="shared" si="1497"/>
        <v>0</v>
      </c>
      <c r="Q521" s="147">
        <f t="shared" si="1498"/>
        <v>0</v>
      </c>
      <c r="R521" s="147">
        <f t="shared" si="1499"/>
        <v>0</v>
      </c>
      <c r="S521" s="147">
        <f t="shared" si="1500"/>
        <v>0</v>
      </c>
      <c r="T521" s="147">
        <f t="shared" si="1404"/>
        <v>2156</v>
      </c>
      <c r="V521" s="146"/>
      <c r="W521" s="147"/>
      <c r="X521" s="147"/>
      <c r="Y521" s="147"/>
      <c r="Z521" s="147"/>
      <c r="AA521" s="147"/>
      <c r="AB521" s="147"/>
      <c r="AC521" s="147"/>
      <c r="AD521" s="148"/>
      <c r="AF521" s="155">
        <f t="shared" si="1382"/>
        <v>37150</v>
      </c>
      <c r="AG521" s="185">
        <v>96.631900000000002</v>
      </c>
      <c r="AH521" s="185">
        <v>95.781000000000006</v>
      </c>
      <c r="AI521" s="185">
        <v>81.819199999999995</v>
      </c>
      <c r="AJ521" s="185">
        <v>123.9713</v>
      </c>
      <c r="AK521" s="185">
        <v>172.42420000000001</v>
      </c>
      <c r="AL521" s="78"/>
      <c r="AM521" s="78"/>
      <c r="AN521" s="78"/>
      <c r="AO521" s="78"/>
      <c r="AP521" s="78"/>
      <c r="AQ521" s="78"/>
      <c r="AR521" s="78"/>
      <c r="AS521" s="78"/>
      <c r="AT521" s="78"/>
      <c r="AU521" s="78"/>
      <c r="AV521" s="78"/>
      <c r="AW521" s="78"/>
      <c r="AX521" s="185">
        <v>96.631900000000002</v>
      </c>
      <c r="AY521" s="185">
        <v>95.781000000000006</v>
      </c>
      <c r="AZ521" s="185">
        <v>81.819199999999995</v>
      </c>
      <c r="BA521" s="185">
        <v>123.9713</v>
      </c>
      <c r="BB521" s="185">
        <v>172.42420000000001</v>
      </c>
      <c r="BC521" s="78">
        <v>17862.5416</v>
      </c>
      <c r="BD521" s="78"/>
      <c r="BE521" s="78"/>
      <c r="BF521" s="78"/>
      <c r="BG521" s="78"/>
      <c r="BH521" s="78"/>
      <c r="BI521" s="78"/>
      <c r="BJ521" s="78"/>
      <c r="BK521" s="78"/>
      <c r="BL521" s="78"/>
      <c r="BM521" s="78"/>
      <c r="BN521" s="78"/>
      <c r="BO521" s="78"/>
      <c r="BP521" s="78"/>
      <c r="BQ521" s="78"/>
      <c r="BR521" s="78"/>
      <c r="BS521" s="78"/>
      <c r="BT521" s="78"/>
      <c r="BU521" s="78"/>
      <c r="BV521" s="78"/>
      <c r="BW521" s="78"/>
      <c r="BX521" s="78"/>
      <c r="BY521" s="78"/>
      <c r="BZ521" s="78"/>
      <c r="CA521" s="78"/>
      <c r="CB521" s="78">
        <v>391.07</v>
      </c>
      <c r="CC521" s="231">
        <f t="shared" si="1403"/>
        <v>37150</v>
      </c>
    </row>
    <row r="522" spans="1:82" s="3" customFormat="1" ht="15.75" thickBot="1" x14ac:dyDescent="0.3">
      <c r="B522" s="308">
        <v>37200</v>
      </c>
      <c r="C522" s="144">
        <f t="shared" si="1475"/>
        <v>32.899000000000001</v>
      </c>
      <c r="D522" s="144">
        <f t="shared" si="1366"/>
        <v>18271.673599999998</v>
      </c>
      <c r="E522" s="144">
        <f t="shared" si="1390"/>
        <v>0</v>
      </c>
      <c r="F522" s="144">
        <f t="shared" si="1374"/>
        <v>0</v>
      </c>
      <c r="G522" s="144">
        <f t="shared" si="1391"/>
        <v>0</v>
      </c>
      <c r="H522" s="144">
        <f t="shared" si="1392"/>
        <v>0</v>
      </c>
      <c r="I522" s="144">
        <f t="shared" si="1393"/>
        <v>0</v>
      </c>
      <c r="J522" s="159">
        <f t="shared" si="1394"/>
        <v>0</v>
      </c>
      <c r="K522" s="160">
        <f t="shared" si="1395"/>
        <v>405.68790000000001</v>
      </c>
      <c r="L522" s="340">
        <f t="shared" si="1494"/>
        <v>559</v>
      </c>
      <c r="M522" s="247">
        <f t="shared" si="1495"/>
        <v>33986</v>
      </c>
      <c r="N522" s="247"/>
      <c r="O522" s="247">
        <f t="shared" si="1496"/>
        <v>0</v>
      </c>
      <c r="P522" s="247">
        <f t="shared" si="1497"/>
        <v>0</v>
      </c>
      <c r="Q522" s="247">
        <f t="shared" si="1498"/>
        <v>0</v>
      </c>
      <c r="R522" s="247">
        <f t="shared" si="1499"/>
        <v>0</v>
      </c>
      <c r="S522" s="247">
        <f t="shared" si="1500"/>
        <v>0</v>
      </c>
      <c r="T522" s="247">
        <f t="shared" si="1404"/>
        <v>2214</v>
      </c>
      <c r="V522" s="150">
        <f>L521+L522</f>
        <v>1658</v>
      </c>
      <c r="W522" s="150">
        <f t="shared" ref="W522" si="1549">M521+M522</f>
        <v>67706</v>
      </c>
      <c r="X522" s="150"/>
      <c r="Y522" s="150">
        <f t="shared" ref="Y522" si="1550">O521+O522</f>
        <v>0</v>
      </c>
      <c r="Z522" s="150">
        <f t="shared" ref="Z522" si="1551">P521+P522</f>
        <v>0</v>
      </c>
      <c r="AA522" s="150">
        <f t="shared" ref="AA522" si="1552">Q521+Q522</f>
        <v>0</v>
      </c>
      <c r="AB522" s="150">
        <f t="shared" ref="AB522" si="1553">R521+R522</f>
        <v>0</v>
      </c>
      <c r="AC522" s="150">
        <f t="shared" ref="AC522" si="1554">S521+S522</f>
        <v>0</v>
      </c>
      <c r="AD522" s="150">
        <f t="shared" ref="AD522" si="1555">T521+T522</f>
        <v>4370</v>
      </c>
      <c r="AF522" s="158">
        <f t="shared" si="1382"/>
        <v>37200</v>
      </c>
      <c r="AG522" s="149">
        <v>26.200800000000001</v>
      </c>
      <c r="AH522" s="149">
        <v>6.6981999999999999</v>
      </c>
      <c r="AI522" s="149"/>
      <c r="AJ522" s="149"/>
      <c r="AK522" s="149"/>
      <c r="AL522" s="149"/>
      <c r="AM522" s="149"/>
      <c r="AN522" s="149"/>
      <c r="AO522" s="149"/>
      <c r="AP522" s="149"/>
      <c r="AQ522" s="149"/>
      <c r="AR522" s="149"/>
      <c r="AS522" s="149"/>
      <c r="AT522" s="149"/>
      <c r="AU522" s="149"/>
      <c r="AV522" s="149"/>
      <c r="AW522" s="149"/>
      <c r="AX522" s="149"/>
      <c r="AY522" s="149">
        <v>18271.673599999998</v>
      </c>
      <c r="AZ522" s="149"/>
      <c r="BA522" s="149"/>
      <c r="BB522" s="149"/>
      <c r="BC522" s="149"/>
      <c r="BD522" s="149"/>
      <c r="BE522" s="149"/>
      <c r="BF522" s="149"/>
      <c r="BG522" s="149"/>
      <c r="BH522" s="149"/>
      <c r="BI522" s="149"/>
      <c r="BJ522" s="149"/>
      <c r="BK522" s="149"/>
      <c r="BL522" s="149"/>
      <c r="BM522" s="149"/>
      <c r="BN522" s="149"/>
      <c r="BO522" s="149"/>
      <c r="BP522" s="149"/>
      <c r="BQ522" s="149"/>
      <c r="BR522" s="149"/>
      <c r="BS522" s="149"/>
      <c r="BT522" s="149"/>
      <c r="BU522" s="149"/>
      <c r="BV522" s="149"/>
      <c r="BW522" s="149"/>
      <c r="BX522" s="149"/>
      <c r="BY522" s="149"/>
      <c r="BZ522" s="149"/>
      <c r="CA522" s="149"/>
      <c r="CB522" s="149">
        <f>397.6879+8</f>
        <v>405.68790000000001</v>
      </c>
      <c r="CC522" s="231">
        <f t="shared" si="1403"/>
        <v>37200</v>
      </c>
    </row>
    <row r="523" spans="1:82" x14ac:dyDescent="0.25">
      <c r="B523" s="332">
        <v>37250</v>
      </c>
      <c r="C523" s="147">
        <f t="shared" si="1475"/>
        <v>3.2837999999999998</v>
      </c>
      <c r="D523" s="147">
        <f t="shared" si="1366"/>
        <v>19207.2248</v>
      </c>
      <c r="E523" s="147">
        <f t="shared" si="1390"/>
        <v>0</v>
      </c>
      <c r="F523" s="147">
        <f t="shared" si="1374"/>
        <v>0</v>
      </c>
      <c r="G523" s="147">
        <f t="shared" si="1391"/>
        <v>0</v>
      </c>
      <c r="H523" s="147">
        <f t="shared" si="1392"/>
        <v>0</v>
      </c>
      <c r="I523" s="147">
        <f t="shared" si="1393"/>
        <v>0</v>
      </c>
      <c r="J523" s="156">
        <f t="shared" si="1394"/>
        <v>0</v>
      </c>
      <c r="K523" s="157">
        <f t="shared" si="1395"/>
        <v>408.49650000000003</v>
      </c>
      <c r="L523" s="341">
        <f t="shared" si="1494"/>
        <v>34</v>
      </c>
      <c r="M523" s="246">
        <f t="shared" si="1495"/>
        <v>34703</v>
      </c>
      <c r="N523" s="246"/>
      <c r="O523" s="246">
        <f t="shared" si="1496"/>
        <v>0</v>
      </c>
      <c r="P523" s="246">
        <f t="shared" si="1497"/>
        <v>0</v>
      </c>
      <c r="Q523" s="246">
        <f t="shared" si="1498"/>
        <v>0</v>
      </c>
      <c r="R523" s="246">
        <f t="shared" si="1499"/>
        <v>0</v>
      </c>
      <c r="S523" s="246">
        <f t="shared" si="1500"/>
        <v>0</v>
      </c>
      <c r="T523" s="246">
        <f t="shared" si="1404"/>
        <v>2262</v>
      </c>
      <c r="V523" s="146"/>
      <c r="W523" s="147"/>
      <c r="X523" s="147"/>
      <c r="Y523" s="147"/>
      <c r="Z523" s="147"/>
      <c r="AA523" s="147"/>
      <c r="AB523" s="147"/>
      <c r="AC523" s="147"/>
      <c r="AD523" s="148"/>
      <c r="AF523" s="155">
        <f t="shared" si="1382"/>
        <v>37250</v>
      </c>
      <c r="AG523" s="78">
        <v>3.2837999999999998</v>
      </c>
      <c r="AH523" s="78"/>
      <c r="AI523" s="78"/>
      <c r="AJ523" s="78"/>
      <c r="AK523" s="78"/>
      <c r="AL523" s="78"/>
      <c r="AM523" s="78"/>
      <c r="AN523" s="78"/>
      <c r="AO523" s="78"/>
      <c r="AP523" s="78"/>
      <c r="AQ523" s="78"/>
      <c r="AR523" s="78"/>
      <c r="AS523" s="78"/>
      <c r="AT523" s="78"/>
      <c r="AU523" s="78"/>
      <c r="AV523" s="78"/>
      <c r="AW523" s="78"/>
      <c r="AX523" s="78">
        <v>19207.2248</v>
      </c>
      <c r="AY523" s="78"/>
      <c r="AZ523" s="78"/>
      <c r="BA523" s="78"/>
      <c r="BB523" s="78"/>
      <c r="BC523" s="78"/>
      <c r="BD523" s="78"/>
      <c r="BE523" s="78"/>
      <c r="BF523" s="78"/>
      <c r="BG523" s="78"/>
      <c r="BH523" s="78"/>
      <c r="BI523" s="78"/>
      <c r="BJ523" s="78"/>
      <c r="BK523" s="78"/>
      <c r="BL523" s="78"/>
      <c r="BM523" s="78"/>
      <c r="BN523" s="78"/>
      <c r="BO523" s="78"/>
      <c r="BP523" s="78"/>
      <c r="BQ523" s="78"/>
      <c r="BR523" s="78"/>
      <c r="BS523" s="78"/>
      <c r="BT523" s="78"/>
      <c r="BU523" s="78"/>
      <c r="BV523" s="78"/>
      <c r="BW523" s="78"/>
      <c r="BX523" s="78"/>
      <c r="BY523" s="78"/>
      <c r="BZ523" s="78"/>
      <c r="CA523" s="78"/>
      <c r="CB523" s="78">
        <f>400.4965+8</f>
        <v>408.49650000000003</v>
      </c>
      <c r="CC523" s="231">
        <f t="shared" si="1403"/>
        <v>37250</v>
      </c>
    </row>
    <row r="524" spans="1:82" s="3" customFormat="1" ht="15.75" thickBot="1" x14ac:dyDescent="0.3">
      <c r="B524" s="308">
        <v>37300</v>
      </c>
      <c r="C524" s="144">
        <f t="shared" si="1475"/>
        <v>183.48249999999999</v>
      </c>
      <c r="D524" s="144">
        <f t="shared" si="1366"/>
        <v>21066.794900000001</v>
      </c>
      <c r="E524" s="144">
        <f t="shared" si="1390"/>
        <v>0</v>
      </c>
      <c r="F524" s="144">
        <f t="shared" si="1374"/>
        <v>0</v>
      </c>
      <c r="G524" s="144">
        <f t="shared" si="1391"/>
        <v>0</v>
      </c>
      <c r="H524" s="144">
        <f t="shared" si="1392"/>
        <v>0</v>
      </c>
      <c r="I524" s="144">
        <f t="shared" si="1393"/>
        <v>0</v>
      </c>
      <c r="J524" s="159">
        <f t="shared" si="1394"/>
        <v>0</v>
      </c>
      <c r="K524" s="160">
        <f t="shared" si="1395"/>
        <v>441.88080000000002</v>
      </c>
      <c r="L524" s="340">
        <f t="shared" si="1494"/>
        <v>173</v>
      </c>
      <c r="M524" s="247">
        <f t="shared" si="1495"/>
        <v>37291</v>
      </c>
      <c r="N524" s="247"/>
      <c r="O524" s="247">
        <f t="shared" si="1496"/>
        <v>0</v>
      </c>
      <c r="P524" s="247">
        <f t="shared" si="1497"/>
        <v>0</v>
      </c>
      <c r="Q524" s="247">
        <f t="shared" si="1498"/>
        <v>0</v>
      </c>
      <c r="R524" s="247">
        <f t="shared" si="1499"/>
        <v>0</v>
      </c>
      <c r="S524" s="247">
        <f t="shared" si="1500"/>
        <v>0</v>
      </c>
      <c r="T524" s="247">
        <f t="shared" si="1404"/>
        <v>2363</v>
      </c>
      <c r="V524" s="150">
        <f>L523+L524</f>
        <v>207</v>
      </c>
      <c r="W524" s="150">
        <f t="shared" ref="W524" si="1556">M523+M524</f>
        <v>71994</v>
      </c>
      <c r="X524" s="150"/>
      <c r="Y524" s="150">
        <f t="shared" ref="Y524" si="1557">O523+O524</f>
        <v>0</v>
      </c>
      <c r="Z524" s="150">
        <f t="shared" ref="Z524" si="1558">P523+P524</f>
        <v>0</v>
      </c>
      <c r="AA524" s="150">
        <f t="shared" ref="AA524" si="1559">Q523+Q524</f>
        <v>0</v>
      </c>
      <c r="AB524" s="150">
        <f t="shared" ref="AB524" si="1560">R523+R524</f>
        <v>0</v>
      </c>
      <c r="AC524" s="150">
        <f t="shared" ref="AC524" si="1561">S523+S524</f>
        <v>0</v>
      </c>
      <c r="AD524" s="150">
        <f t="shared" ref="AD524" si="1562">T523+T524</f>
        <v>4625</v>
      </c>
      <c r="AF524" s="158">
        <f t="shared" si="1382"/>
        <v>37300</v>
      </c>
      <c r="AG524" s="149">
        <v>183.48249999999999</v>
      </c>
      <c r="AH524" s="149"/>
      <c r="AI524" s="149"/>
      <c r="AJ524" s="149"/>
      <c r="AK524" s="149"/>
      <c r="AL524" s="149"/>
      <c r="AM524" s="149"/>
      <c r="AN524" s="149"/>
      <c r="AO524" s="149"/>
      <c r="AP524" s="149"/>
      <c r="AQ524" s="149"/>
      <c r="AR524" s="149"/>
      <c r="AS524" s="149"/>
      <c r="AT524" s="149"/>
      <c r="AU524" s="149"/>
      <c r="AV524" s="149"/>
      <c r="AW524" s="149"/>
      <c r="AX524" s="149">
        <v>21066.794900000001</v>
      </c>
      <c r="AY524" s="149"/>
      <c r="AZ524" s="149"/>
      <c r="BA524" s="149"/>
      <c r="BB524" s="149"/>
      <c r="BC524" s="149"/>
      <c r="BD524" s="149"/>
      <c r="BE524" s="149"/>
      <c r="BF524" s="149"/>
      <c r="BG524" s="149"/>
      <c r="BH524" s="149"/>
      <c r="BI524" s="149"/>
      <c r="BJ524" s="149"/>
      <c r="BK524" s="149"/>
      <c r="BL524" s="149"/>
      <c r="BM524" s="149"/>
      <c r="BN524" s="149"/>
      <c r="BO524" s="149"/>
      <c r="BP524" s="149"/>
      <c r="BQ524" s="149"/>
      <c r="BR524" s="149"/>
      <c r="BS524" s="149"/>
      <c r="BT524" s="149"/>
      <c r="BU524" s="149"/>
      <c r="BV524" s="149"/>
      <c r="BW524" s="149"/>
      <c r="BX524" s="149"/>
      <c r="BY524" s="149"/>
      <c r="BZ524" s="149"/>
      <c r="CA524" s="149"/>
      <c r="CB524" s="149">
        <f>433.8808+8</f>
        <v>441.88080000000002</v>
      </c>
      <c r="CC524" s="231">
        <f t="shared" si="1403"/>
        <v>37300</v>
      </c>
    </row>
    <row r="525" spans="1:82" x14ac:dyDescent="0.25">
      <c r="B525" s="332">
        <v>37350</v>
      </c>
      <c r="C525" s="147">
        <f t="shared" si="1475"/>
        <v>245.6747</v>
      </c>
      <c r="D525" s="147">
        <f t="shared" si="1366"/>
        <v>23414.884300000002</v>
      </c>
      <c r="E525" s="147">
        <f t="shared" si="1390"/>
        <v>0</v>
      </c>
      <c r="F525" s="147">
        <f t="shared" si="1374"/>
        <v>0</v>
      </c>
      <c r="G525" s="147">
        <f t="shared" si="1391"/>
        <v>0</v>
      </c>
      <c r="H525" s="147">
        <f t="shared" si="1392"/>
        <v>0</v>
      </c>
      <c r="I525" s="147">
        <f t="shared" si="1393"/>
        <v>0</v>
      </c>
      <c r="J525" s="156">
        <f t="shared" si="1394"/>
        <v>0</v>
      </c>
      <c r="K525" s="157">
        <f t="shared" si="1395"/>
        <v>483.71780000000001</v>
      </c>
      <c r="L525" s="341">
        <f t="shared" si="1494"/>
        <v>398</v>
      </c>
      <c r="M525" s="246">
        <f t="shared" si="1495"/>
        <v>41187</v>
      </c>
      <c r="N525" s="246"/>
      <c r="O525" s="246">
        <f t="shared" si="1496"/>
        <v>0</v>
      </c>
      <c r="P525" s="246">
        <f t="shared" si="1497"/>
        <v>0</v>
      </c>
      <c r="Q525" s="246">
        <f t="shared" si="1498"/>
        <v>0</v>
      </c>
      <c r="R525" s="246">
        <f t="shared" si="1499"/>
        <v>0</v>
      </c>
      <c r="S525" s="246">
        <f t="shared" si="1500"/>
        <v>0</v>
      </c>
      <c r="T525" s="246">
        <f t="shared" si="1404"/>
        <v>2572</v>
      </c>
      <c r="V525" s="146"/>
      <c r="W525" s="147"/>
      <c r="X525" s="147"/>
      <c r="Y525" s="147"/>
      <c r="Z525" s="147"/>
      <c r="AA525" s="147"/>
      <c r="AB525" s="147"/>
      <c r="AC525" s="147"/>
      <c r="AD525" s="148"/>
      <c r="AF525" s="155">
        <f t="shared" si="1382"/>
        <v>37350</v>
      </c>
      <c r="AG525" s="78">
        <v>245.6747</v>
      </c>
      <c r="AH525" s="78"/>
      <c r="AI525" s="78"/>
      <c r="AJ525" s="78"/>
      <c r="AK525" s="78"/>
      <c r="AL525" s="78"/>
      <c r="AM525" s="78"/>
      <c r="AN525" s="78"/>
      <c r="AO525" s="78"/>
      <c r="AP525" s="78"/>
      <c r="AQ525" s="78"/>
      <c r="AR525" s="78"/>
      <c r="AS525" s="78"/>
      <c r="AT525" s="78"/>
      <c r="AU525" s="78"/>
      <c r="AV525" s="78"/>
      <c r="AW525" s="78"/>
      <c r="AX525" s="78">
        <v>23414.884300000002</v>
      </c>
      <c r="AY525" s="78"/>
      <c r="AZ525" s="78"/>
      <c r="BA525" s="78"/>
      <c r="BB525" s="78"/>
      <c r="BC525" s="78"/>
      <c r="BD525" s="78"/>
      <c r="BE525" s="78"/>
      <c r="BF525" s="78"/>
      <c r="BG525" s="78"/>
      <c r="BH525" s="78"/>
      <c r="BI525" s="78"/>
      <c r="BJ525" s="78"/>
      <c r="BK525" s="78"/>
      <c r="BL525" s="78"/>
      <c r="BM525" s="78"/>
      <c r="BN525" s="78"/>
      <c r="BO525" s="78"/>
      <c r="BP525" s="78"/>
      <c r="BQ525" s="78"/>
      <c r="BR525" s="78"/>
      <c r="BS525" s="78"/>
      <c r="BT525" s="78"/>
      <c r="BU525" s="78"/>
      <c r="BV525" s="78"/>
      <c r="BW525" s="78"/>
      <c r="BX525" s="78"/>
      <c r="BY525" s="78"/>
      <c r="BZ525" s="78"/>
      <c r="CA525" s="78"/>
      <c r="CB525" s="78">
        <f>475.7178+8</f>
        <v>483.71780000000001</v>
      </c>
      <c r="CC525" s="231">
        <f t="shared" si="1403"/>
        <v>37350</v>
      </c>
    </row>
    <row r="526" spans="1:82" s="80" customFormat="1" x14ac:dyDescent="0.25">
      <c r="A526" s="116" t="s">
        <v>53</v>
      </c>
      <c r="B526" s="474">
        <v>37362.620000000003</v>
      </c>
      <c r="C526" s="82">
        <f>SUM(AG526:AW526)</f>
        <v>215.09020000000001</v>
      </c>
      <c r="D526" s="82">
        <f t="shared" si="1366"/>
        <v>23991.606900000002</v>
      </c>
      <c r="E526" s="82">
        <f t="shared" si="1390"/>
        <v>0</v>
      </c>
      <c r="F526" s="82">
        <f t="shared" si="1374"/>
        <v>0</v>
      </c>
      <c r="G526" s="82">
        <f t="shared" si="1391"/>
        <v>0</v>
      </c>
      <c r="H526" s="82">
        <f t="shared" si="1392"/>
        <v>0</v>
      </c>
      <c r="I526" s="82">
        <f t="shared" si="1393"/>
        <v>0</v>
      </c>
      <c r="J526" s="83">
        <f t="shared" si="1394"/>
        <v>0</v>
      </c>
      <c r="K526" s="101">
        <f t="shared" si="1395"/>
        <v>515</v>
      </c>
      <c r="L526" s="339">
        <f t="shared" si="1494"/>
        <v>108</v>
      </c>
      <c r="M526" s="119">
        <f t="shared" si="1495"/>
        <v>11080</v>
      </c>
      <c r="N526" s="119"/>
      <c r="O526" s="119">
        <f t="shared" si="1496"/>
        <v>0</v>
      </c>
      <c r="P526" s="119">
        <f t="shared" si="1497"/>
        <v>0</v>
      </c>
      <c r="Q526" s="119">
        <f t="shared" si="1498"/>
        <v>0</v>
      </c>
      <c r="R526" s="119">
        <f t="shared" si="1499"/>
        <v>0</v>
      </c>
      <c r="S526" s="119">
        <f t="shared" si="1500"/>
        <v>0</v>
      </c>
      <c r="T526" s="119">
        <f t="shared" si="1404"/>
        <v>701</v>
      </c>
      <c r="V526" s="139"/>
      <c r="W526" s="59"/>
      <c r="X526" s="59"/>
      <c r="Y526" s="59"/>
      <c r="Z526" s="59"/>
      <c r="AA526" s="59"/>
      <c r="AB526" s="59"/>
      <c r="AC526" s="59"/>
      <c r="AD526" s="140"/>
      <c r="AE526" s="80" t="str">
        <f>A526</f>
        <v>back</v>
      </c>
      <c r="AF526" s="473">
        <f t="shared" ref="AF526" si="1563">B526</f>
        <v>37362.620000000003</v>
      </c>
      <c r="AG526" s="117">
        <v>215.09020000000001</v>
      </c>
      <c r="AH526" s="109"/>
      <c r="AI526" s="109"/>
      <c r="AJ526" s="109"/>
      <c r="AK526" s="109"/>
      <c r="AL526" s="109"/>
      <c r="AM526" s="109"/>
      <c r="AN526" s="109"/>
      <c r="AO526" s="109"/>
      <c r="AP526" s="109"/>
      <c r="AQ526" s="109"/>
      <c r="AR526" s="109"/>
      <c r="AS526" s="109"/>
      <c r="AT526" s="109"/>
      <c r="AU526" s="109"/>
      <c r="AV526" s="109"/>
      <c r="AW526" s="109"/>
      <c r="AX526" s="109">
        <v>18470.557400000002</v>
      </c>
      <c r="AY526" s="109">
        <v>5521.0495000000001</v>
      </c>
      <c r="AZ526" s="109"/>
      <c r="BA526" s="109"/>
      <c r="BB526" s="109"/>
      <c r="BC526" s="109"/>
      <c r="BD526" s="109"/>
      <c r="BE526" s="109"/>
      <c r="BF526" s="109"/>
      <c r="BG526" s="109"/>
      <c r="BH526" s="109"/>
      <c r="BI526" s="109"/>
      <c r="BJ526" s="109"/>
      <c r="BK526" s="109"/>
      <c r="BL526" s="109"/>
      <c r="BM526" s="109"/>
      <c r="BN526" s="109"/>
      <c r="BO526" s="109"/>
      <c r="BP526" s="109"/>
      <c r="BQ526" s="109"/>
      <c r="BR526" s="109"/>
      <c r="BS526" s="109"/>
      <c r="BT526" s="109"/>
      <c r="BU526" s="109"/>
      <c r="BV526" s="109"/>
      <c r="BW526" s="109"/>
      <c r="BX526" s="109"/>
      <c r="BY526" s="109"/>
      <c r="BZ526" s="109"/>
      <c r="CA526" s="109">
        <v>365</v>
      </c>
      <c r="CB526" s="109">
        <v>150</v>
      </c>
      <c r="CC526" s="447">
        <f t="shared" si="1403"/>
        <v>37362.620000000003</v>
      </c>
      <c r="CD526" s="62" t="s">
        <v>53</v>
      </c>
    </row>
    <row r="527" spans="1:82" s="177" customFormat="1" ht="15.75" thickBot="1" x14ac:dyDescent="0.3">
      <c r="A527" s="202" t="s">
        <v>54</v>
      </c>
      <c r="B527" s="475"/>
      <c r="C527" s="173">
        <f>SUM(AG527:AW527)</f>
        <v>215.09020000000001</v>
      </c>
      <c r="D527" s="173">
        <f t="shared" si="1366"/>
        <v>18470.557400000002</v>
      </c>
      <c r="E527" s="173">
        <f t="shared" si="1390"/>
        <v>0</v>
      </c>
      <c r="F527" s="173">
        <f t="shared" si="1374"/>
        <v>0</v>
      </c>
      <c r="G527" s="173">
        <f t="shared" si="1391"/>
        <v>0</v>
      </c>
      <c r="H527" s="173">
        <f t="shared" si="1392"/>
        <v>0</v>
      </c>
      <c r="I527" s="173">
        <f t="shared" si="1393"/>
        <v>0</v>
      </c>
      <c r="J527" s="174">
        <f t="shared" si="1394"/>
        <v>0</v>
      </c>
      <c r="K527" s="175">
        <f t="shared" si="1395"/>
        <v>365</v>
      </c>
      <c r="L527" s="340"/>
      <c r="M527" s="247"/>
      <c r="N527" s="247"/>
      <c r="O527" s="247"/>
      <c r="P527" s="247"/>
      <c r="Q527" s="247"/>
      <c r="R527" s="247"/>
      <c r="S527" s="247"/>
      <c r="T527" s="247"/>
      <c r="V527" s="150">
        <f>L525+L526+L527</f>
        <v>506</v>
      </c>
      <c r="W527" s="150">
        <f t="shared" ref="W527" si="1564">M525+M526+M527</f>
        <v>52267</v>
      </c>
      <c r="X527" s="150"/>
      <c r="Y527" s="150">
        <f t="shared" ref="Y527" si="1565">O525+O526+O527</f>
        <v>0</v>
      </c>
      <c r="Z527" s="150">
        <f t="shared" ref="Z527" si="1566">P525+P526+P527</f>
        <v>0</v>
      </c>
      <c r="AA527" s="150">
        <f t="shared" ref="AA527" si="1567">Q525+Q526+Q527</f>
        <v>0</v>
      </c>
      <c r="AB527" s="150">
        <f t="shared" ref="AB527" si="1568">R525+R526+R527</f>
        <v>0</v>
      </c>
      <c r="AC527" s="150">
        <f t="shared" ref="AC527" si="1569">S525+S526+S527</f>
        <v>0</v>
      </c>
      <c r="AD527" s="150">
        <f t="shared" ref="AD527" si="1570">T525+T526+T527</f>
        <v>3273</v>
      </c>
      <c r="AE527" s="177" t="str">
        <f>A527</f>
        <v>ahead</v>
      </c>
      <c r="AF527" s="472"/>
      <c r="AG527" s="203">
        <v>215.09020000000001</v>
      </c>
      <c r="AH527" s="178"/>
      <c r="AI527" s="178"/>
      <c r="AJ527" s="178"/>
      <c r="AK527" s="178"/>
      <c r="AL527" s="178"/>
      <c r="AM527" s="178"/>
      <c r="AN527" s="178"/>
      <c r="AO527" s="178"/>
      <c r="AP527" s="178"/>
      <c r="AQ527" s="178"/>
      <c r="AR527" s="178"/>
      <c r="AS527" s="178"/>
      <c r="AT527" s="178"/>
      <c r="AU527" s="178"/>
      <c r="AV527" s="178"/>
      <c r="AW527" s="178"/>
      <c r="AX527" s="178">
        <v>18470.557400000002</v>
      </c>
      <c r="AY527" s="178"/>
      <c r="AZ527" s="178"/>
      <c r="BA527" s="178"/>
      <c r="BB527" s="178"/>
      <c r="BC527" s="178"/>
      <c r="BD527" s="178"/>
      <c r="BE527" s="178"/>
      <c r="BF527" s="178"/>
      <c r="BG527" s="178"/>
      <c r="BH527" s="178"/>
      <c r="BI527" s="178"/>
      <c r="BJ527" s="178"/>
      <c r="BK527" s="178"/>
      <c r="BL527" s="178"/>
      <c r="BM527" s="178"/>
      <c r="BN527" s="178"/>
      <c r="BO527" s="178"/>
      <c r="BP527" s="178"/>
      <c r="BQ527" s="178"/>
      <c r="BR527" s="178"/>
      <c r="BS527" s="178"/>
      <c r="BT527" s="178"/>
      <c r="BU527" s="178"/>
      <c r="BV527" s="178"/>
      <c r="BW527" s="178"/>
      <c r="BX527" s="178"/>
      <c r="BY527" s="178"/>
      <c r="BZ527" s="178"/>
      <c r="CA527" s="109">
        <v>365</v>
      </c>
      <c r="CB527" s="109"/>
      <c r="CC527" s="447"/>
      <c r="CD527" s="62" t="s">
        <v>54</v>
      </c>
    </row>
    <row r="528" spans="1:82" x14ac:dyDescent="0.25">
      <c r="B528" s="332">
        <v>37400</v>
      </c>
      <c r="C528" s="147">
        <f t="shared" si="1475"/>
        <v>186.5086</v>
      </c>
      <c r="D528" s="147">
        <f t="shared" si="1366"/>
        <v>18313.330600000001</v>
      </c>
      <c r="E528" s="147">
        <f t="shared" si="1390"/>
        <v>0</v>
      </c>
      <c r="F528" s="147">
        <f t="shared" si="1374"/>
        <v>109.4444</v>
      </c>
      <c r="G528" s="147">
        <f t="shared" si="1391"/>
        <v>0</v>
      </c>
      <c r="H528" s="147">
        <f t="shared" si="1392"/>
        <v>0</v>
      </c>
      <c r="I528" s="147">
        <f t="shared" si="1393"/>
        <v>0</v>
      </c>
      <c r="J528" s="156">
        <f t="shared" si="1394"/>
        <v>0</v>
      </c>
      <c r="K528" s="157">
        <f t="shared" si="1395"/>
        <v>303.63780000000003</v>
      </c>
      <c r="L528" s="341">
        <f>ROUNDUP(((C527+C528)*0.5)*(B528-B526)/27,0)</f>
        <v>278</v>
      </c>
      <c r="M528" s="246">
        <f>ROUNDUP(((D527+D528)*0.5)*(B528-B526)/27,0)</f>
        <v>25463</v>
      </c>
      <c r="N528" s="246"/>
      <c r="O528" s="246">
        <f>ROUNDUP(((F527+F528)*0.5)*(B528-B526)/27,0)</f>
        <v>76</v>
      </c>
      <c r="P528" s="246">
        <f>ROUNDUP(((G528+G527)*0.5)*(B528-B526)/27,0)</f>
        <v>0</v>
      </c>
      <c r="Q528" s="246">
        <f>ROUNDUP(((H528+H527)*0.5)*(B528-B526)/27,0)</f>
        <v>0</v>
      </c>
      <c r="R528" s="246">
        <f>ROUNDUP(((I528+I527)*0.5)*(B528-B526)/9,0)</f>
        <v>0</v>
      </c>
      <c r="S528" s="246">
        <f>ROUNDUP(((J528+J527)*0.5)*(B528-B526)/9,0)</f>
        <v>0</v>
      </c>
      <c r="T528" s="246">
        <f>ROUNDUP(((K528+K527)*0.5)*(B528-B526)/9,0)</f>
        <v>1389</v>
      </c>
      <c r="V528" s="146"/>
      <c r="W528" s="147"/>
      <c r="X528" s="147"/>
      <c r="Y528" s="147"/>
      <c r="Z528" s="147"/>
      <c r="AA528" s="147"/>
      <c r="AB528" s="147"/>
      <c r="AC528" s="147"/>
      <c r="AD528" s="148"/>
      <c r="AF528" s="155">
        <f t="shared" si="1382"/>
        <v>37400</v>
      </c>
      <c r="AG528" s="78">
        <v>184.5333</v>
      </c>
      <c r="AH528" s="78">
        <v>1.9753000000000001</v>
      </c>
      <c r="AI528" s="78"/>
      <c r="AJ528" s="78"/>
      <c r="AK528" s="78"/>
      <c r="AL528" s="78"/>
      <c r="AM528" s="78"/>
      <c r="AN528" s="78"/>
      <c r="AO528" s="78"/>
      <c r="AP528" s="78"/>
      <c r="AQ528" s="78"/>
      <c r="AR528" s="78"/>
      <c r="AS528" s="78"/>
      <c r="AT528" s="78"/>
      <c r="AU528" s="78"/>
      <c r="AV528" s="78"/>
      <c r="AW528" s="78"/>
      <c r="AX528" s="78">
        <v>18313.330600000001</v>
      </c>
      <c r="AY528" s="78"/>
      <c r="AZ528" s="78"/>
      <c r="BA528" s="78"/>
      <c r="BB528" s="78"/>
      <c r="BC528" s="78"/>
      <c r="BD528" s="78"/>
      <c r="BE528" s="78"/>
      <c r="BF528" s="78"/>
      <c r="BG528" s="78"/>
      <c r="BH528" s="78"/>
      <c r="BI528" s="78"/>
      <c r="BJ528" s="78"/>
      <c r="BK528" s="78">
        <v>11.821999999999999</v>
      </c>
      <c r="BL528" s="78">
        <v>97.622399999999999</v>
      </c>
      <c r="BM528" s="78"/>
      <c r="BN528" s="78"/>
      <c r="BO528" s="78"/>
      <c r="BP528" s="78"/>
      <c r="BQ528" s="78"/>
      <c r="BR528" s="78"/>
      <c r="BS528" s="78"/>
      <c r="BT528" s="78"/>
      <c r="BU528" s="78"/>
      <c r="BV528" s="78"/>
      <c r="BW528" s="78"/>
      <c r="BX528" s="78"/>
      <c r="BY528" s="78"/>
      <c r="BZ528" s="78"/>
      <c r="CA528" s="78"/>
      <c r="CB528" s="78">
        <f>299.6378+4</f>
        <v>303.63780000000003</v>
      </c>
      <c r="CC528" s="231">
        <f t="shared" ref="CC528:CC553" si="1571">B528</f>
        <v>37400</v>
      </c>
    </row>
    <row r="529" spans="1:81" s="3" customFormat="1" ht="15.75" thickBot="1" x14ac:dyDescent="0.3">
      <c r="B529" s="308">
        <v>37450</v>
      </c>
      <c r="C529" s="144">
        <f>AG528+AH529+AI529+AJ529+AK529+AL529+AM529+AN529+AO529+AP529+AQ529+AR529+AS529+AT529+AU529+AV529+AW529</f>
        <v>354.40229999999997</v>
      </c>
      <c r="D529" s="144">
        <f t="shared" ref="D529" si="1572">AX529+AY529+AZ529+BA529+BB529+BC529+BD529+BE529+BF529+BG529</f>
        <v>17297.746999999999</v>
      </c>
      <c r="E529" s="144">
        <f t="shared" si="1390"/>
        <v>0</v>
      </c>
      <c r="F529" s="144">
        <f t="shared" ref="F529" si="1573">BK529+BL529+BM529</f>
        <v>575.64750000000004</v>
      </c>
      <c r="G529" s="144">
        <f t="shared" si="1391"/>
        <v>0</v>
      </c>
      <c r="H529" s="144">
        <f t="shared" si="1392"/>
        <v>0</v>
      </c>
      <c r="I529" s="144">
        <f t="shared" si="1393"/>
        <v>0</v>
      </c>
      <c r="J529" s="159">
        <f t="shared" si="1394"/>
        <v>0</v>
      </c>
      <c r="K529" s="160">
        <f t="shared" si="1395"/>
        <v>300.23480000000001</v>
      </c>
      <c r="L529" s="340">
        <f t="shared" si="1494"/>
        <v>501</v>
      </c>
      <c r="M529" s="247">
        <f t="shared" si="1495"/>
        <v>32974</v>
      </c>
      <c r="N529" s="247"/>
      <c r="O529" s="247">
        <f t="shared" ref="O529:O553" si="1574">ROUNDUP(((F528+F529)*0.5)*(B529-B528)/27,0)</f>
        <v>635</v>
      </c>
      <c r="P529" s="247">
        <f t="shared" si="1497"/>
        <v>0</v>
      </c>
      <c r="Q529" s="247">
        <f t="shared" si="1498"/>
        <v>0</v>
      </c>
      <c r="R529" s="247">
        <f t="shared" si="1499"/>
        <v>0</v>
      </c>
      <c r="S529" s="247">
        <f t="shared" si="1500"/>
        <v>0</v>
      </c>
      <c r="T529" s="247">
        <f t="shared" ref="T529:T533" si="1575">ROUNDUP(((K529+K528)*0.5)*(B529-B528)/9,0)</f>
        <v>1678</v>
      </c>
      <c r="V529" s="150">
        <f>L528+L529</f>
        <v>779</v>
      </c>
      <c r="W529" s="150">
        <f t="shared" ref="W529" si="1576">M528+M529</f>
        <v>58437</v>
      </c>
      <c r="X529" s="150"/>
      <c r="Y529" s="150">
        <f t="shared" ref="Y529" si="1577">O528+O529</f>
        <v>711</v>
      </c>
      <c r="Z529" s="150">
        <f t="shared" ref="Z529" si="1578">P528+P529</f>
        <v>0</v>
      </c>
      <c r="AA529" s="150">
        <f t="shared" ref="AA529" si="1579">Q528+Q529</f>
        <v>0</v>
      </c>
      <c r="AB529" s="150">
        <f t="shared" ref="AB529" si="1580">R528+R529</f>
        <v>0</v>
      </c>
      <c r="AC529" s="150">
        <f t="shared" ref="AC529" si="1581">S528+S529</f>
        <v>0</v>
      </c>
      <c r="AD529" s="150">
        <f t="shared" ref="AD529" si="1582">T528+T529</f>
        <v>3067</v>
      </c>
      <c r="AF529" s="158">
        <f t="shared" si="1382"/>
        <v>37450</v>
      </c>
      <c r="AG529" s="149">
        <v>339.60950000000003</v>
      </c>
      <c r="AH529" s="149">
        <v>169.869</v>
      </c>
      <c r="AI529" s="149"/>
      <c r="AJ529" s="149"/>
      <c r="AK529" s="149"/>
      <c r="AL529" s="149"/>
      <c r="AM529" s="149"/>
      <c r="AN529" s="149"/>
      <c r="AO529" s="149"/>
      <c r="AP529" s="149"/>
      <c r="AQ529" s="149"/>
      <c r="AR529" s="149"/>
      <c r="AS529" s="149"/>
      <c r="AT529" s="149"/>
      <c r="AU529" s="149"/>
      <c r="AV529" s="149"/>
      <c r="AW529" s="149"/>
      <c r="AX529" s="149">
        <v>17297.746999999999</v>
      </c>
      <c r="AY529" s="149"/>
      <c r="AZ529" s="149"/>
      <c r="BA529" s="149"/>
      <c r="BB529" s="149"/>
      <c r="BC529" s="149"/>
      <c r="BD529" s="149"/>
      <c r="BE529" s="149"/>
      <c r="BF529" s="149"/>
      <c r="BG529" s="149"/>
      <c r="BH529" s="149"/>
      <c r="BI529" s="149"/>
      <c r="BJ529" s="149"/>
      <c r="BK529" s="149">
        <v>575.64750000000004</v>
      </c>
      <c r="BL529" s="149"/>
      <c r="BM529" s="149"/>
      <c r="BN529" s="149"/>
      <c r="BO529" s="149"/>
      <c r="BP529" s="149"/>
      <c r="BQ529" s="149"/>
      <c r="BR529" s="149"/>
      <c r="BS529" s="149"/>
      <c r="BT529" s="149"/>
      <c r="BU529" s="149"/>
      <c r="BV529" s="149"/>
      <c r="BW529" s="149"/>
      <c r="BX529" s="149"/>
      <c r="BY529" s="149"/>
      <c r="BZ529" s="149"/>
      <c r="CA529" s="149"/>
      <c r="CB529" s="149">
        <f>296.2348+4</f>
        <v>300.23480000000001</v>
      </c>
      <c r="CC529" s="231">
        <f t="shared" si="1571"/>
        <v>37450</v>
      </c>
    </row>
    <row r="530" spans="1:81" x14ac:dyDescent="0.25">
      <c r="B530" s="332">
        <v>37500</v>
      </c>
      <c r="C530" s="147">
        <f>AG529+AH530+AI530+AJ530+AK530+AL530+AM530+AN530+AO530+AP530+AQ530+AR530+AS530+AT530+AU530+AV530+AW530</f>
        <v>808.34190000000001</v>
      </c>
      <c r="D530" s="147">
        <f t="shared" si="1366"/>
        <v>14453.3145</v>
      </c>
      <c r="E530" s="147">
        <f t="shared" si="1390"/>
        <v>0</v>
      </c>
      <c r="F530" s="147">
        <f t="shared" si="1374"/>
        <v>41.826999999999998</v>
      </c>
      <c r="G530" s="147">
        <f t="shared" si="1391"/>
        <v>0</v>
      </c>
      <c r="H530" s="147">
        <f t="shared" si="1392"/>
        <v>0</v>
      </c>
      <c r="I530" s="147">
        <f t="shared" si="1393"/>
        <v>0</v>
      </c>
      <c r="J530" s="156">
        <f t="shared" si="1394"/>
        <v>0</v>
      </c>
      <c r="K530" s="157">
        <f t="shared" si="1395"/>
        <v>291.03969999999998</v>
      </c>
      <c r="L530" s="341">
        <f t="shared" si="1494"/>
        <v>1077</v>
      </c>
      <c r="M530" s="246">
        <f t="shared" si="1495"/>
        <v>29400</v>
      </c>
      <c r="N530" s="246"/>
      <c r="O530" s="246">
        <f t="shared" si="1574"/>
        <v>572</v>
      </c>
      <c r="P530" s="246">
        <f t="shared" si="1497"/>
        <v>0</v>
      </c>
      <c r="Q530" s="246">
        <f t="shared" si="1498"/>
        <v>0</v>
      </c>
      <c r="R530" s="246">
        <f t="shared" si="1499"/>
        <v>0</v>
      </c>
      <c r="S530" s="246">
        <f t="shared" si="1500"/>
        <v>0</v>
      </c>
      <c r="T530" s="246">
        <f t="shared" si="1575"/>
        <v>1643</v>
      </c>
      <c r="V530" s="146"/>
      <c r="W530" s="147"/>
      <c r="X530" s="147"/>
      <c r="Y530" s="147"/>
      <c r="Z530" s="147"/>
      <c r="AA530" s="147"/>
      <c r="AB530" s="147"/>
      <c r="AC530" s="147"/>
      <c r="AD530" s="148"/>
      <c r="AF530" s="155">
        <f t="shared" si="1382"/>
        <v>37500</v>
      </c>
      <c r="AG530">
        <v>315.64400000000001</v>
      </c>
      <c r="AH530" s="78">
        <v>468.73239999999998</v>
      </c>
      <c r="AI530" s="78"/>
      <c r="AJ530" s="78"/>
      <c r="AK530" s="78"/>
      <c r="AL530" s="78"/>
      <c r="AM530" s="78"/>
      <c r="AN530" s="78"/>
      <c r="AO530" s="78"/>
      <c r="AP530" s="78"/>
      <c r="AQ530" s="78"/>
      <c r="AR530" s="78"/>
      <c r="AS530" s="78"/>
      <c r="AT530" s="78"/>
      <c r="AU530" s="78"/>
      <c r="AV530" s="78"/>
      <c r="AW530" s="78"/>
      <c r="AX530" s="78">
        <v>14453.3145</v>
      </c>
      <c r="AY530" s="78"/>
      <c r="AZ530" s="78"/>
      <c r="BA530" s="78"/>
      <c r="BB530" s="78"/>
      <c r="BC530" s="78"/>
      <c r="BD530" s="78"/>
      <c r="BE530" s="78"/>
      <c r="BF530" s="78"/>
      <c r="BG530" s="78"/>
      <c r="BH530" s="78"/>
      <c r="BI530" s="78"/>
      <c r="BJ530" s="78"/>
      <c r="BK530" s="78">
        <v>23.0383</v>
      </c>
      <c r="BL530" s="78">
        <v>18.788699999999999</v>
      </c>
      <c r="BM530" s="78"/>
      <c r="BN530" s="78"/>
      <c r="BO530" s="78"/>
      <c r="BP530" s="78"/>
      <c r="BQ530" s="78"/>
      <c r="BR530" s="78"/>
      <c r="BS530" s="78"/>
      <c r="BT530" s="78"/>
      <c r="BU530" s="78"/>
      <c r="BV530" s="78"/>
      <c r="BW530" s="78"/>
      <c r="BX530" s="78"/>
      <c r="BY530" s="78"/>
      <c r="BZ530" s="78"/>
      <c r="CA530" s="78"/>
      <c r="CB530" s="78">
        <f>287.0397+4</f>
        <v>291.03969999999998</v>
      </c>
      <c r="CC530" s="231">
        <f t="shared" si="1571"/>
        <v>37500</v>
      </c>
    </row>
    <row r="531" spans="1:81" s="3" customFormat="1" ht="15.75" thickBot="1" x14ac:dyDescent="0.3">
      <c r="B531" s="337">
        <v>37550</v>
      </c>
      <c r="C531" s="223">
        <f t="shared" si="1475"/>
        <v>899.88210000000004</v>
      </c>
      <c r="D531" s="223">
        <f t="shared" si="1366"/>
        <v>11864.1605</v>
      </c>
      <c r="E531" s="223">
        <f t="shared" si="1390"/>
        <v>0</v>
      </c>
      <c r="F531" s="223">
        <f t="shared" si="1374"/>
        <v>85.505799999999994</v>
      </c>
      <c r="G531" s="223">
        <f t="shared" si="1391"/>
        <v>0</v>
      </c>
      <c r="H531" s="223">
        <f t="shared" si="1392"/>
        <v>0</v>
      </c>
      <c r="I531" s="223">
        <f t="shared" si="1393"/>
        <v>0</v>
      </c>
      <c r="J531" s="224">
        <f t="shared" si="1394"/>
        <v>0</v>
      </c>
      <c r="K531" s="309">
        <f t="shared" si="1395"/>
        <v>273.07420000000002</v>
      </c>
      <c r="L531" s="344">
        <f t="shared" si="1494"/>
        <v>1582</v>
      </c>
      <c r="M531" s="345">
        <f t="shared" si="1495"/>
        <v>24369</v>
      </c>
      <c r="N531" s="345"/>
      <c r="O531" s="345">
        <f t="shared" si="1574"/>
        <v>118</v>
      </c>
      <c r="P531" s="345">
        <f t="shared" si="1497"/>
        <v>0</v>
      </c>
      <c r="Q531" s="345">
        <f t="shared" si="1498"/>
        <v>0</v>
      </c>
      <c r="R531" s="345">
        <f t="shared" si="1499"/>
        <v>0</v>
      </c>
      <c r="S531" s="345">
        <f t="shared" si="1500"/>
        <v>0</v>
      </c>
      <c r="T531" s="345">
        <f t="shared" si="1575"/>
        <v>1567</v>
      </c>
      <c r="U531"/>
      <c r="V531" s="310">
        <f>L530+L531</f>
        <v>2659</v>
      </c>
      <c r="W531" s="310">
        <f t="shared" ref="W531" si="1583">M530+M531</f>
        <v>53769</v>
      </c>
      <c r="X531" s="310"/>
      <c r="Y531" s="310">
        <f t="shared" ref="Y531" si="1584">O530+O531</f>
        <v>690</v>
      </c>
      <c r="Z531" s="310">
        <f t="shared" ref="Z531" si="1585">P530+P531</f>
        <v>0</v>
      </c>
      <c r="AA531" s="310">
        <f t="shared" ref="AA531" si="1586">Q530+Q531</f>
        <v>0</v>
      </c>
      <c r="AB531" s="310">
        <f t="shared" ref="AB531" si="1587">R530+R531</f>
        <v>0</v>
      </c>
      <c r="AC531" s="310">
        <f t="shared" ref="AC531" si="1588">S530+S531</f>
        <v>0</v>
      </c>
      <c r="AD531" s="310">
        <f t="shared" ref="AD531" si="1589">T530+T531</f>
        <v>3210</v>
      </c>
      <c r="AF531" s="158">
        <f t="shared" si="1382"/>
        <v>37550</v>
      </c>
      <c r="AG531" s="149">
        <v>216.12799999999999</v>
      </c>
      <c r="AH531" s="149">
        <v>683.75409999999999</v>
      </c>
      <c r="AI531" s="149"/>
      <c r="AJ531" s="149"/>
      <c r="AK531" s="149"/>
      <c r="AL531" s="149"/>
      <c r="AM531" s="149"/>
      <c r="AN531" s="149"/>
      <c r="AO531" s="149"/>
      <c r="AP531" s="149"/>
      <c r="AQ531" s="149"/>
      <c r="AR531" s="149"/>
      <c r="AS531" s="149"/>
      <c r="AT531" s="149"/>
      <c r="AU531" s="149"/>
      <c r="AV531" s="149"/>
      <c r="AW531" s="149"/>
      <c r="AX531" s="149">
        <v>11864.1605</v>
      </c>
      <c r="AY531" s="149"/>
      <c r="AZ531" s="149"/>
      <c r="BA531" s="149"/>
      <c r="BB531" s="149"/>
      <c r="BC531" s="149"/>
      <c r="BD531" s="149"/>
      <c r="BE531" s="149"/>
      <c r="BF531" s="149"/>
      <c r="BG531" s="149"/>
      <c r="BH531" s="149"/>
      <c r="BI531" s="149"/>
      <c r="BJ531" s="149"/>
      <c r="BK531" s="149">
        <v>85.505799999999994</v>
      </c>
      <c r="BL531" s="149"/>
      <c r="BM531" s="149"/>
      <c r="BN531" s="149"/>
      <c r="BO531" s="149"/>
      <c r="BP531" s="149"/>
      <c r="BQ531" s="149"/>
      <c r="BR531" s="149"/>
      <c r="BS531" s="149"/>
      <c r="BT531" s="149"/>
      <c r="BU531" s="149"/>
      <c r="BV531" s="149"/>
      <c r="BW531" s="149"/>
      <c r="BX531" s="149"/>
      <c r="BY531" s="149"/>
      <c r="BZ531" s="149"/>
      <c r="CA531" s="149"/>
      <c r="CB531" s="149">
        <f>269.0742+4</f>
        <v>273.07420000000002</v>
      </c>
      <c r="CC531" s="231">
        <f t="shared" si="1571"/>
        <v>37550</v>
      </c>
    </row>
    <row r="532" spans="1:81" ht="15.75" thickTop="1" x14ac:dyDescent="0.25">
      <c r="A532" s="291"/>
      <c r="B532" s="328">
        <v>37600</v>
      </c>
      <c r="C532" s="329">
        <f t="shared" si="1475"/>
        <v>1024.4648</v>
      </c>
      <c r="D532" s="329">
        <f t="shared" si="1366"/>
        <v>10959.6134</v>
      </c>
      <c r="E532" s="329">
        <f t="shared" si="1390"/>
        <v>0</v>
      </c>
      <c r="F532" s="329">
        <f t="shared" si="1374"/>
        <v>157.2107</v>
      </c>
      <c r="G532" s="329">
        <f t="shared" si="1391"/>
        <v>0</v>
      </c>
      <c r="H532" s="329">
        <f t="shared" si="1392"/>
        <v>0</v>
      </c>
      <c r="I532" s="329">
        <f t="shared" si="1393"/>
        <v>0</v>
      </c>
      <c r="J532" s="330">
        <f t="shared" si="1394"/>
        <v>0</v>
      </c>
      <c r="K532" s="331">
        <f t="shared" si="1395"/>
        <v>261.06659999999999</v>
      </c>
      <c r="L532" s="346">
        <f t="shared" si="1494"/>
        <v>1782</v>
      </c>
      <c r="M532" s="329">
        <f t="shared" si="1495"/>
        <v>21134</v>
      </c>
      <c r="N532" s="329"/>
      <c r="O532" s="329">
        <f t="shared" si="1574"/>
        <v>225</v>
      </c>
      <c r="P532" s="329">
        <f t="shared" si="1497"/>
        <v>0</v>
      </c>
      <c r="Q532" s="329">
        <f t="shared" si="1498"/>
        <v>0</v>
      </c>
      <c r="R532" s="329">
        <f t="shared" si="1499"/>
        <v>0</v>
      </c>
      <c r="S532" s="329">
        <f t="shared" si="1500"/>
        <v>0</v>
      </c>
      <c r="T532" s="329">
        <f t="shared" si="1575"/>
        <v>1484</v>
      </c>
      <c r="U532" s="312"/>
      <c r="V532" s="313"/>
      <c r="W532" s="311"/>
      <c r="X532" s="311"/>
      <c r="Y532" s="311"/>
      <c r="Z532" s="311"/>
      <c r="AA532" s="311"/>
      <c r="AB532" s="311"/>
      <c r="AC532" s="311"/>
      <c r="AD532" s="314"/>
      <c r="AF532" s="155">
        <f t="shared" si="1382"/>
        <v>37600</v>
      </c>
      <c r="AG532" s="78">
        <v>160.43510000000001</v>
      </c>
      <c r="AH532" s="78">
        <v>864.02970000000005</v>
      </c>
      <c r="AI532" s="78"/>
      <c r="AJ532" s="78"/>
      <c r="AK532" s="78"/>
      <c r="AL532" s="78"/>
      <c r="AM532" s="78"/>
      <c r="AN532" s="78"/>
      <c r="AO532" s="78"/>
      <c r="AP532" s="78"/>
      <c r="AQ532" s="78"/>
      <c r="AR532" s="78"/>
      <c r="AS532" s="78"/>
      <c r="AT532" s="78"/>
      <c r="AU532" s="78"/>
      <c r="AV532" s="78"/>
      <c r="AW532" s="78"/>
      <c r="AX532" s="78">
        <v>10959.6134</v>
      </c>
      <c r="AY532" s="78"/>
      <c r="AZ532" s="78"/>
      <c r="BA532" s="78"/>
      <c r="BB532" s="78"/>
      <c r="BC532" s="78"/>
      <c r="BD532" s="78"/>
      <c r="BE532" s="78"/>
      <c r="BF532" s="78"/>
      <c r="BG532" s="78"/>
      <c r="BH532" s="78"/>
      <c r="BI532" s="78"/>
      <c r="BJ532" s="78"/>
      <c r="BK532" s="78">
        <v>157.2107</v>
      </c>
      <c r="BL532" s="78"/>
      <c r="BM532" s="78"/>
      <c r="BN532" s="78"/>
      <c r="BO532" s="78"/>
      <c r="BP532" s="78"/>
      <c r="BQ532" s="78"/>
      <c r="BR532" s="78"/>
      <c r="BS532" s="78"/>
      <c r="BT532" s="78"/>
      <c r="BU532" s="78"/>
      <c r="BV532" s="78"/>
      <c r="BW532" s="78"/>
      <c r="BX532" s="78"/>
      <c r="BY532" s="78"/>
      <c r="BZ532" s="78"/>
      <c r="CA532" s="78"/>
      <c r="CB532" s="78">
        <f>257.0666+4</f>
        <v>261.06659999999999</v>
      </c>
      <c r="CC532" s="231">
        <f t="shared" si="1571"/>
        <v>37600</v>
      </c>
    </row>
    <row r="533" spans="1:81" s="177" customFormat="1" ht="15.75" thickBot="1" x14ac:dyDescent="0.3">
      <c r="A533" s="448" t="s">
        <v>38</v>
      </c>
      <c r="B533" s="338">
        <v>37639.01</v>
      </c>
      <c r="C533" s="82">
        <f t="shared" si="1475"/>
        <v>394.79309999999998</v>
      </c>
      <c r="D533" s="82">
        <f t="shared" si="1366"/>
        <v>11212.327799999999</v>
      </c>
      <c r="E533" s="82">
        <f t="shared" si="1390"/>
        <v>0</v>
      </c>
      <c r="F533" s="82">
        <f t="shared" si="1374"/>
        <v>262.0788</v>
      </c>
      <c r="G533" s="82">
        <f t="shared" si="1391"/>
        <v>0</v>
      </c>
      <c r="H533" s="82">
        <f t="shared" si="1392"/>
        <v>0</v>
      </c>
      <c r="I533" s="82">
        <f t="shared" si="1393"/>
        <v>0</v>
      </c>
      <c r="J533" s="83">
        <f t="shared" si="1394"/>
        <v>0</v>
      </c>
      <c r="K533" s="101">
        <f t="shared" si="1395"/>
        <v>237.2946</v>
      </c>
      <c r="L533" s="339">
        <f t="shared" si="1494"/>
        <v>1026</v>
      </c>
      <c r="M533" s="119">
        <f>ROUNDUP(((D532+D533)*0.5)*(B533-B532)/27,0)</f>
        <v>16018</v>
      </c>
      <c r="N533" s="119"/>
      <c r="O533" s="119">
        <f t="shared" si="1574"/>
        <v>303</v>
      </c>
      <c r="P533" s="119">
        <f t="shared" si="1497"/>
        <v>0</v>
      </c>
      <c r="Q533" s="119">
        <f t="shared" si="1498"/>
        <v>0</v>
      </c>
      <c r="R533" s="119">
        <f t="shared" si="1499"/>
        <v>0</v>
      </c>
      <c r="S533" s="119">
        <f t="shared" si="1500"/>
        <v>0</v>
      </c>
      <c r="T533" s="119">
        <f t="shared" si="1575"/>
        <v>1081</v>
      </c>
      <c r="U533" s="327"/>
      <c r="V533" s="150">
        <f>L532+L533</f>
        <v>2808</v>
      </c>
      <c r="W533" s="150">
        <f t="shared" ref="W533" si="1590">M532+M533</f>
        <v>37152</v>
      </c>
      <c r="X533" s="150">
        <f>N532+N533+N534+N535+N536+N537</f>
        <v>41572</v>
      </c>
      <c r="Y533" s="150">
        <f t="shared" ref="Y533" si="1591">O532+O533</f>
        <v>528</v>
      </c>
      <c r="Z533" s="150">
        <f t="shared" ref="Z533" si="1592">P532+P533</f>
        <v>0</v>
      </c>
      <c r="AA533" s="150">
        <f t="shared" ref="AA533" si="1593">Q532+Q533</f>
        <v>0</v>
      </c>
      <c r="AB533" s="150">
        <f t="shared" ref="AB533" si="1594">R532+R533</f>
        <v>0</v>
      </c>
      <c r="AC533" s="150">
        <f t="shared" ref="AC533" si="1595">S532+S533</f>
        <v>0</v>
      </c>
      <c r="AD533" s="315">
        <f t="shared" ref="AD533" si="1596">T532+T533</f>
        <v>2565</v>
      </c>
      <c r="AF533" s="182">
        <f t="shared" si="1382"/>
        <v>37639.01</v>
      </c>
      <c r="AG533" s="178">
        <v>394.79309999999998</v>
      </c>
      <c r="AH533" s="178"/>
      <c r="AI533" s="178"/>
      <c r="AJ533" s="178"/>
      <c r="AK533" s="178"/>
      <c r="AL533" s="178"/>
      <c r="AM533" s="178"/>
      <c r="AN533" s="178"/>
      <c r="AO533" s="178"/>
      <c r="AP533" s="178"/>
      <c r="AQ533" s="178"/>
      <c r="AR533" s="178"/>
      <c r="AS533" s="178"/>
      <c r="AT533" s="178"/>
      <c r="AU533" s="178"/>
      <c r="AV533" s="178"/>
      <c r="AW533" s="178"/>
      <c r="AX533" s="178">
        <v>11212.327799999999</v>
      </c>
      <c r="AY533" s="178"/>
      <c r="AZ533" s="178"/>
      <c r="BA533" s="178"/>
      <c r="BB533" s="178"/>
      <c r="BC533" s="178"/>
      <c r="BD533" s="178"/>
      <c r="BE533" s="178"/>
      <c r="BF533" s="178"/>
      <c r="BG533" s="178"/>
      <c r="BH533" s="178"/>
      <c r="BI533" s="178"/>
      <c r="BJ533" s="178"/>
      <c r="BK533" s="178">
        <v>262.0788</v>
      </c>
      <c r="BL533" s="178"/>
      <c r="BM533" s="178"/>
      <c r="BN533" s="178"/>
      <c r="BO533" s="178"/>
      <c r="BP533" s="178"/>
      <c r="BQ533" s="178"/>
      <c r="BR533" s="178"/>
      <c r="BS533" s="178"/>
      <c r="BT533" s="178"/>
      <c r="BU533" s="178"/>
      <c r="BV533" s="178"/>
      <c r="BW533" s="178"/>
      <c r="BX533" s="178"/>
      <c r="BY533" s="178"/>
      <c r="BZ533" s="178"/>
      <c r="CA533" s="178"/>
      <c r="CB533" s="178">
        <f>233.2946+4</f>
        <v>237.2946</v>
      </c>
      <c r="CC533" s="231">
        <f t="shared" si="1571"/>
        <v>37639.01</v>
      </c>
    </row>
    <row r="534" spans="1:81" s="80" customFormat="1" ht="15.75" thickBot="1" x14ac:dyDescent="0.3">
      <c r="A534" s="448"/>
      <c r="B534" s="316">
        <v>37660</v>
      </c>
      <c r="C534" s="279"/>
      <c r="D534" s="279"/>
      <c r="E534" s="279">
        <f t="shared" si="1390"/>
        <v>11212.327799999999</v>
      </c>
      <c r="F534" s="279"/>
      <c r="G534" s="279"/>
      <c r="H534" s="279"/>
      <c r="I534" s="279"/>
      <c r="J534" s="280"/>
      <c r="K534" s="281"/>
      <c r="L534" s="292"/>
      <c r="M534" s="279"/>
      <c r="N534" s="279"/>
      <c r="O534" s="279"/>
      <c r="P534" s="279"/>
      <c r="Q534" s="279"/>
      <c r="R534" s="279"/>
      <c r="S534" s="279"/>
      <c r="T534" s="279"/>
      <c r="V534" s="284"/>
      <c r="W534" s="285"/>
      <c r="X534" s="285"/>
      <c r="Y534" s="285"/>
      <c r="Z534" s="285"/>
      <c r="AA534" s="285"/>
      <c r="AB534" s="285"/>
      <c r="AC534" s="285"/>
      <c r="AD534" s="317"/>
      <c r="AF534" s="278">
        <f t="shared" si="1382"/>
        <v>37660</v>
      </c>
      <c r="AG534" s="287"/>
      <c r="AH534" s="287"/>
      <c r="AI534" s="287"/>
      <c r="AJ534" s="287"/>
      <c r="AK534" s="287"/>
      <c r="AL534" s="287"/>
      <c r="AM534" s="287"/>
      <c r="AN534" s="287"/>
      <c r="AO534" s="287"/>
      <c r="AP534" s="287"/>
      <c r="AQ534" s="287"/>
      <c r="AR534" s="287"/>
      <c r="AS534" s="287"/>
      <c r="AT534" s="287"/>
      <c r="AU534" s="287"/>
      <c r="AV534" s="287"/>
      <c r="AW534" s="287"/>
      <c r="AX534" s="287"/>
      <c r="AY534" s="287"/>
      <c r="AZ534" s="287"/>
      <c r="BA534" s="287"/>
      <c r="BB534" s="287"/>
      <c r="BC534" s="287"/>
      <c r="BD534" s="287"/>
      <c r="BE534" s="287"/>
      <c r="BF534" s="287"/>
      <c r="BG534" s="287"/>
      <c r="BH534" s="178">
        <v>11212.327799999999</v>
      </c>
      <c r="BI534" s="287"/>
      <c r="BJ534" s="287"/>
      <c r="BK534" s="287"/>
      <c r="BL534" s="287"/>
      <c r="BM534" s="287"/>
      <c r="BN534" s="287"/>
      <c r="BO534" s="287"/>
      <c r="BP534" s="287"/>
      <c r="BQ534" s="287"/>
      <c r="BR534" s="287"/>
      <c r="BS534" s="287"/>
      <c r="BT534" s="287"/>
      <c r="BU534" s="287"/>
      <c r="BV534" s="287"/>
      <c r="BW534" s="287"/>
      <c r="BX534" s="287"/>
      <c r="BY534" s="287"/>
      <c r="BZ534" s="287"/>
      <c r="CA534" s="287"/>
      <c r="CB534" s="287"/>
      <c r="CC534" s="231">
        <f t="shared" si="1571"/>
        <v>37660</v>
      </c>
    </row>
    <row r="535" spans="1:81" s="80" customFormat="1" x14ac:dyDescent="0.25">
      <c r="A535" s="448"/>
      <c r="B535" s="316">
        <v>37834</v>
      </c>
      <c r="C535" s="279"/>
      <c r="D535" s="279"/>
      <c r="E535" s="279">
        <f t="shared" si="1390"/>
        <v>0</v>
      </c>
      <c r="F535" s="279"/>
      <c r="G535" s="279"/>
      <c r="H535" s="279"/>
      <c r="I535" s="279"/>
      <c r="J535" s="280"/>
      <c r="K535" s="281"/>
      <c r="L535" s="292"/>
      <c r="M535" s="279"/>
      <c r="N535" s="279">
        <f>ROUNDUP(((E534+E535)*0.5)*(B535-B534)/27,0)</f>
        <v>36129</v>
      </c>
      <c r="O535" s="279"/>
      <c r="P535" s="279"/>
      <c r="Q535" s="279"/>
      <c r="R535" s="279"/>
      <c r="S535" s="279"/>
      <c r="T535" s="279"/>
      <c r="V535" s="284"/>
      <c r="W535" s="285"/>
      <c r="X535" s="285"/>
      <c r="Y535" s="285"/>
      <c r="Z535" s="285"/>
      <c r="AA535" s="285"/>
      <c r="AB535" s="285"/>
      <c r="AC535" s="285"/>
      <c r="AD535" s="317"/>
      <c r="AF535" s="278">
        <f t="shared" si="1382"/>
        <v>37834</v>
      </c>
      <c r="AG535" s="287"/>
      <c r="AH535" s="287"/>
      <c r="AI535" s="287"/>
      <c r="AJ535" s="287"/>
      <c r="AK535" s="287"/>
      <c r="AL535" s="287"/>
      <c r="AM535" s="287"/>
      <c r="AN535" s="287"/>
      <c r="AO535" s="287"/>
      <c r="AP535" s="287"/>
      <c r="AQ535" s="287"/>
      <c r="AR535" s="287"/>
      <c r="AS535" s="287"/>
      <c r="AT535" s="287"/>
      <c r="AU535" s="287"/>
      <c r="AV535" s="287"/>
      <c r="AW535" s="287"/>
      <c r="AX535" s="287"/>
      <c r="AY535" s="287"/>
      <c r="AZ535" s="287"/>
      <c r="BA535" s="287"/>
      <c r="BB535" s="287"/>
      <c r="BC535" s="287"/>
      <c r="BD535" s="287"/>
      <c r="BE535" s="287"/>
      <c r="BF535" s="287"/>
      <c r="BG535" s="287"/>
      <c r="BH535" s="287"/>
      <c r="BI535" s="287"/>
      <c r="BJ535" s="287"/>
      <c r="BK535" s="287"/>
      <c r="BL535" s="287"/>
      <c r="BM535" s="287"/>
      <c r="BN535" s="287"/>
      <c r="BO535" s="287"/>
      <c r="BP535" s="287"/>
      <c r="BQ535" s="287"/>
      <c r="BR535" s="287"/>
      <c r="BS535" s="287"/>
      <c r="BT535" s="287"/>
      <c r="BU535" s="287"/>
      <c r="BV535" s="287"/>
      <c r="BW535" s="287"/>
      <c r="BX535" s="287"/>
      <c r="BY535" s="287"/>
      <c r="BZ535" s="287"/>
      <c r="CA535" s="287"/>
      <c r="CB535" s="287"/>
      <c r="CC535" s="231">
        <f t="shared" si="1571"/>
        <v>37834</v>
      </c>
    </row>
    <row r="536" spans="1:81" s="80" customFormat="1" x14ac:dyDescent="0.25">
      <c r="A536" s="448"/>
      <c r="B536" s="316">
        <v>37864</v>
      </c>
      <c r="C536" s="279"/>
      <c r="D536" s="279"/>
      <c r="E536" s="279">
        <f t="shared" si="1390"/>
        <v>0</v>
      </c>
      <c r="F536" s="279"/>
      <c r="G536" s="279"/>
      <c r="H536" s="279"/>
      <c r="I536" s="279"/>
      <c r="J536" s="280"/>
      <c r="K536" s="281"/>
      <c r="L536" s="292"/>
      <c r="M536" s="279"/>
      <c r="N536" s="279"/>
      <c r="O536" s="279"/>
      <c r="P536" s="279"/>
      <c r="Q536" s="279"/>
      <c r="R536" s="279"/>
      <c r="S536" s="279"/>
      <c r="T536" s="279"/>
      <c r="V536" s="284"/>
      <c r="W536" s="285"/>
      <c r="X536" s="285"/>
      <c r="Y536" s="285"/>
      <c r="Z536" s="285"/>
      <c r="AA536" s="285"/>
      <c r="AB536" s="285"/>
      <c r="AC536" s="285"/>
      <c r="AD536" s="317"/>
      <c r="AF536" s="278">
        <f t="shared" si="1382"/>
        <v>37864</v>
      </c>
      <c r="AG536" s="287"/>
      <c r="AH536" s="287"/>
      <c r="AI536" s="287"/>
      <c r="AJ536" s="287"/>
      <c r="AK536" s="287"/>
      <c r="AL536" s="287"/>
      <c r="AM536" s="287"/>
      <c r="AN536" s="287"/>
      <c r="AO536" s="287"/>
      <c r="AP536" s="287"/>
      <c r="AQ536" s="287"/>
      <c r="AR536" s="287"/>
      <c r="AS536" s="287"/>
      <c r="AT536" s="287"/>
      <c r="AU536" s="287"/>
      <c r="AV536" s="287"/>
      <c r="AW536" s="287"/>
      <c r="AX536" s="287"/>
      <c r="AY536" s="287"/>
      <c r="AZ536" s="287"/>
      <c r="BA536" s="287"/>
      <c r="BB536" s="287"/>
      <c r="BC536" s="287"/>
      <c r="BD536" s="287"/>
      <c r="BE536" s="287"/>
      <c r="BF536" s="287"/>
      <c r="BG536" s="287"/>
      <c r="BH536" s="287"/>
      <c r="BI536" s="287"/>
      <c r="BJ536" s="287"/>
      <c r="BK536" s="287"/>
      <c r="BL536" s="287"/>
      <c r="BM536" s="287"/>
      <c r="BN536" s="287"/>
      <c r="BO536" s="287"/>
      <c r="BP536" s="287"/>
      <c r="BQ536" s="287"/>
      <c r="BR536" s="287"/>
      <c r="BS536" s="287"/>
      <c r="BT536" s="287"/>
      <c r="BU536" s="287"/>
      <c r="BV536" s="287"/>
      <c r="BW536" s="287"/>
      <c r="BX536" s="287"/>
      <c r="BY536" s="287"/>
      <c r="BZ536" s="287"/>
      <c r="CA536" s="287"/>
      <c r="CB536" s="287"/>
      <c r="CC536" s="231">
        <f t="shared" si="1571"/>
        <v>37864</v>
      </c>
    </row>
    <row r="537" spans="1:81" s="80" customFormat="1" ht="15.75" thickBot="1" x14ac:dyDescent="0.3">
      <c r="A537" s="448"/>
      <c r="B537" s="318">
        <v>37890</v>
      </c>
      <c r="C537" s="319"/>
      <c r="D537" s="319"/>
      <c r="E537" s="319">
        <f t="shared" si="1390"/>
        <v>11304.1798</v>
      </c>
      <c r="F537" s="319"/>
      <c r="G537" s="319"/>
      <c r="H537" s="319"/>
      <c r="I537" s="319"/>
      <c r="J537" s="320"/>
      <c r="K537" s="321"/>
      <c r="L537" s="322"/>
      <c r="M537" s="319"/>
      <c r="N537" s="319">
        <f>ROUNDUP(((E536+E537)*0.5)*(B537-B536)/27,0)</f>
        <v>5443</v>
      </c>
      <c r="O537" s="319"/>
      <c r="P537" s="319"/>
      <c r="Q537" s="319"/>
      <c r="R537" s="319"/>
      <c r="S537" s="319"/>
      <c r="T537" s="319"/>
      <c r="U537" s="323"/>
      <c r="V537" s="324"/>
      <c r="W537" s="325"/>
      <c r="X537" s="325"/>
      <c r="Y537" s="325"/>
      <c r="Z537" s="325"/>
      <c r="AA537" s="325"/>
      <c r="AB537" s="325"/>
      <c r="AC537" s="325"/>
      <c r="AD537" s="326"/>
      <c r="AF537" s="278">
        <f t="shared" si="1382"/>
        <v>37890</v>
      </c>
      <c r="AG537" s="287"/>
      <c r="AH537" s="287"/>
      <c r="AI537" s="287"/>
      <c r="AJ537" s="287"/>
      <c r="AK537" s="287"/>
      <c r="AL537" s="287"/>
      <c r="AM537" s="287"/>
      <c r="AN537" s="287"/>
      <c r="AO537" s="287"/>
      <c r="AP537" s="287"/>
      <c r="AQ537" s="287"/>
      <c r="AR537" s="287"/>
      <c r="AS537" s="287"/>
      <c r="AT537" s="287"/>
      <c r="AU537" s="287"/>
      <c r="AV537" s="287"/>
      <c r="AW537" s="287"/>
      <c r="AX537" s="287"/>
      <c r="AY537" s="287"/>
      <c r="AZ537" s="287"/>
      <c r="BA537" s="287"/>
      <c r="BB537" s="287"/>
      <c r="BC537" s="287"/>
      <c r="BD537" s="287"/>
      <c r="BE537" s="287"/>
      <c r="BF537" s="287"/>
      <c r="BG537" s="287"/>
      <c r="BH537" s="172">
        <v>11304.1798</v>
      </c>
      <c r="BI537" s="287"/>
      <c r="BJ537" s="287"/>
      <c r="BK537" s="287"/>
      <c r="BL537" s="287"/>
      <c r="BM537" s="287"/>
      <c r="BN537" s="287"/>
      <c r="BO537" s="287"/>
      <c r="BP537" s="287"/>
      <c r="BQ537" s="287"/>
      <c r="BR537" s="287"/>
      <c r="BS537" s="287"/>
      <c r="BT537" s="287"/>
      <c r="BU537" s="287"/>
      <c r="BV537" s="287"/>
      <c r="BW537" s="287"/>
      <c r="BX537" s="287"/>
      <c r="BY537" s="287"/>
      <c r="BZ537" s="287"/>
      <c r="CA537" s="287"/>
      <c r="CB537" s="287"/>
      <c r="CC537" s="231">
        <f t="shared" si="1571"/>
        <v>37890</v>
      </c>
    </row>
    <row r="538" spans="1:81" s="80" customFormat="1" ht="15.75" thickTop="1" x14ac:dyDescent="0.25">
      <c r="A538" s="449"/>
      <c r="B538" s="132">
        <v>38015.410000000003</v>
      </c>
      <c r="C538" s="169">
        <f t="shared" si="1475"/>
        <v>0</v>
      </c>
      <c r="D538" s="169">
        <f t="shared" si="1366"/>
        <v>11304.1798</v>
      </c>
      <c r="E538" s="169">
        <f t="shared" si="1390"/>
        <v>0</v>
      </c>
      <c r="F538" s="169">
        <f t="shared" si="1374"/>
        <v>2857.9753000000001</v>
      </c>
      <c r="G538" s="169">
        <f t="shared" si="1391"/>
        <v>0</v>
      </c>
      <c r="H538" s="169">
        <f t="shared" si="1392"/>
        <v>0</v>
      </c>
      <c r="I538" s="169">
        <f t="shared" si="1393"/>
        <v>0</v>
      </c>
      <c r="J538" s="170">
        <f t="shared" si="1394"/>
        <v>0</v>
      </c>
      <c r="K538" s="171">
        <f t="shared" si="1395"/>
        <v>150.19999999999999</v>
      </c>
      <c r="L538" s="179"/>
      <c r="M538" s="169"/>
      <c r="N538" s="169"/>
      <c r="O538" s="169"/>
      <c r="P538" s="169"/>
      <c r="Q538" s="169"/>
      <c r="R538" s="169"/>
      <c r="S538" s="169"/>
      <c r="T538" s="169"/>
      <c r="V538" s="180"/>
      <c r="W538" s="169"/>
      <c r="X538" s="169"/>
      <c r="Y538" s="169"/>
      <c r="Z538" s="169"/>
      <c r="AA538" s="169"/>
      <c r="AB538" s="169"/>
      <c r="AC538" s="169"/>
      <c r="AD538" s="181"/>
      <c r="AF538" s="132">
        <f t="shared" si="1382"/>
        <v>38015.410000000003</v>
      </c>
      <c r="AG538" s="172"/>
      <c r="AH538" s="172"/>
      <c r="AI538" s="172"/>
      <c r="AJ538" s="172"/>
      <c r="AK538" s="172"/>
      <c r="AL538" s="172"/>
      <c r="AM538" s="172"/>
      <c r="AN538" s="172"/>
      <c r="AO538" s="172"/>
      <c r="AP538" s="172"/>
      <c r="AQ538" s="172"/>
      <c r="AR538" s="172"/>
      <c r="AS538" s="172"/>
      <c r="AT538" s="172"/>
      <c r="AU538" s="172"/>
      <c r="AV538" s="172"/>
      <c r="AW538" s="172"/>
      <c r="AX538" s="172">
        <v>11304.1798</v>
      </c>
      <c r="AY538" s="172"/>
      <c r="AZ538" s="172"/>
      <c r="BA538" s="172"/>
      <c r="BB538" s="172"/>
      <c r="BC538" s="172"/>
      <c r="BD538" s="172"/>
      <c r="BE538" s="172"/>
      <c r="BF538" s="172"/>
      <c r="BG538" s="172"/>
      <c r="BH538" s="172"/>
      <c r="BI538" s="172"/>
      <c r="BJ538" s="172"/>
      <c r="BK538" s="172">
        <v>2857.9753000000001</v>
      </c>
      <c r="BL538" s="172"/>
      <c r="BM538" s="172"/>
      <c r="BN538" s="172"/>
      <c r="BO538" s="172"/>
      <c r="BP538" s="172"/>
      <c r="BQ538" s="172"/>
      <c r="BR538" s="172"/>
      <c r="BS538" s="172"/>
      <c r="BT538" s="172"/>
      <c r="BU538" s="172"/>
      <c r="BV538" s="172"/>
      <c r="BW538" s="172"/>
      <c r="BX538" s="172"/>
      <c r="BY538" s="172"/>
      <c r="BZ538" s="172"/>
      <c r="CA538" s="172"/>
      <c r="CB538" s="172">
        <v>150.19999999999999</v>
      </c>
      <c r="CC538" s="231">
        <f t="shared" si="1571"/>
        <v>38015.410000000003</v>
      </c>
    </row>
    <row r="539" spans="1:81" x14ac:dyDescent="0.25">
      <c r="B539" s="57">
        <v>38050</v>
      </c>
      <c r="C539" s="58">
        <f t="shared" si="1475"/>
        <v>0</v>
      </c>
      <c r="D539" s="58">
        <f t="shared" si="1366"/>
        <v>9803.6753000000008</v>
      </c>
      <c r="E539" s="58">
        <f t="shared" si="1390"/>
        <v>0</v>
      </c>
      <c r="F539" s="58">
        <f t="shared" si="1374"/>
        <v>2361.9827</v>
      </c>
      <c r="G539" s="58">
        <f t="shared" si="1391"/>
        <v>0</v>
      </c>
      <c r="H539" s="58">
        <f t="shared" si="1392"/>
        <v>0</v>
      </c>
      <c r="I539" s="58">
        <f t="shared" si="1393"/>
        <v>0</v>
      </c>
      <c r="J539" s="51">
        <f t="shared" si="1394"/>
        <v>0</v>
      </c>
      <c r="K539" s="99">
        <f t="shared" si="1395"/>
        <v>161.41999999999999</v>
      </c>
      <c r="L539" s="105">
        <f t="shared" si="1494"/>
        <v>0</v>
      </c>
      <c r="M539" s="58">
        <f>ROUNDUP(((D538+D539)*0.5)*(B539-B538)/27,0)</f>
        <v>13521</v>
      </c>
      <c r="N539" s="58"/>
      <c r="O539" s="58">
        <f t="shared" si="1574"/>
        <v>3344</v>
      </c>
      <c r="P539" s="58">
        <f t="shared" si="1497"/>
        <v>0</v>
      </c>
      <c r="Q539" s="58">
        <f t="shared" si="1498"/>
        <v>0</v>
      </c>
      <c r="R539" s="58">
        <f t="shared" si="1499"/>
        <v>0</v>
      </c>
      <c r="S539" s="58">
        <f t="shared" si="1500"/>
        <v>0</v>
      </c>
      <c r="T539" s="58">
        <f t="shared" ref="T539:T560" si="1597">ROUNDUP(((K539+K538)*0.5)*(B539-B538)/9,0)</f>
        <v>599</v>
      </c>
      <c r="V539" s="137"/>
      <c r="W539" s="58"/>
      <c r="X539" s="58"/>
      <c r="Y539" s="58"/>
      <c r="Z539" s="58"/>
      <c r="AA539" s="58"/>
      <c r="AB539" s="58"/>
      <c r="AC539" s="58"/>
      <c r="AD539" s="138"/>
      <c r="AF539" s="57">
        <f t="shared" si="1382"/>
        <v>38050</v>
      </c>
      <c r="AG539" s="49"/>
      <c r="AH539" s="49"/>
      <c r="AI539" s="49"/>
      <c r="AJ539" s="49"/>
      <c r="AK539" s="49"/>
      <c r="AL539" s="49"/>
      <c r="AM539" s="49"/>
      <c r="AN539" s="49"/>
      <c r="AO539" s="49"/>
      <c r="AP539" s="49"/>
      <c r="AQ539" s="49"/>
      <c r="AR539" s="49"/>
      <c r="AS539" s="49"/>
      <c r="AT539" s="49"/>
      <c r="AU539" s="49"/>
      <c r="AV539" s="49"/>
      <c r="AW539" s="49"/>
      <c r="AX539" s="49">
        <v>9803.6753000000008</v>
      </c>
      <c r="AY539" s="49"/>
      <c r="AZ539" s="49"/>
      <c r="BA539" s="49"/>
      <c r="BB539" s="49"/>
      <c r="BC539" s="49"/>
      <c r="BD539" s="49"/>
      <c r="BE539" s="49"/>
      <c r="BF539" s="49"/>
      <c r="BG539" s="49"/>
      <c r="BH539" s="49"/>
      <c r="BI539" s="49"/>
      <c r="BJ539" s="49"/>
      <c r="BK539" s="49">
        <v>2361.9827</v>
      </c>
      <c r="BL539" s="49"/>
      <c r="BM539" s="49"/>
      <c r="BN539" s="49"/>
      <c r="BO539" s="49"/>
      <c r="BP539" s="49"/>
      <c r="BQ539" s="49"/>
      <c r="BR539" s="49"/>
      <c r="BS539" s="49"/>
      <c r="BT539" s="49"/>
      <c r="BU539" s="49"/>
      <c r="BV539" s="49"/>
      <c r="BW539" s="49"/>
      <c r="BX539" s="49"/>
      <c r="BY539" s="49"/>
      <c r="BZ539" s="49"/>
      <c r="CA539" s="49"/>
      <c r="CB539" s="49">
        <v>161.41999999999999</v>
      </c>
      <c r="CC539" s="231">
        <f t="shared" si="1571"/>
        <v>38050</v>
      </c>
    </row>
    <row r="540" spans="1:81" s="3" customFormat="1" ht="15.75" thickBot="1" x14ac:dyDescent="0.3">
      <c r="B540" s="158">
        <v>38100</v>
      </c>
      <c r="C540" s="144">
        <f t="shared" si="1475"/>
        <v>0</v>
      </c>
      <c r="D540" s="144">
        <f t="shared" si="1366"/>
        <v>6444.7343000000001</v>
      </c>
      <c r="E540" s="144">
        <f t="shared" si="1390"/>
        <v>0</v>
      </c>
      <c r="F540" s="144">
        <f t="shared" si="1374"/>
        <v>1207.9785999999999</v>
      </c>
      <c r="G540" s="144">
        <f t="shared" si="1391"/>
        <v>0</v>
      </c>
      <c r="H540" s="144">
        <f t="shared" si="1392"/>
        <v>0</v>
      </c>
      <c r="I540" s="144">
        <f t="shared" si="1393"/>
        <v>0</v>
      </c>
      <c r="J540" s="159">
        <f t="shared" si="1394"/>
        <v>0</v>
      </c>
      <c r="K540" s="160">
        <f t="shared" si="1395"/>
        <v>70.489999999999995</v>
      </c>
      <c r="L540" s="152">
        <f t="shared" si="1494"/>
        <v>0</v>
      </c>
      <c r="M540" s="144">
        <f t="shared" si="1495"/>
        <v>15045</v>
      </c>
      <c r="N540" s="144"/>
      <c r="O540" s="144">
        <f t="shared" si="1574"/>
        <v>3306</v>
      </c>
      <c r="P540" s="144">
        <f t="shared" si="1497"/>
        <v>0</v>
      </c>
      <c r="Q540" s="144">
        <f t="shared" si="1498"/>
        <v>0</v>
      </c>
      <c r="R540" s="144">
        <f t="shared" si="1499"/>
        <v>0</v>
      </c>
      <c r="S540" s="144">
        <f t="shared" si="1500"/>
        <v>0</v>
      </c>
      <c r="T540" s="144">
        <f t="shared" si="1597"/>
        <v>645</v>
      </c>
      <c r="V540" s="150">
        <f>L538+L539+L540</f>
        <v>0</v>
      </c>
      <c r="W540" s="150">
        <f>M538+M539+M540</f>
        <v>28566</v>
      </c>
      <c r="X540" s="150"/>
      <c r="Y540" s="150">
        <f t="shared" ref="Y540" si="1598">O538+O539+O540</f>
        <v>6650</v>
      </c>
      <c r="Z540" s="150">
        <f t="shared" ref="Z540" si="1599">P538+P539+P540</f>
        <v>0</v>
      </c>
      <c r="AA540" s="150">
        <f t="shared" ref="AA540" si="1600">Q538+Q539+Q540</f>
        <v>0</v>
      </c>
      <c r="AB540" s="150">
        <f t="shared" ref="AB540" si="1601">R538+R539+R540</f>
        <v>0</v>
      </c>
      <c r="AC540" s="150">
        <f t="shared" ref="AC540" si="1602">S538+S539+S540</f>
        <v>0</v>
      </c>
      <c r="AD540" s="150">
        <f t="shared" ref="AD540" si="1603">T538+T539+T540</f>
        <v>1244</v>
      </c>
      <c r="AF540" s="158">
        <f t="shared" si="1382"/>
        <v>38100</v>
      </c>
      <c r="AG540" s="149"/>
      <c r="AH540" s="149"/>
      <c r="AI540" s="149"/>
      <c r="AJ540" s="149"/>
      <c r="AK540" s="149"/>
      <c r="AL540" s="149"/>
      <c r="AM540" s="149"/>
      <c r="AN540" s="149"/>
      <c r="AO540" s="149"/>
      <c r="AP540" s="149"/>
      <c r="AQ540" s="149"/>
      <c r="AR540" s="149"/>
      <c r="AS540" s="149"/>
      <c r="AT540" s="149"/>
      <c r="AU540" s="149"/>
      <c r="AV540" s="149"/>
      <c r="AW540" s="149"/>
      <c r="AX540" s="149">
        <v>6444.7343000000001</v>
      </c>
      <c r="AY540" s="149"/>
      <c r="AZ540" s="149"/>
      <c r="BA540" s="149"/>
      <c r="BB540" s="149"/>
      <c r="BC540" s="149"/>
      <c r="BD540" s="149"/>
      <c r="BE540" s="149"/>
      <c r="BF540" s="149"/>
      <c r="BG540" s="149"/>
      <c r="BH540" s="149"/>
      <c r="BI540" s="149"/>
      <c r="BJ540" s="149"/>
      <c r="BK540" s="149">
        <v>1207.9785999999999</v>
      </c>
      <c r="BL540" s="149"/>
      <c r="BM540" s="149"/>
      <c r="BN540" s="149"/>
      <c r="BO540" s="149"/>
      <c r="BP540" s="149"/>
      <c r="BQ540" s="149"/>
      <c r="BR540" s="149"/>
      <c r="BS540" s="149"/>
      <c r="BT540" s="149"/>
      <c r="BU540" s="149"/>
      <c r="BV540" s="149"/>
      <c r="BW540" s="149"/>
      <c r="BX540" s="149"/>
      <c r="BY540" s="149"/>
      <c r="BZ540" s="149"/>
      <c r="CA540" s="149"/>
      <c r="CB540" s="149">
        <v>70.489999999999995</v>
      </c>
      <c r="CC540" s="231">
        <f t="shared" si="1571"/>
        <v>38100</v>
      </c>
    </row>
    <row r="541" spans="1:81" x14ac:dyDescent="0.25">
      <c r="B541" s="155">
        <v>38150</v>
      </c>
      <c r="C541" s="147">
        <f t="shared" si="1475"/>
        <v>486.4708</v>
      </c>
      <c r="D541" s="147">
        <f t="shared" ref="D541:D605" si="1604">AX541+AY541+AZ541+BA541+BB541+BC541+BD541+BE541+BF541+BG541</f>
        <v>5949.4699000000001</v>
      </c>
      <c r="E541" s="147">
        <f t="shared" si="1390"/>
        <v>0</v>
      </c>
      <c r="F541" s="147">
        <f t="shared" si="1374"/>
        <v>682.00739999999996</v>
      </c>
      <c r="G541" s="147">
        <f t="shared" si="1391"/>
        <v>0</v>
      </c>
      <c r="H541" s="147">
        <f t="shared" si="1392"/>
        <v>0</v>
      </c>
      <c r="I541" s="147">
        <f t="shared" si="1393"/>
        <v>0</v>
      </c>
      <c r="J541" s="156">
        <f t="shared" si="1394"/>
        <v>0</v>
      </c>
      <c r="K541" s="157">
        <f t="shared" si="1395"/>
        <v>70.489999999999995</v>
      </c>
      <c r="L541" s="151">
        <f t="shared" si="1494"/>
        <v>451</v>
      </c>
      <c r="M541" s="147">
        <f t="shared" si="1495"/>
        <v>11477</v>
      </c>
      <c r="N541" s="147"/>
      <c r="O541" s="147">
        <f t="shared" si="1574"/>
        <v>1750</v>
      </c>
      <c r="P541" s="147">
        <f t="shared" si="1497"/>
        <v>0</v>
      </c>
      <c r="Q541" s="147">
        <f t="shared" si="1498"/>
        <v>0</v>
      </c>
      <c r="R541" s="147">
        <f t="shared" si="1499"/>
        <v>0</v>
      </c>
      <c r="S541" s="147">
        <f t="shared" si="1500"/>
        <v>0</v>
      </c>
      <c r="T541" s="147">
        <f t="shared" si="1597"/>
        <v>392</v>
      </c>
      <c r="V541" s="146"/>
      <c r="W541" s="147"/>
      <c r="X541" s="147"/>
      <c r="Y541" s="147"/>
      <c r="Z541" s="147"/>
      <c r="AA541" s="147"/>
      <c r="AB541" s="147"/>
      <c r="AC541" s="147"/>
      <c r="AD541" s="148"/>
      <c r="AF541" s="155">
        <f t="shared" si="1382"/>
        <v>38150</v>
      </c>
      <c r="AG541" s="185">
        <v>239.0959</v>
      </c>
      <c r="AH541" s="185">
        <v>134.09950000000001</v>
      </c>
      <c r="AI541" s="185">
        <v>113.2754</v>
      </c>
      <c r="AJ541" s="78"/>
      <c r="AK541" s="78"/>
      <c r="AL541" s="78"/>
      <c r="AM541" s="78"/>
      <c r="AN541" s="78"/>
      <c r="AO541" s="78"/>
      <c r="AP541" s="78"/>
      <c r="AQ541" s="78"/>
      <c r="AR541" s="78"/>
      <c r="AS541" s="78"/>
      <c r="AT541" s="78"/>
      <c r="AU541" s="78"/>
      <c r="AV541" s="78"/>
      <c r="AW541" s="78"/>
      <c r="AX541" s="78">
        <v>5949.4699000000001</v>
      </c>
      <c r="AY541" s="78"/>
      <c r="AZ541" s="78"/>
      <c r="BA541" s="78"/>
      <c r="BB541" s="78"/>
      <c r="BC541" s="78"/>
      <c r="BD541" s="78"/>
      <c r="BE541" s="78"/>
      <c r="BF541" s="78"/>
      <c r="BG541" s="78"/>
      <c r="BH541" s="78"/>
      <c r="BI541" s="78"/>
      <c r="BJ541" s="78"/>
      <c r="BK541" s="78">
        <v>682.00739999999996</v>
      </c>
      <c r="BL541" s="78"/>
      <c r="BM541" s="78"/>
      <c r="BN541" s="78"/>
      <c r="BO541" s="78"/>
      <c r="BP541" s="78"/>
      <c r="BQ541" s="78"/>
      <c r="BR541" s="78"/>
      <c r="BS541" s="78"/>
      <c r="BT541" s="78"/>
      <c r="BU541" s="78"/>
      <c r="BV541" s="78"/>
      <c r="BW541" s="78"/>
      <c r="BX541" s="78"/>
      <c r="BY541" s="78"/>
      <c r="BZ541" s="78"/>
      <c r="CA541" s="78"/>
      <c r="CB541" s="78">
        <v>70.489999999999995</v>
      </c>
      <c r="CC541" s="231">
        <f t="shared" si="1571"/>
        <v>38150</v>
      </c>
    </row>
    <row r="542" spans="1:81" x14ac:dyDescent="0.25">
      <c r="B542" s="57">
        <v>38200</v>
      </c>
      <c r="C542" s="58">
        <f t="shared" si="1475"/>
        <v>422.38729999999998</v>
      </c>
      <c r="D542" s="58">
        <f t="shared" si="1604"/>
        <v>6157.0189</v>
      </c>
      <c r="E542" s="58">
        <f t="shared" si="1390"/>
        <v>0</v>
      </c>
      <c r="F542" s="58">
        <f t="shared" ref="F542:F606" si="1605">BK542+BL542+BM542</f>
        <v>139.32329999999999</v>
      </c>
      <c r="G542" s="58">
        <f t="shared" si="1391"/>
        <v>0</v>
      </c>
      <c r="H542" s="58">
        <f t="shared" si="1392"/>
        <v>0</v>
      </c>
      <c r="I542" s="58">
        <f t="shared" si="1393"/>
        <v>0</v>
      </c>
      <c r="J542" s="51">
        <f t="shared" si="1394"/>
        <v>0</v>
      </c>
      <c r="K542" s="99">
        <f t="shared" si="1395"/>
        <v>153.44999999999999</v>
      </c>
      <c r="L542" s="105">
        <f t="shared" si="1494"/>
        <v>842</v>
      </c>
      <c r="M542" s="58">
        <f t="shared" si="1495"/>
        <v>11210</v>
      </c>
      <c r="N542" s="58"/>
      <c r="O542" s="58">
        <f t="shared" si="1574"/>
        <v>761</v>
      </c>
      <c r="P542" s="58">
        <f t="shared" si="1497"/>
        <v>0</v>
      </c>
      <c r="Q542" s="58">
        <f t="shared" si="1498"/>
        <v>0</v>
      </c>
      <c r="R542" s="58">
        <f t="shared" si="1499"/>
        <v>0</v>
      </c>
      <c r="S542" s="58">
        <f t="shared" si="1500"/>
        <v>0</v>
      </c>
      <c r="T542" s="58">
        <f t="shared" si="1597"/>
        <v>623</v>
      </c>
      <c r="V542" s="137"/>
      <c r="W542" s="58"/>
      <c r="X542" s="58"/>
      <c r="Y542" s="58"/>
      <c r="Z542" s="58"/>
      <c r="AA542" s="58"/>
      <c r="AB542" s="58"/>
      <c r="AC542" s="58"/>
      <c r="AD542" s="138"/>
      <c r="AF542" s="57">
        <f t="shared" si="1382"/>
        <v>38200</v>
      </c>
      <c r="AG542" s="115">
        <v>83.450299999999999</v>
      </c>
      <c r="AH542" s="115">
        <v>145.35509999999999</v>
      </c>
      <c r="AI542" s="115">
        <v>89.339500000000001</v>
      </c>
      <c r="AJ542" s="115">
        <v>104.2424</v>
      </c>
      <c r="AK542" s="49"/>
      <c r="AL542" s="49"/>
      <c r="AM542" s="49"/>
      <c r="AN542" s="49"/>
      <c r="AO542" s="49"/>
      <c r="AP542" s="49"/>
      <c r="AQ542" s="49"/>
      <c r="AR542" s="49"/>
      <c r="AS542" s="49"/>
      <c r="AT542" s="49"/>
      <c r="AU542" s="49"/>
      <c r="AV542" s="49"/>
      <c r="AW542" s="49"/>
      <c r="AX542" s="49">
        <v>6157.0189</v>
      </c>
      <c r="AY542" s="49"/>
      <c r="AZ542" s="49"/>
      <c r="BA542" s="49"/>
      <c r="BB542" s="49"/>
      <c r="BC542" s="49"/>
      <c r="BD542" s="49"/>
      <c r="BE542" s="49"/>
      <c r="BF542" s="49"/>
      <c r="BG542" s="49"/>
      <c r="BH542" s="49"/>
      <c r="BI542" s="49"/>
      <c r="BJ542" s="49"/>
      <c r="BK542" s="49">
        <v>139.32329999999999</v>
      </c>
      <c r="BL542" s="49"/>
      <c r="BM542" s="49"/>
      <c r="BN542" s="49"/>
      <c r="BO542" s="49"/>
      <c r="BP542" s="49"/>
      <c r="BQ542" s="49"/>
      <c r="BR542" s="49"/>
      <c r="BS542" s="49"/>
      <c r="BT542" s="49"/>
      <c r="BU542" s="49"/>
      <c r="BV542" s="49"/>
      <c r="BW542" s="49"/>
      <c r="BX542" s="49"/>
      <c r="BY542" s="49"/>
      <c r="BZ542" s="49"/>
      <c r="CA542" s="49"/>
      <c r="CB542" s="49">
        <v>153.44999999999999</v>
      </c>
      <c r="CC542" s="231">
        <f t="shared" si="1571"/>
        <v>38200</v>
      </c>
    </row>
    <row r="543" spans="1:81" s="3" customFormat="1" ht="15.75" thickBot="1" x14ac:dyDescent="0.3">
      <c r="B543" s="158">
        <v>38250</v>
      </c>
      <c r="C543" s="144">
        <f t="shared" si="1475"/>
        <v>0</v>
      </c>
      <c r="D543" s="144">
        <f t="shared" si="1604"/>
        <v>3828.6839</v>
      </c>
      <c r="E543" s="144">
        <f t="shared" si="1390"/>
        <v>0</v>
      </c>
      <c r="F543" s="144">
        <f t="shared" si="1605"/>
        <v>0</v>
      </c>
      <c r="G543" s="144">
        <f t="shared" si="1391"/>
        <v>0</v>
      </c>
      <c r="H543" s="144">
        <f t="shared" si="1392"/>
        <v>0</v>
      </c>
      <c r="I543" s="144">
        <f t="shared" si="1393"/>
        <v>0</v>
      </c>
      <c r="J543" s="159">
        <f t="shared" si="1394"/>
        <v>0</v>
      </c>
      <c r="K543" s="160">
        <f t="shared" si="1395"/>
        <v>83.6</v>
      </c>
      <c r="L543" s="152">
        <f t="shared" si="1494"/>
        <v>392</v>
      </c>
      <c r="M543" s="144">
        <f t="shared" si="1495"/>
        <v>9247</v>
      </c>
      <c r="N543" s="144"/>
      <c r="O543" s="144">
        <f t="shared" si="1574"/>
        <v>130</v>
      </c>
      <c r="P543" s="144">
        <f t="shared" si="1497"/>
        <v>0</v>
      </c>
      <c r="Q543" s="144">
        <f t="shared" si="1498"/>
        <v>0</v>
      </c>
      <c r="R543" s="144">
        <f t="shared" si="1499"/>
        <v>0</v>
      </c>
      <c r="S543" s="144">
        <f t="shared" si="1500"/>
        <v>0</v>
      </c>
      <c r="T543" s="144">
        <f t="shared" si="1597"/>
        <v>659</v>
      </c>
      <c r="V543" s="150">
        <f>L541+L542+L543</f>
        <v>1685</v>
      </c>
      <c r="W543" s="150">
        <f t="shared" ref="W543" si="1606">M541+M542+M543</f>
        <v>31934</v>
      </c>
      <c r="X543" s="150"/>
      <c r="Y543" s="150">
        <f t="shared" ref="Y543" si="1607">O541+O542+O543</f>
        <v>2641</v>
      </c>
      <c r="Z543" s="150">
        <f t="shared" ref="Z543" si="1608">P541+P542+P543</f>
        <v>0</v>
      </c>
      <c r="AA543" s="150">
        <f t="shared" ref="AA543" si="1609">Q541+Q542+Q543</f>
        <v>0</v>
      </c>
      <c r="AB543" s="150">
        <f t="shared" ref="AB543" si="1610">R541+R542+R543</f>
        <v>0</v>
      </c>
      <c r="AC543" s="150">
        <f t="shared" ref="AC543" si="1611">S541+S542+S543</f>
        <v>0</v>
      </c>
      <c r="AD543" s="150">
        <f t="shared" ref="AD543" si="1612">T541+T542+T543</f>
        <v>1674</v>
      </c>
      <c r="AF543" s="158">
        <f t="shared" si="1382"/>
        <v>38250</v>
      </c>
      <c r="AG543" s="149"/>
      <c r="AH543" s="149"/>
      <c r="AI543" s="149"/>
      <c r="AJ543" s="149"/>
      <c r="AK543" s="149"/>
      <c r="AL543" s="149"/>
      <c r="AM543" s="149"/>
      <c r="AN543" s="149"/>
      <c r="AO543" s="149"/>
      <c r="AP543" s="149"/>
      <c r="AQ543" s="149"/>
      <c r="AR543" s="149"/>
      <c r="AS543" s="149"/>
      <c r="AT543" s="149"/>
      <c r="AU543" s="149"/>
      <c r="AV543" s="149"/>
      <c r="AW543" s="149"/>
      <c r="AX543" s="149">
        <v>3828.6839</v>
      </c>
      <c r="AY543" s="149"/>
      <c r="AZ543" s="149"/>
      <c r="BA543" s="149"/>
      <c r="BB543" s="149"/>
      <c r="BC543" s="149"/>
      <c r="BD543" s="149"/>
      <c r="BE543" s="149"/>
      <c r="BF543" s="149"/>
      <c r="BG543" s="149"/>
      <c r="BH543" s="149"/>
      <c r="BI543" s="149"/>
      <c r="BJ543" s="149"/>
      <c r="BK543" s="149"/>
      <c r="BL543" s="149"/>
      <c r="BM543" s="149"/>
      <c r="BN543" s="149"/>
      <c r="BO543" s="149"/>
      <c r="BP543" s="149"/>
      <c r="BQ543" s="149"/>
      <c r="BR543" s="149"/>
      <c r="BS543" s="149"/>
      <c r="BT543" s="149"/>
      <c r="BU543" s="149"/>
      <c r="BV543" s="149"/>
      <c r="BW543" s="149"/>
      <c r="BX543" s="149"/>
      <c r="BY543" s="149"/>
      <c r="BZ543" s="149"/>
      <c r="CA543" s="149"/>
      <c r="CB543" s="149">
        <v>83.6</v>
      </c>
      <c r="CC543" s="231">
        <f t="shared" si="1571"/>
        <v>38250</v>
      </c>
    </row>
    <row r="544" spans="1:81" x14ac:dyDescent="0.25">
      <c r="B544" s="155">
        <v>38300</v>
      </c>
      <c r="C544" s="147">
        <f t="shared" si="1475"/>
        <v>63.637</v>
      </c>
      <c r="D544" s="147">
        <f t="shared" si="1604"/>
        <v>4603.8456999999999</v>
      </c>
      <c r="E544" s="147">
        <f t="shared" si="1390"/>
        <v>0</v>
      </c>
      <c r="F544" s="147">
        <f t="shared" si="1605"/>
        <v>0</v>
      </c>
      <c r="G544" s="147">
        <f t="shared" si="1391"/>
        <v>0</v>
      </c>
      <c r="H544" s="147">
        <f t="shared" si="1392"/>
        <v>0</v>
      </c>
      <c r="I544" s="147">
        <f t="shared" si="1393"/>
        <v>0</v>
      </c>
      <c r="J544" s="156">
        <f t="shared" si="1394"/>
        <v>0</v>
      </c>
      <c r="K544" s="157">
        <f t="shared" si="1395"/>
        <v>164.47</v>
      </c>
      <c r="L544" s="151">
        <f t="shared" si="1494"/>
        <v>59</v>
      </c>
      <c r="M544" s="147">
        <f t="shared" si="1495"/>
        <v>7808</v>
      </c>
      <c r="N544" s="147"/>
      <c r="O544" s="147">
        <f t="shared" si="1574"/>
        <v>0</v>
      </c>
      <c r="P544" s="147">
        <f t="shared" si="1497"/>
        <v>0</v>
      </c>
      <c r="Q544" s="147">
        <f t="shared" si="1498"/>
        <v>0</v>
      </c>
      <c r="R544" s="147">
        <f t="shared" si="1499"/>
        <v>0</v>
      </c>
      <c r="S544" s="147">
        <f t="shared" si="1500"/>
        <v>0</v>
      </c>
      <c r="T544" s="147">
        <f t="shared" si="1597"/>
        <v>690</v>
      </c>
      <c r="V544" s="146"/>
      <c r="W544" s="147"/>
      <c r="X544" s="147"/>
      <c r="Y544" s="147"/>
      <c r="Z544" s="147"/>
      <c r="AA544" s="147"/>
      <c r="AB544" s="147"/>
      <c r="AC544" s="147"/>
      <c r="AD544" s="148"/>
      <c r="AF544" s="155">
        <f t="shared" si="1382"/>
        <v>38300</v>
      </c>
      <c r="AG544" s="78">
        <v>63.637</v>
      </c>
      <c r="AH544" s="78"/>
      <c r="AI544" s="78"/>
      <c r="AJ544" s="78"/>
      <c r="AK544" s="78"/>
      <c r="AL544" s="78"/>
      <c r="AM544" s="78"/>
      <c r="AN544" s="78"/>
      <c r="AO544" s="78"/>
      <c r="AP544" s="78"/>
      <c r="AQ544" s="78"/>
      <c r="AR544" s="78"/>
      <c r="AS544" s="78"/>
      <c r="AT544" s="78"/>
      <c r="AU544" s="78"/>
      <c r="AV544" s="78"/>
      <c r="AW544" s="78"/>
      <c r="AX544" s="78">
        <v>4603.8456999999999</v>
      </c>
      <c r="AY544" s="78"/>
      <c r="AZ544" s="78"/>
      <c r="BA544" s="78"/>
      <c r="BB544" s="78"/>
      <c r="BC544" s="78"/>
      <c r="BD544" s="78"/>
      <c r="BE544" s="78"/>
      <c r="BF544" s="78"/>
      <c r="BG544" s="78"/>
      <c r="BH544" s="78"/>
      <c r="BI544" s="78"/>
      <c r="BJ544" s="78"/>
      <c r="BK544" s="78"/>
      <c r="BL544" s="78"/>
      <c r="BM544" s="78"/>
      <c r="BN544" s="78"/>
      <c r="BO544" s="78"/>
      <c r="BP544" s="78"/>
      <c r="BQ544" s="78"/>
      <c r="BR544" s="78"/>
      <c r="BS544" s="78"/>
      <c r="BT544" s="78"/>
      <c r="BU544" s="78"/>
      <c r="BV544" s="78"/>
      <c r="BW544" s="78"/>
      <c r="BX544" s="78"/>
      <c r="BY544" s="78"/>
      <c r="BZ544" s="78"/>
      <c r="CA544" s="78"/>
      <c r="CB544" s="78">
        <v>164.47</v>
      </c>
      <c r="CC544" s="231">
        <f t="shared" si="1571"/>
        <v>38300</v>
      </c>
    </row>
    <row r="545" spans="1:82" x14ac:dyDescent="0.25">
      <c r="B545" s="57">
        <v>38350</v>
      </c>
      <c r="C545" s="58">
        <f t="shared" si="1475"/>
        <v>236.82690000000002</v>
      </c>
      <c r="D545" s="58">
        <f>AX545+AY545+AZ545+BA545+BB545+BC545+BD545+BE545+BF545+BG545</f>
        <v>2194.0003999999999</v>
      </c>
      <c r="E545" s="58">
        <f t="shared" si="1390"/>
        <v>0</v>
      </c>
      <c r="F545" s="58">
        <f t="shared" si="1605"/>
        <v>0</v>
      </c>
      <c r="G545" s="58">
        <f t="shared" si="1391"/>
        <v>0</v>
      </c>
      <c r="H545" s="58">
        <f t="shared" si="1392"/>
        <v>0</v>
      </c>
      <c r="I545" s="58">
        <f t="shared" si="1393"/>
        <v>0</v>
      </c>
      <c r="J545" s="51">
        <f t="shared" si="1394"/>
        <v>0</v>
      </c>
      <c r="K545" s="99">
        <f t="shared" si="1395"/>
        <v>154.88</v>
      </c>
      <c r="L545" s="105">
        <f>ROUNDUP(((C544+C545)*0.5)*(B545-B544)/27,0)</f>
        <v>279</v>
      </c>
      <c r="M545" s="58">
        <f>ROUNDUP(((D544+D545)*0.5)*(B545-B544)/27,0)</f>
        <v>6295</v>
      </c>
      <c r="N545" s="58"/>
      <c r="O545" s="58">
        <f t="shared" si="1574"/>
        <v>0</v>
      </c>
      <c r="P545" s="58">
        <f t="shared" si="1497"/>
        <v>0</v>
      </c>
      <c r="Q545" s="58">
        <f t="shared" si="1498"/>
        <v>0</v>
      </c>
      <c r="R545" s="58">
        <f t="shared" si="1499"/>
        <v>0</v>
      </c>
      <c r="S545" s="58">
        <f t="shared" si="1500"/>
        <v>0</v>
      </c>
      <c r="T545" s="58">
        <f t="shared" si="1597"/>
        <v>888</v>
      </c>
      <c r="V545" s="137"/>
      <c r="W545" s="58"/>
      <c r="X545" s="58"/>
      <c r="Y545" s="58"/>
      <c r="Z545" s="58"/>
      <c r="AA545" s="58"/>
      <c r="AB545" s="58"/>
      <c r="AC545" s="58"/>
      <c r="AD545" s="138"/>
      <c r="AF545" s="57">
        <f t="shared" ref="AF545:AF612" si="1613">B545</f>
        <v>38350</v>
      </c>
      <c r="AG545" s="115">
        <v>133.70500000000001</v>
      </c>
      <c r="AH545" s="49">
        <v>103.1219</v>
      </c>
      <c r="AI545" s="49"/>
      <c r="AJ545" s="49"/>
      <c r="AK545" s="49"/>
      <c r="AL545" s="49"/>
      <c r="AM545" s="49"/>
      <c r="AN545" s="49"/>
      <c r="AO545" s="49"/>
      <c r="AP545" s="49"/>
      <c r="AQ545" s="49"/>
      <c r="AR545" s="49"/>
      <c r="AS545" s="49"/>
      <c r="AT545" s="49"/>
      <c r="AU545" s="49"/>
      <c r="AV545" s="49"/>
      <c r="AW545" s="49"/>
      <c r="AX545" s="115">
        <v>133.70500000000001</v>
      </c>
      <c r="AY545" s="49">
        <v>2060.2954</v>
      </c>
      <c r="AZ545" s="49"/>
      <c r="BA545" s="49"/>
      <c r="BB545" s="49"/>
      <c r="BC545" s="49"/>
      <c r="BD545" s="49"/>
      <c r="BE545" s="49"/>
      <c r="BF545" s="49"/>
      <c r="BG545" s="49"/>
      <c r="BH545" s="49"/>
      <c r="BI545" s="49"/>
      <c r="BJ545" s="49"/>
      <c r="BK545" s="49"/>
      <c r="BL545" s="49"/>
      <c r="BM545" s="49"/>
      <c r="BN545" s="49"/>
      <c r="BO545" s="49"/>
      <c r="BP545" s="49"/>
      <c r="BQ545" s="49"/>
      <c r="BR545" s="49"/>
      <c r="BS545" s="49"/>
      <c r="BT545" s="49"/>
      <c r="BU545" s="49"/>
      <c r="BV545" s="49"/>
      <c r="BW545" s="49"/>
      <c r="BX545" s="49"/>
      <c r="BY545" s="49"/>
      <c r="BZ545" s="49"/>
      <c r="CA545" s="49"/>
      <c r="CB545" s="49">
        <v>154.88</v>
      </c>
      <c r="CC545" s="231">
        <f t="shared" si="1571"/>
        <v>38350</v>
      </c>
    </row>
    <row r="546" spans="1:82" s="3" customFormat="1" ht="15.75" thickBot="1" x14ac:dyDescent="0.3">
      <c r="B546" s="158">
        <v>38400</v>
      </c>
      <c r="C546" s="144">
        <f t="shared" si="1475"/>
        <v>111.3249</v>
      </c>
      <c r="D546" s="144">
        <f t="shared" si="1604"/>
        <v>1050.8153</v>
      </c>
      <c r="E546" s="144">
        <f t="shared" si="1390"/>
        <v>0</v>
      </c>
      <c r="F546" s="144">
        <f t="shared" si="1605"/>
        <v>0</v>
      </c>
      <c r="G546" s="144">
        <f t="shared" si="1391"/>
        <v>42.505499999999998</v>
      </c>
      <c r="H546" s="144">
        <f t="shared" si="1392"/>
        <v>42.505499999999998</v>
      </c>
      <c r="I546" s="144">
        <f t="shared" si="1393"/>
        <v>41.060699999999997</v>
      </c>
      <c r="J546" s="159">
        <f t="shared" si="1394"/>
        <v>41.060699999999997</v>
      </c>
      <c r="K546" s="160">
        <f t="shared" si="1395"/>
        <v>131.78</v>
      </c>
      <c r="L546" s="152">
        <f t="shared" si="1494"/>
        <v>323</v>
      </c>
      <c r="M546" s="144">
        <f t="shared" si="1495"/>
        <v>3005</v>
      </c>
      <c r="N546" s="144"/>
      <c r="O546" s="144">
        <f t="shared" si="1574"/>
        <v>0</v>
      </c>
      <c r="P546" s="144">
        <f>ROUNDUP(((G546+G545)*0.5)*(B546-B545)/27,0)</f>
        <v>40</v>
      </c>
      <c r="Q546" s="144">
        <f t="shared" si="1498"/>
        <v>40</v>
      </c>
      <c r="R546" s="144">
        <f t="shared" si="1499"/>
        <v>115</v>
      </c>
      <c r="S546" s="144">
        <f t="shared" si="1500"/>
        <v>115</v>
      </c>
      <c r="T546" s="144">
        <f t="shared" si="1597"/>
        <v>797</v>
      </c>
      <c r="V546" s="150">
        <f>L544+L545+L546</f>
        <v>661</v>
      </c>
      <c r="W546" s="150">
        <f t="shared" ref="W546" si="1614">M544+M545+M546</f>
        <v>17108</v>
      </c>
      <c r="X546" s="150"/>
      <c r="Y546" s="150">
        <f t="shared" ref="Y546" si="1615">O544+O545+O546</f>
        <v>0</v>
      </c>
      <c r="Z546" s="150">
        <f t="shared" ref="Z546" si="1616">P544+P545+P546</f>
        <v>40</v>
      </c>
      <c r="AA546" s="150">
        <f t="shared" ref="AA546" si="1617">Q544+Q545+Q546</f>
        <v>40</v>
      </c>
      <c r="AB546" s="150">
        <f t="shared" ref="AB546" si="1618">R544+R545+R546</f>
        <v>115</v>
      </c>
      <c r="AC546" s="150">
        <f t="shared" ref="AC546" si="1619">S544+S545+S546</f>
        <v>115</v>
      </c>
      <c r="AD546" s="150">
        <f t="shared" ref="AD546" si="1620">T544+T545+T546</f>
        <v>2375</v>
      </c>
      <c r="AF546" s="158">
        <f t="shared" si="1613"/>
        <v>38400</v>
      </c>
      <c r="AG546" s="149">
        <v>81.912800000000004</v>
      </c>
      <c r="AH546" s="149">
        <v>29.412099999999999</v>
      </c>
      <c r="AI546" s="149"/>
      <c r="AJ546" s="149"/>
      <c r="AK546" s="149"/>
      <c r="AL546" s="149"/>
      <c r="AM546" s="149"/>
      <c r="AN546" s="149"/>
      <c r="AO546" s="149"/>
      <c r="AP546" s="149"/>
      <c r="AQ546" s="149"/>
      <c r="AR546" s="149"/>
      <c r="AS546" s="149"/>
      <c r="AT546" s="149"/>
      <c r="AU546" s="149"/>
      <c r="AV546" s="149"/>
      <c r="AW546" s="149"/>
      <c r="AX546" s="149">
        <v>1050.8153</v>
      </c>
      <c r="AY546" s="149"/>
      <c r="AZ546" s="149"/>
      <c r="BA546" s="149"/>
      <c r="BB546" s="149"/>
      <c r="BC546" s="149"/>
      <c r="BD546" s="149"/>
      <c r="BE546" s="149"/>
      <c r="BF546" s="149"/>
      <c r="BG546" s="149"/>
      <c r="BH546" s="149"/>
      <c r="BI546" s="149"/>
      <c r="BJ546" s="149"/>
      <c r="BK546" s="149"/>
      <c r="BL546" s="149"/>
      <c r="BM546" s="149"/>
      <c r="BN546" s="149">
        <v>42.505499999999998</v>
      </c>
      <c r="BO546" s="149"/>
      <c r="BP546" s="149"/>
      <c r="BQ546" s="149">
        <f>BN546</f>
        <v>42.505499999999998</v>
      </c>
      <c r="BR546" s="149"/>
      <c r="BS546" s="149"/>
      <c r="BT546" s="149">
        <v>41.060699999999997</v>
      </c>
      <c r="BU546" s="149"/>
      <c r="BV546" s="149"/>
      <c r="BW546" s="149">
        <f>BT546</f>
        <v>41.060699999999997</v>
      </c>
      <c r="BX546" s="149"/>
      <c r="BY546" s="149"/>
      <c r="BZ546" s="149"/>
      <c r="CA546" s="149"/>
      <c r="CB546" s="149">
        <v>131.78</v>
      </c>
      <c r="CC546" s="231">
        <f t="shared" si="1571"/>
        <v>38400</v>
      </c>
    </row>
    <row r="547" spans="1:82" x14ac:dyDescent="0.25">
      <c r="B547" s="155">
        <v>38450</v>
      </c>
      <c r="C547" s="147">
        <f t="shared" si="1475"/>
        <v>90.655500000000018</v>
      </c>
      <c r="D547" s="147">
        <f t="shared" si="1604"/>
        <v>824.56999999999994</v>
      </c>
      <c r="E547" s="147">
        <f t="shared" ref="E547:E610" si="1621">BH547+BJ547+BI547</f>
        <v>0</v>
      </c>
      <c r="F547" s="147">
        <f t="shared" si="1605"/>
        <v>0</v>
      </c>
      <c r="G547" s="147">
        <f t="shared" ref="G547:G610" si="1622">BN547+BO547+BP547</f>
        <v>42.368899999999996</v>
      </c>
      <c r="H547" s="147">
        <f t="shared" ref="H547:H610" si="1623">BQ547+BR547+BS547</f>
        <v>42.368899999999996</v>
      </c>
      <c r="I547" s="147">
        <f t="shared" ref="I547:I610" si="1624">BT547+BU547+BV547</f>
        <v>41.060699999999997</v>
      </c>
      <c r="J547" s="156">
        <f t="shared" ref="J547:J610" si="1625">BW547+BX547+BY547</f>
        <v>41.060699999999997</v>
      </c>
      <c r="K547" s="157">
        <f t="shared" ref="K547:K610" si="1626">BZ547+CA547+CB547</f>
        <v>0</v>
      </c>
      <c r="L547" s="151">
        <f t="shared" si="1494"/>
        <v>188</v>
      </c>
      <c r="M547" s="147">
        <f t="shared" si="1495"/>
        <v>1737</v>
      </c>
      <c r="N547" s="147"/>
      <c r="O547" s="147">
        <f t="shared" si="1574"/>
        <v>0</v>
      </c>
      <c r="P547" s="147">
        <f t="shared" si="1497"/>
        <v>79</v>
      </c>
      <c r="Q547" s="147">
        <f t="shared" si="1498"/>
        <v>79</v>
      </c>
      <c r="R547" s="147">
        <f t="shared" si="1499"/>
        <v>229</v>
      </c>
      <c r="S547" s="147">
        <f t="shared" si="1500"/>
        <v>229</v>
      </c>
      <c r="T547" s="147">
        <f t="shared" si="1597"/>
        <v>367</v>
      </c>
      <c r="V547" s="146"/>
      <c r="W547" s="147"/>
      <c r="X547" s="147"/>
      <c r="Y547" s="147"/>
      <c r="Z547" s="147"/>
      <c r="AA547" s="147"/>
      <c r="AB547" s="147"/>
      <c r="AC547" s="147"/>
      <c r="AD547" s="148"/>
      <c r="AF547" s="155">
        <f t="shared" si="1613"/>
        <v>38450</v>
      </c>
      <c r="AG547" s="78">
        <v>19.927</v>
      </c>
      <c r="AH547" s="78">
        <v>47.027000000000001</v>
      </c>
      <c r="AI547" s="78">
        <v>9.0472999999999999</v>
      </c>
      <c r="AJ547" s="78">
        <v>14.654199999999999</v>
      </c>
      <c r="AK547" s="78"/>
      <c r="AL547" s="78"/>
      <c r="AM547" s="78"/>
      <c r="AN547" s="78"/>
      <c r="AO547" s="78"/>
      <c r="AP547" s="78"/>
      <c r="AQ547" s="78"/>
      <c r="AR547" s="78"/>
      <c r="AS547" s="78"/>
      <c r="AT547" s="78"/>
      <c r="AU547" s="78"/>
      <c r="AV547" s="78"/>
      <c r="AW547" s="78"/>
      <c r="AX547" s="78">
        <v>816.84259999999995</v>
      </c>
      <c r="AY547" s="78">
        <v>1.042</v>
      </c>
      <c r="AZ547" s="78">
        <v>6.6853999999999996</v>
      </c>
      <c r="BA547" s="78"/>
      <c r="BB547" s="78"/>
      <c r="BC547" s="78"/>
      <c r="BD547" s="78"/>
      <c r="BE547" s="78"/>
      <c r="BF547" s="78"/>
      <c r="BG547" s="78"/>
      <c r="BH547" s="78"/>
      <c r="BI547" s="78"/>
      <c r="BJ547" s="78"/>
      <c r="BK547" s="78"/>
      <c r="BL547" s="78"/>
      <c r="BM547" s="78"/>
      <c r="BN547" s="78">
        <v>42.368899999999996</v>
      </c>
      <c r="BO547" s="78"/>
      <c r="BP547" s="78"/>
      <c r="BQ547" s="78">
        <f t="shared" ref="BQ547:BQ550" si="1627">BN547</f>
        <v>42.368899999999996</v>
      </c>
      <c r="BR547" s="78"/>
      <c r="BS547" s="78"/>
      <c r="BT547" s="78">
        <v>41.060699999999997</v>
      </c>
      <c r="BU547" s="78"/>
      <c r="BV547" s="78"/>
      <c r="BW547" s="78">
        <f t="shared" ref="BW547:BW610" si="1628">BT547</f>
        <v>41.060699999999997</v>
      </c>
      <c r="BX547" s="78"/>
      <c r="BY547" s="78"/>
      <c r="BZ547" s="78"/>
      <c r="CA547" s="78"/>
      <c r="CB547" s="78"/>
      <c r="CC547" s="231">
        <f t="shared" si="1571"/>
        <v>38450</v>
      </c>
    </row>
    <row r="548" spans="1:82" x14ac:dyDescent="0.25">
      <c r="B548" s="57">
        <v>38500</v>
      </c>
      <c r="C548" s="58">
        <f t="shared" si="1475"/>
        <v>168.7938</v>
      </c>
      <c r="D548" s="58">
        <f t="shared" si="1604"/>
        <v>642.86249999999995</v>
      </c>
      <c r="E548" s="58">
        <f t="shared" si="1621"/>
        <v>0</v>
      </c>
      <c r="F548" s="58">
        <f t="shared" si="1605"/>
        <v>0</v>
      </c>
      <c r="G548" s="58">
        <f t="shared" si="1622"/>
        <v>41.919199999999996</v>
      </c>
      <c r="H548" s="58">
        <f t="shared" si="1623"/>
        <v>41.919199999999996</v>
      </c>
      <c r="I548" s="58">
        <f t="shared" si="1624"/>
        <v>41.060699999999997</v>
      </c>
      <c r="J548" s="51">
        <f t="shared" si="1625"/>
        <v>41.060699999999997</v>
      </c>
      <c r="K548" s="99">
        <f t="shared" si="1626"/>
        <v>122.49</v>
      </c>
      <c r="L548" s="105">
        <f t="shared" si="1494"/>
        <v>241</v>
      </c>
      <c r="M548" s="58">
        <f t="shared" si="1495"/>
        <v>1359</v>
      </c>
      <c r="N548" s="58"/>
      <c r="O548" s="58">
        <f t="shared" si="1574"/>
        <v>0</v>
      </c>
      <c r="P548" s="58">
        <f t="shared" si="1497"/>
        <v>79</v>
      </c>
      <c r="Q548" s="58">
        <f t="shared" si="1498"/>
        <v>79</v>
      </c>
      <c r="R548" s="58">
        <f t="shared" si="1499"/>
        <v>229</v>
      </c>
      <c r="S548" s="58">
        <f t="shared" si="1500"/>
        <v>229</v>
      </c>
      <c r="T548" s="58">
        <f t="shared" si="1597"/>
        <v>341</v>
      </c>
      <c r="V548" s="137"/>
      <c r="W548" s="58"/>
      <c r="X548" s="58"/>
      <c r="Y548" s="58"/>
      <c r="Z548" s="58"/>
      <c r="AA548" s="58"/>
      <c r="AB548" s="58"/>
      <c r="AC548" s="58"/>
      <c r="AD548" s="138"/>
      <c r="AF548" s="57">
        <f t="shared" si="1613"/>
        <v>38500</v>
      </c>
      <c r="AG548" s="49">
        <v>104.6641</v>
      </c>
      <c r="AH548" s="49">
        <v>51.760199999999998</v>
      </c>
      <c r="AI548" s="49">
        <v>12.3695</v>
      </c>
      <c r="AJ548" s="49"/>
      <c r="AK548" s="49"/>
      <c r="AL548" s="49"/>
      <c r="AM548" s="49"/>
      <c r="AN548" s="49"/>
      <c r="AO548" s="49"/>
      <c r="AP548" s="49"/>
      <c r="AQ548" s="49"/>
      <c r="AR548" s="49"/>
      <c r="AS548" s="49"/>
      <c r="AT548" s="49"/>
      <c r="AU548" s="49"/>
      <c r="AV548" s="49"/>
      <c r="AW548" s="49"/>
      <c r="AX548" s="49">
        <v>621.65200000000004</v>
      </c>
      <c r="AY548" s="49">
        <v>5.8569000000000004</v>
      </c>
      <c r="AZ548" s="49">
        <v>4.8792</v>
      </c>
      <c r="BA548" s="49">
        <v>10.474399999999999</v>
      </c>
      <c r="BB548" s="49"/>
      <c r="BC548" s="49"/>
      <c r="BD548" s="49"/>
      <c r="BE548" s="49"/>
      <c r="BF548" s="49"/>
      <c r="BG548" s="49"/>
      <c r="BH548" s="49"/>
      <c r="BI548" s="49"/>
      <c r="BJ548" s="49"/>
      <c r="BK548" s="49"/>
      <c r="BL548" s="49"/>
      <c r="BM548" s="49"/>
      <c r="BN548" s="49">
        <v>41.919199999999996</v>
      </c>
      <c r="BO548" s="49"/>
      <c r="BP548" s="49"/>
      <c r="BQ548" s="49">
        <f t="shared" si="1627"/>
        <v>41.919199999999996</v>
      </c>
      <c r="BR548" s="49"/>
      <c r="BS548" s="49"/>
      <c r="BT548" s="49">
        <v>41.060699999999997</v>
      </c>
      <c r="BU548" s="49"/>
      <c r="BV548" s="49"/>
      <c r="BW548" s="49">
        <f t="shared" si="1628"/>
        <v>41.060699999999997</v>
      </c>
      <c r="BX548" s="49"/>
      <c r="BY548" s="49"/>
      <c r="BZ548" s="49"/>
      <c r="CA548" s="49"/>
      <c r="CB548" s="49">
        <v>122.49</v>
      </c>
      <c r="CC548" s="231">
        <f t="shared" si="1571"/>
        <v>38500</v>
      </c>
    </row>
    <row r="549" spans="1:82" s="3" customFormat="1" ht="15.75" thickBot="1" x14ac:dyDescent="0.3">
      <c r="B549" s="158">
        <v>38550</v>
      </c>
      <c r="C549" s="144">
        <f t="shared" si="1475"/>
        <v>193.96540000000002</v>
      </c>
      <c r="D549" s="144">
        <f t="shared" si="1604"/>
        <v>600.44190000000003</v>
      </c>
      <c r="E549" s="144">
        <f t="shared" si="1621"/>
        <v>0</v>
      </c>
      <c r="F549" s="144">
        <f t="shared" si="1605"/>
        <v>0</v>
      </c>
      <c r="G549" s="144">
        <f t="shared" si="1622"/>
        <v>40.143000000000001</v>
      </c>
      <c r="H549" s="144">
        <f t="shared" si="1623"/>
        <v>40.143000000000001</v>
      </c>
      <c r="I549" s="144">
        <f t="shared" si="1624"/>
        <v>41.0608</v>
      </c>
      <c r="J549" s="159">
        <f t="shared" si="1625"/>
        <v>41.0608</v>
      </c>
      <c r="K549" s="160">
        <f t="shared" si="1626"/>
        <v>136.37</v>
      </c>
      <c r="L549" s="152">
        <f t="shared" si="1494"/>
        <v>336</v>
      </c>
      <c r="M549" s="144">
        <f t="shared" si="1495"/>
        <v>1152</v>
      </c>
      <c r="N549" s="144"/>
      <c r="O549" s="144">
        <f t="shared" si="1574"/>
        <v>0</v>
      </c>
      <c r="P549" s="144">
        <f t="shared" si="1497"/>
        <v>76</v>
      </c>
      <c r="Q549" s="144">
        <f t="shared" si="1498"/>
        <v>76</v>
      </c>
      <c r="R549" s="144">
        <f t="shared" si="1499"/>
        <v>229</v>
      </c>
      <c r="S549" s="144">
        <f t="shared" si="1500"/>
        <v>229</v>
      </c>
      <c r="T549" s="144">
        <f t="shared" si="1597"/>
        <v>720</v>
      </c>
      <c r="V549" s="150">
        <f>L547+L548+L549</f>
        <v>765</v>
      </c>
      <c r="W549" s="150">
        <f t="shared" ref="W549" si="1629">M547+M548+M549</f>
        <v>4248</v>
      </c>
      <c r="X549" s="150"/>
      <c r="Y549" s="150">
        <f t="shared" ref="Y549" si="1630">O547+O548+O549</f>
        <v>0</v>
      </c>
      <c r="Z549" s="150">
        <f t="shared" ref="Z549" si="1631">P547+P548+P549</f>
        <v>234</v>
      </c>
      <c r="AA549" s="150">
        <f t="shared" ref="AA549" si="1632">Q547+Q548+Q549</f>
        <v>234</v>
      </c>
      <c r="AB549" s="150">
        <f t="shared" ref="AB549" si="1633">R547+R548+R549</f>
        <v>687</v>
      </c>
      <c r="AC549" s="150">
        <f t="shared" ref="AC549" si="1634">S547+S548+S549</f>
        <v>687</v>
      </c>
      <c r="AD549" s="150">
        <f t="shared" ref="AD549" si="1635">T547+T548+T549</f>
        <v>1428</v>
      </c>
      <c r="AF549" s="158">
        <f t="shared" si="1613"/>
        <v>38550</v>
      </c>
      <c r="AG549" s="149">
        <v>145.86500000000001</v>
      </c>
      <c r="AH549" s="149">
        <v>47.196199999999997</v>
      </c>
      <c r="AI549" s="149">
        <v>0.9042</v>
      </c>
      <c r="AJ549" s="149"/>
      <c r="AK549" s="149"/>
      <c r="AL549" s="149"/>
      <c r="AM549" s="149"/>
      <c r="AN549" s="149"/>
      <c r="AO549" s="149"/>
      <c r="AP549" s="149"/>
      <c r="AQ549" s="149"/>
      <c r="AR549" s="149"/>
      <c r="AS549" s="149"/>
      <c r="AT549" s="149"/>
      <c r="AU549" s="149"/>
      <c r="AV549" s="149"/>
      <c r="AW549" s="149"/>
      <c r="AX549" s="149">
        <v>562.46230000000003</v>
      </c>
      <c r="AY549" s="149">
        <v>14.1494</v>
      </c>
      <c r="AZ549" s="149">
        <v>23.830200000000001</v>
      </c>
      <c r="BA549" s="149"/>
      <c r="BB549" s="149"/>
      <c r="BC549" s="149"/>
      <c r="BD549" s="149"/>
      <c r="BE549" s="149"/>
      <c r="BF549" s="149"/>
      <c r="BG549" s="149"/>
      <c r="BH549" s="149"/>
      <c r="BI549" s="149"/>
      <c r="BJ549" s="149"/>
      <c r="BK549" s="149"/>
      <c r="BL549" s="149"/>
      <c r="BM549" s="149"/>
      <c r="BN549" s="149">
        <v>40.143000000000001</v>
      </c>
      <c r="BO549" s="149"/>
      <c r="BP549" s="149"/>
      <c r="BQ549" s="149">
        <f t="shared" si="1627"/>
        <v>40.143000000000001</v>
      </c>
      <c r="BR549" s="149"/>
      <c r="BS549" s="149"/>
      <c r="BT549" s="149">
        <v>41.0608</v>
      </c>
      <c r="BU549" s="149"/>
      <c r="BV549" s="149"/>
      <c r="BW549" s="149">
        <f>BT549</f>
        <v>41.0608</v>
      </c>
      <c r="BX549" s="149"/>
      <c r="BY549" s="149"/>
      <c r="BZ549" s="149"/>
      <c r="CA549" s="149"/>
      <c r="CB549" s="149">
        <v>136.37</v>
      </c>
      <c r="CC549" s="231">
        <f t="shared" si="1571"/>
        <v>38550</v>
      </c>
    </row>
    <row r="550" spans="1:82" x14ac:dyDescent="0.25">
      <c r="B550" s="155">
        <v>38600</v>
      </c>
      <c r="C550" s="147">
        <f t="shared" si="1475"/>
        <v>394.68129999999996</v>
      </c>
      <c r="D550" s="147">
        <f t="shared" si="1604"/>
        <v>387.85970000000003</v>
      </c>
      <c r="E550" s="147">
        <f t="shared" si="1621"/>
        <v>0</v>
      </c>
      <c r="F550" s="147">
        <f t="shared" si="1605"/>
        <v>0</v>
      </c>
      <c r="G550" s="147">
        <f t="shared" si="1622"/>
        <v>49.532499999999999</v>
      </c>
      <c r="H550" s="147">
        <f t="shared" si="1623"/>
        <v>49.532499999999999</v>
      </c>
      <c r="I550" s="147">
        <f t="shared" si="1624"/>
        <v>55.342100000000002</v>
      </c>
      <c r="J550" s="156">
        <f t="shared" si="1625"/>
        <v>55.342100000000002</v>
      </c>
      <c r="K550" s="157">
        <f t="shared" si="1626"/>
        <v>134.46</v>
      </c>
      <c r="L550" s="151">
        <f t="shared" si="1494"/>
        <v>546</v>
      </c>
      <c r="M550" s="147">
        <f t="shared" si="1495"/>
        <v>916</v>
      </c>
      <c r="N550" s="147"/>
      <c r="O550" s="147">
        <f t="shared" si="1574"/>
        <v>0</v>
      </c>
      <c r="P550" s="147">
        <f t="shared" si="1497"/>
        <v>84</v>
      </c>
      <c r="Q550" s="147">
        <f t="shared" si="1498"/>
        <v>84</v>
      </c>
      <c r="R550" s="147">
        <f t="shared" si="1499"/>
        <v>268</v>
      </c>
      <c r="S550" s="147">
        <f t="shared" si="1500"/>
        <v>268</v>
      </c>
      <c r="T550" s="147">
        <f t="shared" si="1597"/>
        <v>753</v>
      </c>
      <c r="V550" s="146"/>
      <c r="W550" s="147"/>
      <c r="X550" s="147"/>
      <c r="Y550" s="147"/>
      <c r="Z550" s="147"/>
      <c r="AA550" s="147"/>
      <c r="AB550" s="147"/>
      <c r="AC550" s="147"/>
      <c r="AD550" s="148"/>
      <c r="AF550" s="155">
        <f t="shared" si="1613"/>
        <v>38600</v>
      </c>
      <c r="AG550" s="78">
        <v>352.44529999999997</v>
      </c>
      <c r="AH550" s="78">
        <v>31.363900000000001</v>
      </c>
      <c r="AI550" s="78">
        <v>10.8721</v>
      </c>
      <c r="AJ550" s="78"/>
      <c r="AK550" s="78"/>
      <c r="AL550" s="78"/>
      <c r="AM550" s="78"/>
      <c r="AN550" s="78"/>
      <c r="AO550" s="78"/>
      <c r="AP550" s="78"/>
      <c r="AQ550" s="78"/>
      <c r="AR550" s="78"/>
      <c r="AS550" s="78"/>
      <c r="AT550" s="78"/>
      <c r="AU550" s="78"/>
      <c r="AV550" s="78"/>
      <c r="AW550" s="78"/>
      <c r="AX550" s="78">
        <v>311.89600000000002</v>
      </c>
      <c r="AY550" s="78">
        <v>64.830399999999997</v>
      </c>
      <c r="AZ550" s="78">
        <v>11.1333</v>
      </c>
      <c r="BA550" s="78"/>
      <c r="BB550" s="78"/>
      <c r="BC550" s="78"/>
      <c r="BD550" s="78"/>
      <c r="BE550" s="78"/>
      <c r="BF550" s="78"/>
      <c r="BG550" s="78"/>
      <c r="BH550" s="78"/>
      <c r="BI550" s="78"/>
      <c r="BJ550" s="78"/>
      <c r="BK550" s="78"/>
      <c r="BL550" s="78"/>
      <c r="BM550" s="78"/>
      <c r="BN550" s="78">
        <v>13.562099999999999</v>
      </c>
      <c r="BO550" s="78">
        <v>35.970399999999998</v>
      </c>
      <c r="BP550" s="78"/>
      <c r="BQ550" s="78">
        <f t="shared" si="1627"/>
        <v>13.562099999999999</v>
      </c>
      <c r="BR550" s="78">
        <f>BO550</f>
        <v>35.970399999999998</v>
      </c>
      <c r="BS550" s="78"/>
      <c r="BT550" s="78">
        <v>14.2813</v>
      </c>
      <c r="BU550" s="78">
        <v>41.0608</v>
      </c>
      <c r="BV550" s="78"/>
      <c r="BW550" s="49">
        <f t="shared" si="1628"/>
        <v>14.2813</v>
      </c>
      <c r="BX550" s="49">
        <f t="shared" ref="BX550:BX593" si="1636">BU550</f>
        <v>41.0608</v>
      </c>
      <c r="BY550" s="49"/>
      <c r="BZ550" s="78"/>
      <c r="CA550" s="78"/>
      <c r="CB550" s="78">
        <v>134.46</v>
      </c>
      <c r="CC550" s="231">
        <f t="shared" si="1571"/>
        <v>38600</v>
      </c>
    </row>
    <row r="551" spans="1:82" x14ac:dyDescent="0.25">
      <c r="B551" s="57">
        <v>38650</v>
      </c>
      <c r="C551" s="58">
        <f t="shared" si="1475"/>
        <v>514.63959999999997</v>
      </c>
      <c r="D551" s="58">
        <f t="shared" si="1604"/>
        <v>83.788499999999999</v>
      </c>
      <c r="E551" s="58">
        <f t="shared" si="1621"/>
        <v>0</v>
      </c>
      <c r="F551" s="58">
        <f t="shared" si="1605"/>
        <v>0</v>
      </c>
      <c r="G551" s="58">
        <f t="shared" si="1622"/>
        <v>100.5117</v>
      </c>
      <c r="H551" s="58">
        <f t="shared" si="1623"/>
        <v>100.5117</v>
      </c>
      <c r="I551" s="58">
        <f t="shared" si="1624"/>
        <v>106.211</v>
      </c>
      <c r="J551" s="51">
        <f t="shared" si="1625"/>
        <v>106.211</v>
      </c>
      <c r="K551" s="99">
        <f t="shared" si="1626"/>
        <v>114.09</v>
      </c>
      <c r="L551" s="105">
        <f t="shared" si="1494"/>
        <v>842</v>
      </c>
      <c r="M551" s="58">
        <f t="shared" si="1495"/>
        <v>437</v>
      </c>
      <c r="N551" s="58"/>
      <c r="O551" s="58">
        <f t="shared" si="1574"/>
        <v>0</v>
      </c>
      <c r="P551" s="58">
        <f t="shared" si="1497"/>
        <v>139</v>
      </c>
      <c r="Q551" s="58">
        <f t="shared" si="1498"/>
        <v>139</v>
      </c>
      <c r="R551" s="58">
        <f t="shared" si="1499"/>
        <v>449</v>
      </c>
      <c r="S551" s="58">
        <f t="shared" si="1500"/>
        <v>449</v>
      </c>
      <c r="T551" s="58">
        <f t="shared" si="1597"/>
        <v>691</v>
      </c>
      <c r="V551" s="137"/>
      <c r="W551" s="58"/>
      <c r="X551" s="58"/>
      <c r="Y551" s="58"/>
      <c r="Z551" s="58"/>
      <c r="AA551" s="58"/>
      <c r="AB551" s="58"/>
      <c r="AC551" s="58"/>
      <c r="AD551" s="138"/>
      <c r="AF551" s="57">
        <f t="shared" si="1613"/>
        <v>38650</v>
      </c>
      <c r="AG551" s="49">
        <v>479.7713</v>
      </c>
      <c r="AH551" s="49">
        <v>28.953700000000001</v>
      </c>
      <c r="AI551" s="49">
        <v>5.9146000000000001</v>
      </c>
      <c r="AJ551" s="49"/>
      <c r="AK551" s="49"/>
      <c r="AL551" s="49"/>
      <c r="AM551" s="49"/>
      <c r="AN551" s="49"/>
      <c r="AO551" s="49"/>
      <c r="AP551" s="49"/>
      <c r="AQ551" s="49"/>
      <c r="AR551" s="49"/>
      <c r="AS551" s="49"/>
      <c r="AT551" s="49"/>
      <c r="AU551" s="49"/>
      <c r="AV551" s="49"/>
      <c r="AW551" s="49"/>
      <c r="AX551" s="49">
        <v>71.830699999999993</v>
      </c>
      <c r="AY551" s="49">
        <v>10.5261</v>
      </c>
      <c r="AZ551" s="49">
        <v>0.84609999999999996</v>
      </c>
      <c r="BA551" s="49">
        <v>0.58560000000000001</v>
      </c>
      <c r="BB551" s="49"/>
      <c r="BC551" s="49"/>
      <c r="BD551" s="49"/>
      <c r="BE551" s="49"/>
      <c r="BF551" s="49"/>
      <c r="BG551" s="49"/>
      <c r="BH551" s="49"/>
      <c r="BI551" s="49"/>
      <c r="BJ551" s="49"/>
      <c r="BK551" s="49"/>
      <c r="BL551" s="49"/>
      <c r="BM551" s="49"/>
      <c r="BN551" s="49">
        <v>66.551500000000004</v>
      </c>
      <c r="BO551" s="49">
        <v>33.9602</v>
      </c>
      <c r="BP551" s="49"/>
      <c r="BQ551" s="49">
        <f t="shared" ref="BQ551:BQ553" si="1637">BN551</f>
        <v>66.551500000000004</v>
      </c>
      <c r="BR551" s="49">
        <f t="shared" ref="BR551:BR553" si="1638">BO551</f>
        <v>33.9602</v>
      </c>
      <c r="BS551" s="49"/>
      <c r="BT551" s="49">
        <v>65.150199999999998</v>
      </c>
      <c r="BU551" s="49">
        <v>41.0608</v>
      </c>
      <c r="BV551" s="49"/>
      <c r="BW551" s="49">
        <f t="shared" si="1628"/>
        <v>65.150199999999998</v>
      </c>
      <c r="BX551" s="49">
        <f t="shared" si="1636"/>
        <v>41.0608</v>
      </c>
      <c r="BY551" s="49"/>
      <c r="BZ551" s="49"/>
      <c r="CA551" s="49"/>
      <c r="CB551" s="49">
        <v>114.09</v>
      </c>
      <c r="CC551" s="231">
        <f t="shared" si="1571"/>
        <v>38650</v>
      </c>
    </row>
    <row r="552" spans="1:82" s="3" customFormat="1" ht="15.75" thickBot="1" x14ac:dyDescent="0.3">
      <c r="B552" s="158">
        <v>38700</v>
      </c>
      <c r="C552" s="144">
        <f t="shared" si="1475"/>
        <v>736.82119999999998</v>
      </c>
      <c r="D552" s="144">
        <f t="shared" si="1604"/>
        <v>79.129299999999986</v>
      </c>
      <c r="E552" s="144">
        <f t="shared" si="1621"/>
        <v>0</v>
      </c>
      <c r="F552" s="144">
        <f t="shared" si="1605"/>
        <v>0</v>
      </c>
      <c r="G552" s="144">
        <f t="shared" si="1622"/>
        <v>101.3185</v>
      </c>
      <c r="H552" s="144">
        <f t="shared" si="1623"/>
        <v>101.3185</v>
      </c>
      <c r="I552" s="144">
        <f t="shared" si="1624"/>
        <v>109.38719999999999</v>
      </c>
      <c r="J552" s="159">
        <f t="shared" si="1625"/>
        <v>109.38719999999999</v>
      </c>
      <c r="K552" s="160">
        <f t="shared" si="1626"/>
        <v>182.91</v>
      </c>
      <c r="L552" s="152">
        <f t="shared" si="1494"/>
        <v>1159</v>
      </c>
      <c r="M552" s="144">
        <f t="shared" si="1495"/>
        <v>151</v>
      </c>
      <c r="N552" s="144"/>
      <c r="O552" s="144">
        <f t="shared" si="1574"/>
        <v>0</v>
      </c>
      <c r="P552" s="144">
        <f t="shared" si="1497"/>
        <v>187</v>
      </c>
      <c r="Q552" s="144">
        <f t="shared" si="1498"/>
        <v>187</v>
      </c>
      <c r="R552" s="144">
        <f t="shared" si="1499"/>
        <v>599</v>
      </c>
      <c r="S552" s="144">
        <f t="shared" si="1500"/>
        <v>599</v>
      </c>
      <c r="T552" s="144">
        <f t="shared" si="1597"/>
        <v>825</v>
      </c>
      <c r="V552" s="150">
        <f>L550+L551+L552</f>
        <v>2547</v>
      </c>
      <c r="W552" s="150">
        <f t="shared" ref="W552" si="1639">M550+M551+M552</f>
        <v>1504</v>
      </c>
      <c r="X552" s="150"/>
      <c r="Y552" s="150">
        <f t="shared" ref="Y552" si="1640">O550+O551+O552</f>
        <v>0</v>
      </c>
      <c r="Z552" s="150">
        <f t="shared" ref="Z552" si="1641">P550+P551+P552</f>
        <v>410</v>
      </c>
      <c r="AA552" s="150">
        <f t="shared" ref="AA552" si="1642">Q550+Q551+Q552</f>
        <v>410</v>
      </c>
      <c r="AB552" s="150">
        <f t="shared" ref="AB552" si="1643">R550+R551+R552</f>
        <v>1316</v>
      </c>
      <c r="AC552" s="150">
        <f t="shared" ref="AC552" si="1644">S550+S551+S552</f>
        <v>1316</v>
      </c>
      <c r="AD552" s="150">
        <f t="shared" ref="AD552" si="1645">T550+T551+T552</f>
        <v>2269</v>
      </c>
      <c r="AF552" s="158">
        <f t="shared" si="1613"/>
        <v>38700</v>
      </c>
      <c r="AG552" s="149">
        <v>619.42340000000002</v>
      </c>
      <c r="AH552" s="149">
        <v>95.093999999999994</v>
      </c>
      <c r="AI552" s="149">
        <v>18.2394</v>
      </c>
      <c r="AJ552" s="149">
        <v>4.0644</v>
      </c>
      <c r="AK552" s="149"/>
      <c r="AL552" s="149"/>
      <c r="AM552" s="149"/>
      <c r="AN552" s="149"/>
      <c r="AO552" s="149"/>
      <c r="AP552" s="149"/>
      <c r="AQ552" s="149"/>
      <c r="AR552" s="149"/>
      <c r="AS552" s="149"/>
      <c r="AT552" s="149"/>
      <c r="AU552" s="149"/>
      <c r="AV552" s="149"/>
      <c r="AW552" s="149"/>
      <c r="AX552" s="149">
        <v>4.5251999999999999</v>
      </c>
      <c r="AY552" s="149">
        <v>0.10009999999999999</v>
      </c>
      <c r="AZ552" s="149">
        <v>0.15490000000000001</v>
      </c>
      <c r="BA552" s="149">
        <v>68.045400000000001</v>
      </c>
      <c r="BB552" s="149">
        <v>4.8098999999999998</v>
      </c>
      <c r="BC552" s="149">
        <v>1.4938</v>
      </c>
      <c r="BD552" s="149"/>
      <c r="BE552" s="149"/>
      <c r="BF552" s="149"/>
      <c r="BG552" s="149"/>
      <c r="BH552" s="149"/>
      <c r="BI552" s="149"/>
      <c r="BJ552" s="149"/>
      <c r="BK552" s="149"/>
      <c r="BL552" s="149"/>
      <c r="BM552" s="149"/>
      <c r="BN552" s="149">
        <v>70.521000000000001</v>
      </c>
      <c r="BO552" s="149">
        <v>30.797499999999999</v>
      </c>
      <c r="BP552" s="149"/>
      <c r="BQ552" s="149">
        <f t="shared" si="1637"/>
        <v>70.521000000000001</v>
      </c>
      <c r="BR552" s="149">
        <f t="shared" si="1638"/>
        <v>30.797499999999999</v>
      </c>
      <c r="BS552" s="149"/>
      <c r="BT552" s="149">
        <v>70.913399999999996</v>
      </c>
      <c r="BU552" s="149">
        <v>38.473799999999997</v>
      </c>
      <c r="BV552" s="149"/>
      <c r="BW552" s="149">
        <f>BT552</f>
        <v>70.913399999999996</v>
      </c>
      <c r="BX552" s="149">
        <f>BU552</f>
        <v>38.473799999999997</v>
      </c>
      <c r="BY552" s="149"/>
      <c r="BZ552" s="149"/>
      <c r="CA552" s="149"/>
      <c r="CB552" s="149">
        <v>182.91</v>
      </c>
      <c r="CC552" s="231">
        <f t="shared" si="1571"/>
        <v>38700</v>
      </c>
    </row>
    <row r="553" spans="1:82" s="80" customFormat="1" x14ac:dyDescent="0.25">
      <c r="A553" s="116" t="s">
        <v>53</v>
      </c>
      <c r="B553" s="473">
        <v>38724.050000000003</v>
      </c>
      <c r="C553" s="169">
        <f t="shared" si="1475"/>
        <v>575.8877</v>
      </c>
      <c r="D553" s="169">
        <f t="shared" si="1604"/>
        <v>255.41600000000003</v>
      </c>
      <c r="E553" s="169">
        <f t="shared" si="1621"/>
        <v>0</v>
      </c>
      <c r="F553" s="169">
        <f t="shared" si="1605"/>
        <v>0</v>
      </c>
      <c r="G553" s="169">
        <f t="shared" si="1622"/>
        <v>36.391599999999997</v>
      </c>
      <c r="H553" s="169">
        <f t="shared" si="1623"/>
        <v>36.391599999999997</v>
      </c>
      <c r="I553" s="169">
        <f t="shared" si="1624"/>
        <v>48.469500000000004</v>
      </c>
      <c r="J553" s="156">
        <f t="shared" si="1625"/>
        <v>48.469500000000004</v>
      </c>
      <c r="K553" s="171">
        <f t="shared" si="1626"/>
        <v>101</v>
      </c>
      <c r="L553" s="164">
        <f>ROUNDUP(((C552+C553)*0.5)*(B553-B552)/27,0)</f>
        <v>585</v>
      </c>
      <c r="M553" s="161">
        <f t="shared" ref="M553" si="1646">ROUNDUP(((D552+D553)*0.5)*(B553-B552)/27,0)</f>
        <v>149</v>
      </c>
      <c r="N553" s="161"/>
      <c r="O553" s="161">
        <f t="shared" si="1574"/>
        <v>0</v>
      </c>
      <c r="P553" s="161">
        <f t="shared" ref="P553" si="1647">ROUNDUP(((G553+G552)*0.5)*(B553-B552)/27,0)</f>
        <v>62</v>
      </c>
      <c r="Q553" s="161">
        <f t="shared" ref="Q553" si="1648">ROUNDUP(((H553+H552)*0.5)*(B553-B552)/27,0)</f>
        <v>62</v>
      </c>
      <c r="R553" s="161">
        <f t="shared" ref="R553" si="1649">ROUNDUP(((I553+I552)*0.5)*(B553-B552)/9,0)</f>
        <v>211</v>
      </c>
      <c r="S553" s="161">
        <f t="shared" ref="S553" si="1650">ROUNDUP(((J553+J552)*0.5)*(B553-B552)/9,0)</f>
        <v>211</v>
      </c>
      <c r="T553" s="161">
        <f t="shared" si="1597"/>
        <v>380</v>
      </c>
      <c r="V553" s="165"/>
      <c r="W553" s="161"/>
      <c r="X553" s="161"/>
      <c r="Y553" s="161"/>
      <c r="Z553" s="161"/>
      <c r="AA553" s="161"/>
      <c r="AB553" s="161"/>
      <c r="AC553" s="161"/>
      <c r="AD553" s="166"/>
      <c r="AE553" s="80" t="str">
        <f>A553</f>
        <v>back</v>
      </c>
      <c r="AF553" s="473">
        <f t="shared" ref="AF553" si="1651">B553</f>
        <v>38724.050000000003</v>
      </c>
      <c r="AG553" s="172">
        <v>553.1499</v>
      </c>
      <c r="AH553" s="172">
        <v>19.544899999999998</v>
      </c>
      <c r="AI553" s="172">
        <v>3.1928999999999998</v>
      </c>
      <c r="AJ553" s="172"/>
      <c r="AK553" s="172"/>
      <c r="AL553" s="172"/>
      <c r="AM553" s="172"/>
      <c r="AN553" s="172"/>
      <c r="AO553" s="172"/>
      <c r="AP553" s="172"/>
      <c r="AQ553" s="172"/>
      <c r="AR553" s="172"/>
      <c r="AS553" s="172"/>
      <c r="AT553" s="172"/>
      <c r="AU553" s="172"/>
      <c r="AV553" s="172"/>
      <c r="AW553" s="172"/>
      <c r="AX553" s="172">
        <v>109.5211</v>
      </c>
      <c r="AY553" s="172">
        <v>92.668599999999998</v>
      </c>
      <c r="AZ553" s="172">
        <v>40.744500000000002</v>
      </c>
      <c r="BA553" s="172">
        <v>2.3403999999999998</v>
      </c>
      <c r="BB553" s="172">
        <v>10.141400000000001</v>
      </c>
      <c r="BC553" s="172"/>
      <c r="BD553" s="172"/>
      <c r="BE553" s="172"/>
      <c r="BF553" s="172"/>
      <c r="BG553" s="172"/>
      <c r="BH553" s="172"/>
      <c r="BI553" s="172"/>
      <c r="BJ553" s="172"/>
      <c r="BK553" s="172"/>
      <c r="BL553" s="172"/>
      <c r="BM553" s="172"/>
      <c r="BN553" s="172">
        <v>0.95889999999999997</v>
      </c>
      <c r="BO553" s="172">
        <v>2.1432000000000002</v>
      </c>
      <c r="BP553" s="172">
        <v>33.289499999999997</v>
      </c>
      <c r="BQ553" s="172">
        <f t="shared" si="1637"/>
        <v>0.95889999999999997</v>
      </c>
      <c r="BR553" s="172">
        <f t="shared" si="1638"/>
        <v>2.1432000000000002</v>
      </c>
      <c r="BS553" s="172">
        <f>BP553</f>
        <v>33.289499999999997</v>
      </c>
      <c r="BT553" s="172">
        <v>2.2456</v>
      </c>
      <c r="BU553" s="172">
        <v>5.5039999999999996</v>
      </c>
      <c r="BV553" s="172">
        <v>40.719900000000003</v>
      </c>
      <c r="BW553" s="109">
        <f t="shared" si="1628"/>
        <v>2.2456</v>
      </c>
      <c r="BX553" s="109">
        <f t="shared" si="1636"/>
        <v>5.5039999999999996</v>
      </c>
      <c r="BY553" s="109">
        <f t="shared" ref="BY553:BY576" si="1652">BV553</f>
        <v>40.719900000000003</v>
      </c>
      <c r="BZ553" s="172"/>
      <c r="CA553" s="172">
        <v>66</v>
      </c>
      <c r="CB553" s="172">
        <v>35</v>
      </c>
      <c r="CC553" s="447">
        <f t="shared" si="1571"/>
        <v>38724.050000000003</v>
      </c>
      <c r="CD553" s="62" t="s">
        <v>53</v>
      </c>
    </row>
    <row r="554" spans="1:82" s="80" customFormat="1" x14ac:dyDescent="0.25">
      <c r="A554" s="116" t="s">
        <v>54</v>
      </c>
      <c r="B554" s="472"/>
      <c r="C554" s="82">
        <f t="shared" si="1475"/>
        <v>22.7378</v>
      </c>
      <c r="D554" s="82">
        <f t="shared" si="1604"/>
        <v>145.89489999999998</v>
      </c>
      <c r="E554" s="82">
        <f t="shared" si="1621"/>
        <v>0</v>
      </c>
      <c r="F554" s="82">
        <f t="shared" si="1605"/>
        <v>0</v>
      </c>
      <c r="G554" s="82">
        <f t="shared" si="1622"/>
        <v>35.432699999999997</v>
      </c>
      <c r="H554" s="82">
        <f t="shared" si="1623"/>
        <v>35.432699999999997</v>
      </c>
      <c r="I554" s="82">
        <f t="shared" si="1624"/>
        <v>46.2239</v>
      </c>
      <c r="J554" s="51">
        <f t="shared" si="1625"/>
        <v>46.2239</v>
      </c>
      <c r="K554" s="101">
        <f t="shared" si="1626"/>
        <v>35</v>
      </c>
      <c r="L554" s="107"/>
      <c r="M554" s="82"/>
      <c r="N554" s="82"/>
      <c r="O554" s="82"/>
      <c r="P554" s="82"/>
      <c r="Q554" s="82"/>
      <c r="R554" s="82"/>
      <c r="S554" s="82"/>
      <c r="T554" s="82"/>
      <c r="V554" s="141"/>
      <c r="W554" s="82"/>
      <c r="X554" s="82"/>
      <c r="Y554" s="82"/>
      <c r="Z554" s="82"/>
      <c r="AA554" s="82"/>
      <c r="AB554" s="82"/>
      <c r="AC554" s="82"/>
      <c r="AD554" s="142"/>
      <c r="AE554" s="80" t="str">
        <f>A554</f>
        <v>ahead</v>
      </c>
      <c r="AF554" s="472"/>
      <c r="AG554" s="109"/>
      <c r="AH554" s="109">
        <v>19.544899999999998</v>
      </c>
      <c r="AI554" s="109">
        <v>3.1928999999999998</v>
      </c>
      <c r="AJ554" s="109"/>
      <c r="AK554" s="109"/>
      <c r="AL554" s="109"/>
      <c r="AM554" s="109"/>
      <c r="AN554" s="109"/>
      <c r="AO554" s="109"/>
      <c r="AP554" s="109"/>
      <c r="AQ554" s="109"/>
      <c r="AR554" s="109"/>
      <c r="AS554" s="109"/>
      <c r="AT554" s="109"/>
      <c r="AU554" s="109"/>
      <c r="AV554" s="109"/>
      <c r="AW554" s="109"/>
      <c r="AX554" s="109"/>
      <c r="AY554" s="109">
        <v>92.668599999999998</v>
      </c>
      <c r="AZ554" s="109">
        <v>40.744500000000002</v>
      </c>
      <c r="BA554" s="109">
        <v>2.3403999999999998</v>
      </c>
      <c r="BB554" s="109">
        <v>10.141400000000001</v>
      </c>
      <c r="BC554" s="109"/>
      <c r="BD554" s="109"/>
      <c r="BE554" s="109"/>
      <c r="BF554" s="109"/>
      <c r="BG554" s="109"/>
      <c r="BH554" s="109"/>
      <c r="BI554" s="109"/>
      <c r="BJ554" s="109"/>
      <c r="BK554" s="109"/>
      <c r="BL554" s="109"/>
      <c r="BM554" s="109"/>
      <c r="BN554" s="109"/>
      <c r="BO554" s="109">
        <v>2.1432000000000002</v>
      </c>
      <c r="BP554" s="109">
        <v>33.289499999999997</v>
      </c>
      <c r="BQ554" s="109"/>
      <c r="BR554" s="109">
        <f t="shared" ref="BR554:BR555" si="1653">BO554</f>
        <v>2.1432000000000002</v>
      </c>
      <c r="BS554" s="109">
        <f>BP554</f>
        <v>33.289499999999997</v>
      </c>
      <c r="BT554" s="172"/>
      <c r="BU554" s="172">
        <v>5.5039999999999996</v>
      </c>
      <c r="BV554" s="172">
        <v>40.719900000000003</v>
      </c>
      <c r="BW554" s="109"/>
      <c r="BX554" s="109">
        <f t="shared" si="1636"/>
        <v>5.5039999999999996</v>
      </c>
      <c r="BY554" s="109">
        <f t="shared" si="1652"/>
        <v>40.719900000000003</v>
      </c>
      <c r="BZ554" s="109"/>
      <c r="CA554" s="172"/>
      <c r="CB554" s="172">
        <v>35</v>
      </c>
      <c r="CC554" s="447"/>
      <c r="CD554" s="62" t="s">
        <v>54</v>
      </c>
    </row>
    <row r="555" spans="1:82" x14ac:dyDescent="0.25">
      <c r="A555" s="65"/>
      <c r="B555" s="57">
        <v>38750</v>
      </c>
      <c r="C555" s="58">
        <f t="shared" si="1475"/>
        <v>19.055300000000003</v>
      </c>
      <c r="D555" s="58">
        <f t="shared" si="1604"/>
        <v>292.82330000000002</v>
      </c>
      <c r="E555" s="58">
        <f t="shared" si="1621"/>
        <v>0</v>
      </c>
      <c r="F555" s="58">
        <f t="shared" si="1605"/>
        <v>0</v>
      </c>
      <c r="G555" s="58">
        <f t="shared" si="1622"/>
        <v>35.7515</v>
      </c>
      <c r="H555" s="58">
        <f t="shared" si="1623"/>
        <v>35.7515</v>
      </c>
      <c r="I555" s="58">
        <f t="shared" si="1624"/>
        <v>41.0608</v>
      </c>
      <c r="J555" s="51">
        <f t="shared" si="1625"/>
        <v>41.0608</v>
      </c>
      <c r="K555" s="99">
        <f t="shared" si="1626"/>
        <v>68.239999999999995</v>
      </c>
      <c r="L555" s="105">
        <f>ROUNDUP(((C554+C555)*0.5)*(B555-B553)/27,0)</f>
        <v>21</v>
      </c>
      <c r="M555" s="58">
        <f>ROUNDUP(((D554+D555)*0.5)*(B555-B553)/27,0)</f>
        <v>211</v>
      </c>
      <c r="N555" s="58"/>
      <c r="O555" s="58">
        <f>ROUNDUP(((F554+F555)*0.5)*(B555-B553)/27,0)</f>
        <v>0</v>
      </c>
      <c r="P555" s="58">
        <f>ROUNDUP(((G555+G554)*0.5)*(B555-B553)/27,0)</f>
        <v>35</v>
      </c>
      <c r="Q555" s="58">
        <f>ROUNDUP(((H555+H554)*0.5)*(B555-B553)/27,0)</f>
        <v>35</v>
      </c>
      <c r="R555" s="58">
        <f>ROUNDUP(((I555+I554)*0.5)*(B555-B553)/9,0)</f>
        <v>126</v>
      </c>
      <c r="S555" s="58">
        <f>ROUNDUP(((J555+J554)*0.5)*(B555-B553)/9,0)</f>
        <v>126</v>
      </c>
      <c r="T555" s="58">
        <f>ROUNDUP(((K555+K554)*0.5)*(B555-B553)/9,0)</f>
        <v>149</v>
      </c>
      <c r="V555" s="137"/>
      <c r="W555" s="58"/>
      <c r="X555" s="58"/>
      <c r="Y555" s="58"/>
      <c r="Z555" s="58"/>
      <c r="AA555" s="58"/>
      <c r="AB555" s="58"/>
      <c r="AC555" s="58"/>
      <c r="AD555" s="138"/>
      <c r="AF555" s="57">
        <f t="shared" si="1613"/>
        <v>38750</v>
      </c>
      <c r="AG555" s="49">
        <v>16.825800000000001</v>
      </c>
      <c r="AH555" s="49">
        <v>2.2294999999999998</v>
      </c>
      <c r="AI555" s="49"/>
      <c r="AJ555" s="49"/>
      <c r="AK555" s="49"/>
      <c r="AL555" s="49"/>
      <c r="AM555" s="49"/>
      <c r="AN555" s="49"/>
      <c r="AO555" s="49"/>
      <c r="AP555" s="49"/>
      <c r="AQ555" s="49"/>
      <c r="AR555" s="49"/>
      <c r="AS555" s="49"/>
      <c r="AT555" s="49"/>
      <c r="AU555" s="49"/>
      <c r="AV555" s="49"/>
      <c r="AW555" s="49"/>
      <c r="AX555" s="49">
        <v>253.92590000000001</v>
      </c>
      <c r="AY555" s="49">
        <v>28.0823</v>
      </c>
      <c r="AZ555" s="49">
        <v>3.2231999999999998</v>
      </c>
      <c r="BA555" s="49">
        <v>7.5918999999999999</v>
      </c>
      <c r="BB555" s="49"/>
      <c r="BC555" s="49"/>
      <c r="BD555" s="49"/>
      <c r="BE555" s="49"/>
      <c r="BF555" s="49"/>
      <c r="BG555" s="49"/>
      <c r="BH555" s="49"/>
      <c r="BI555" s="49"/>
      <c r="BJ555" s="49"/>
      <c r="BK555" s="49"/>
      <c r="BL555" s="49"/>
      <c r="BM555" s="49"/>
      <c r="BN555" s="49"/>
      <c r="BO555" s="49">
        <v>35.7515</v>
      </c>
      <c r="BP555" s="49"/>
      <c r="BQ555" s="49">
        <f t="shared" ref="BQ555:BQ561" si="1654">BN555</f>
        <v>0</v>
      </c>
      <c r="BR555" s="49">
        <f t="shared" si="1653"/>
        <v>35.7515</v>
      </c>
      <c r="BS555" s="49"/>
      <c r="BT555" s="49"/>
      <c r="BU555" s="49">
        <v>41.0608</v>
      </c>
      <c r="BV555" s="49"/>
      <c r="BW555" s="49">
        <f t="shared" si="1628"/>
        <v>0</v>
      </c>
      <c r="BX555" s="49">
        <f t="shared" si="1636"/>
        <v>41.0608</v>
      </c>
      <c r="BY555" s="49"/>
      <c r="BZ555" s="49"/>
      <c r="CA555" s="49"/>
      <c r="CB555" s="49">
        <v>68.239999999999995</v>
      </c>
      <c r="CC555" s="231">
        <f t="shared" ref="CC555:CC560" si="1655">B555</f>
        <v>38750</v>
      </c>
    </row>
    <row r="556" spans="1:82" s="3" customFormat="1" ht="15.75" thickBot="1" x14ac:dyDescent="0.3">
      <c r="A556" s="204"/>
      <c r="B556" s="158">
        <v>38800</v>
      </c>
      <c r="C556" s="144">
        <f t="shared" si="1475"/>
        <v>21.839400000000001</v>
      </c>
      <c r="D556" s="144">
        <f t="shared" si="1604"/>
        <v>293.77379999999999</v>
      </c>
      <c r="E556" s="144">
        <f t="shared" si="1621"/>
        <v>0</v>
      </c>
      <c r="F556" s="144">
        <f t="shared" si="1605"/>
        <v>0</v>
      </c>
      <c r="G556" s="144">
        <f t="shared" si="1622"/>
        <v>39.811300000000003</v>
      </c>
      <c r="H556" s="144">
        <f t="shared" si="1623"/>
        <v>39.811300000000003</v>
      </c>
      <c r="I556" s="144">
        <f t="shared" si="1624"/>
        <v>41.0608</v>
      </c>
      <c r="J556" s="159">
        <f t="shared" si="1625"/>
        <v>41.0608</v>
      </c>
      <c r="K556" s="160">
        <f t="shared" si="1626"/>
        <v>84.18</v>
      </c>
      <c r="L556" s="152">
        <f t="shared" si="1494"/>
        <v>38</v>
      </c>
      <c r="M556" s="144">
        <f t="shared" si="1495"/>
        <v>544</v>
      </c>
      <c r="N556" s="144"/>
      <c r="O556" s="144">
        <f t="shared" ref="O556:O560" si="1656">ROUNDUP(((F555+F556)*0.5)*(B556-B555)/27,0)</f>
        <v>0</v>
      </c>
      <c r="P556" s="144">
        <f t="shared" si="1497"/>
        <v>70</v>
      </c>
      <c r="Q556" s="144">
        <f t="shared" si="1498"/>
        <v>70</v>
      </c>
      <c r="R556" s="144">
        <f t="shared" si="1499"/>
        <v>229</v>
      </c>
      <c r="S556" s="144">
        <f t="shared" si="1500"/>
        <v>229</v>
      </c>
      <c r="T556" s="144">
        <f t="shared" si="1597"/>
        <v>424</v>
      </c>
      <c r="V556" s="150">
        <f>L553+L554+L555+L556</f>
        <v>644</v>
      </c>
      <c r="W556" s="150">
        <f t="shared" ref="W556" si="1657">M553+M554+M555+M556</f>
        <v>904</v>
      </c>
      <c r="X556" s="150"/>
      <c r="Y556" s="150">
        <f t="shared" ref="Y556:AD556" si="1658">O553+O554+O555+O556</f>
        <v>0</v>
      </c>
      <c r="Z556" s="150">
        <f t="shared" si="1658"/>
        <v>167</v>
      </c>
      <c r="AA556" s="150">
        <f t="shared" si="1658"/>
        <v>167</v>
      </c>
      <c r="AB556" s="150">
        <f t="shared" si="1658"/>
        <v>566</v>
      </c>
      <c r="AC556" s="150">
        <f t="shared" si="1658"/>
        <v>566</v>
      </c>
      <c r="AD556" s="150">
        <f t="shared" si="1658"/>
        <v>953</v>
      </c>
      <c r="AF556" s="158">
        <f t="shared" si="1613"/>
        <v>38800</v>
      </c>
      <c r="AG556" s="149">
        <v>4.6456</v>
      </c>
      <c r="AH556" s="149">
        <v>14.216799999999999</v>
      </c>
      <c r="AI556" s="149">
        <v>2.9769999999999999</v>
      </c>
      <c r="AJ556" s="149"/>
      <c r="AK556" s="149"/>
      <c r="AL556" s="149"/>
      <c r="AM556" s="149"/>
      <c r="AN556" s="149"/>
      <c r="AO556" s="149"/>
      <c r="AP556" s="149"/>
      <c r="AQ556" s="149"/>
      <c r="AR556" s="149"/>
      <c r="AS556" s="149"/>
      <c r="AT556" s="149"/>
      <c r="AU556" s="149"/>
      <c r="AV556" s="149"/>
      <c r="AW556" s="149"/>
      <c r="AX556" s="149">
        <v>268.10120000000001</v>
      </c>
      <c r="AY556" s="149">
        <v>18.811399999999999</v>
      </c>
      <c r="AZ556" s="149">
        <v>3.3984999999999999</v>
      </c>
      <c r="BA556" s="149">
        <v>3.4626999999999999</v>
      </c>
      <c r="BB556" s="149"/>
      <c r="BC556" s="149"/>
      <c r="BD556" s="149"/>
      <c r="BE556" s="149"/>
      <c r="BF556" s="149"/>
      <c r="BG556" s="149"/>
      <c r="BH556" s="149"/>
      <c r="BI556" s="149"/>
      <c r="BJ556" s="149"/>
      <c r="BK556" s="149"/>
      <c r="BL556" s="149"/>
      <c r="BM556" s="149"/>
      <c r="BN556" s="149">
        <v>39.811300000000003</v>
      </c>
      <c r="BO556" s="149"/>
      <c r="BP556" s="149"/>
      <c r="BQ556" s="149">
        <f t="shared" si="1654"/>
        <v>39.811300000000003</v>
      </c>
      <c r="BR556" s="149"/>
      <c r="BS556" s="149"/>
      <c r="BT556" s="149">
        <v>41.0608</v>
      </c>
      <c r="BU556" s="149"/>
      <c r="BV556" s="149"/>
      <c r="BW556" s="149">
        <f>BT556</f>
        <v>41.0608</v>
      </c>
      <c r="BX556" s="149"/>
      <c r="BY556" s="149"/>
      <c r="BZ556" s="149"/>
      <c r="CA556" s="149"/>
      <c r="CB556" s="149">
        <v>84.18</v>
      </c>
      <c r="CC556" s="231">
        <f t="shared" si="1655"/>
        <v>38800</v>
      </c>
    </row>
    <row r="557" spans="1:82" x14ac:dyDescent="0.25">
      <c r="A557" s="65"/>
      <c r="B557" s="155">
        <v>38850</v>
      </c>
      <c r="C557" s="147">
        <f t="shared" si="1475"/>
        <v>20.0716</v>
      </c>
      <c r="D557" s="147">
        <f t="shared" si="1604"/>
        <v>134.0608</v>
      </c>
      <c r="E557" s="147">
        <f t="shared" si="1621"/>
        <v>0</v>
      </c>
      <c r="F557" s="147">
        <f t="shared" si="1605"/>
        <v>0</v>
      </c>
      <c r="G557" s="147">
        <f t="shared" si="1622"/>
        <v>48.106100000000005</v>
      </c>
      <c r="H557" s="147">
        <f t="shared" si="1623"/>
        <v>48.106100000000005</v>
      </c>
      <c r="I557" s="147">
        <f t="shared" si="1624"/>
        <v>52.8018</v>
      </c>
      <c r="J557" s="156">
        <f t="shared" si="1625"/>
        <v>52.8018</v>
      </c>
      <c r="K557" s="157">
        <f t="shared" si="1626"/>
        <v>81.53</v>
      </c>
      <c r="L557" s="151">
        <f t="shared" si="1494"/>
        <v>39</v>
      </c>
      <c r="M557" s="147">
        <f t="shared" si="1495"/>
        <v>397</v>
      </c>
      <c r="N557" s="147"/>
      <c r="O557" s="147">
        <f t="shared" si="1656"/>
        <v>0</v>
      </c>
      <c r="P557" s="147">
        <f t="shared" si="1497"/>
        <v>82</v>
      </c>
      <c r="Q557" s="147">
        <f t="shared" si="1498"/>
        <v>82</v>
      </c>
      <c r="R557" s="147">
        <f t="shared" si="1499"/>
        <v>261</v>
      </c>
      <c r="S557" s="147">
        <f t="shared" si="1500"/>
        <v>261</v>
      </c>
      <c r="T557" s="147">
        <f t="shared" si="1597"/>
        <v>461</v>
      </c>
      <c r="V557" s="146"/>
      <c r="W557" s="147"/>
      <c r="X557" s="147"/>
      <c r="Y557" s="147"/>
      <c r="Z557" s="147"/>
      <c r="AA557" s="147"/>
      <c r="AB557" s="147"/>
      <c r="AC557" s="147"/>
      <c r="AD557" s="148"/>
      <c r="AF557" s="155">
        <f t="shared" si="1613"/>
        <v>38850</v>
      </c>
      <c r="AG557" s="78">
        <v>0.20730000000000001</v>
      </c>
      <c r="AH557" s="78">
        <v>14.148199999999999</v>
      </c>
      <c r="AI557" s="78">
        <v>5.7161</v>
      </c>
      <c r="AJ557" s="78"/>
      <c r="AK557" s="78"/>
      <c r="AL557" s="78"/>
      <c r="AM557" s="78"/>
      <c r="AN557" s="78"/>
      <c r="AO557" s="78"/>
      <c r="AP557" s="78"/>
      <c r="AQ557" s="78"/>
      <c r="AR557" s="78"/>
      <c r="AS557" s="78"/>
      <c r="AT557" s="78"/>
      <c r="AU557" s="78"/>
      <c r="AV557" s="78"/>
      <c r="AW557" s="78"/>
      <c r="AX557" s="78">
        <v>114.47620000000001</v>
      </c>
      <c r="AY557" s="78">
        <v>14.0245</v>
      </c>
      <c r="AZ557" s="78">
        <v>3.2966000000000002</v>
      </c>
      <c r="BA557" s="78">
        <v>2.2635000000000001</v>
      </c>
      <c r="BB557" s="78"/>
      <c r="BC557" s="78"/>
      <c r="BD557" s="78"/>
      <c r="BE557" s="78"/>
      <c r="BF557" s="78"/>
      <c r="BG557" s="78"/>
      <c r="BH557" s="78"/>
      <c r="BI557" s="78"/>
      <c r="BJ557" s="78"/>
      <c r="BK557" s="78"/>
      <c r="BL557" s="78"/>
      <c r="BM557" s="78"/>
      <c r="BN557" s="78">
        <v>6.8392999999999997</v>
      </c>
      <c r="BO557" s="78">
        <v>41.266800000000003</v>
      </c>
      <c r="BP557" s="78"/>
      <c r="BQ557" s="78">
        <f t="shared" si="1654"/>
        <v>6.8392999999999997</v>
      </c>
      <c r="BR557" s="78">
        <f t="shared" ref="BR557" si="1659">BO557</f>
        <v>41.266800000000003</v>
      </c>
      <c r="BS557" s="78"/>
      <c r="BT557" s="78">
        <v>11.741</v>
      </c>
      <c r="BU557" s="78">
        <v>41.0608</v>
      </c>
      <c r="BV557" s="78"/>
      <c r="BW557" s="49">
        <f t="shared" si="1628"/>
        <v>11.741</v>
      </c>
      <c r="BX557" s="49">
        <f t="shared" si="1636"/>
        <v>41.0608</v>
      </c>
      <c r="BY557" s="49"/>
      <c r="BZ557" s="78"/>
      <c r="CA557" s="78"/>
      <c r="CB557" s="78">
        <v>81.53</v>
      </c>
      <c r="CC557" s="231">
        <f t="shared" si="1655"/>
        <v>38850</v>
      </c>
    </row>
    <row r="558" spans="1:82" x14ac:dyDescent="0.25">
      <c r="A558" s="65"/>
      <c r="B558" s="57">
        <v>38900</v>
      </c>
      <c r="C558" s="58">
        <f t="shared" si="1475"/>
        <v>23.126100000000001</v>
      </c>
      <c r="D558" s="58">
        <f t="shared" si="1604"/>
        <v>212.46890000000002</v>
      </c>
      <c r="E558" s="58">
        <f t="shared" si="1621"/>
        <v>0</v>
      </c>
      <c r="F558" s="58">
        <f t="shared" si="1605"/>
        <v>0</v>
      </c>
      <c r="G558" s="58">
        <f t="shared" si="1622"/>
        <v>41.771799999999999</v>
      </c>
      <c r="H558" s="58">
        <f t="shared" si="1623"/>
        <v>41.771799999999999</v>
      </c>
      <c r="I558" s="58">
        <f t="shared" si="1624"/>
        <v>41.060699999999997</v>
      </c>
      <c r="J558" s="51">
        <f t="shared" si="1625"/>
        <v>41.060699999999997</v>
      </c>
      <c r="K558" s="99">
        <f t="shared" si="1626"/>
        <v>76.400000000000006</v>
      </c>
      <c r="L558" s="105">
        <f t="shared" si="1494"/>
        <v>40</v>
      </c>
      <c r="M558" s="58">
        <f t="shared" si="1495"/>
        <v>321</v>
      </c>
      <c r="N558" s="58"/>
      <c r="O558" s="58">
        <f t="shared" si="1656"/>
        <v>0</v>
      </c>
      <c r="P558" s="58">
        <f t="shared" si="1497"/>
        <v>84</v>
      </c>
      <c r="Q558" s="58">
        <f t="shared" si="1498"/>
        <v>84</v>
      </c>
      <c r="R558" s="58">
        <f t="shared" si="1499"/>
        <v>261</v>
      </c>
      <c r="S558" s="58">
        <f t="shared" si="1500"/>
        <v>261</v>
      </c>
      <c r="T558" s="58">
        <f t="shared" si="1597"/>
        <v>439</v>
      </c>
      <c r="V558" s="137"/>
      <c r="W558" s="58"/>
      <c r="X558" s="58"/>
      <c r="Y558" s="58"/>
      <c r="Z558" s="58"/>
      <c r="AA558" s="58"/>
      <c r="AB558" s="58"/>
      <c r="AC558" s="58"/>
      <c r="AD558" s="138"/>
      <c r="AF558" s="57">
        <f t="shared" si="1613"/>
        <v>38900</v>
      </c>
      <c r="AG558" s="49">
        <v>2.2033</v>
      </c>
      <c r="AH558" s="49">
        <v>13.64</v>
      </c>
      <c r="AI558" s="49">
        <v>7.2827999999999999</v>
      </c>
      <c r="AJ558" s="49"/>
      <c r="AK558" s="49"/>
      <c r="AL558" s="49"/>
      <c r="AM558" s="49"/>
      <c r="AN558" s="49"/>
      <c r="AO558" s="49"/>
      <c r="AP558" s="49"/>
      <c r="AQ558" s="49"/>
      <c r="AR558" s="49"/>
      <c r="AS558" s="49"/>
      <c r="AT558" s="49"/>
      <c r="AU558" s="49"/>
      <c r="AV558" s="49"/>
      <c r="AW558" s="49"/>
      <c r="AX558" s="49">
        <v>200.51230000000001</v>
      </c>
      <c r="AY558" s="49">
        <v>6.1784999999999997</v>
      </c>
      <c r="AZ558" s="49">
        <v>3.4643000000000002</v>
      </c>
      <c r="BA558" s="49">
        <v>2.3138000000000001</v>
      </c>
      <c r="BB558" s="49"/>
      <c r="BC558" s="49"/>
      <c r="BD558" s="49"/>
      <c r="BE558" s="49"/>
      <c r="BF558" s="49"/>
      <c r="BG558" s="49"/>
      <c r="BH558" s="49"/>
      <c r="BI558" s="49"/>
      <c r="BJ558" s="49"/>
      <c r="BK558" s="49"/>
      <c r="BL558" s="49"/>
      <c r="BM558" s="49"/>
      <c r="BN558" s="49">
        <v>41.771799999999999</v>
      </c>
      <c r="BO558" s="49"/>
      <c r="BP558" s="49"/>
      <c r="BQ558" s="49">
        <f t="shared" si="1654"/>
        <v>41.771799999999999</v>
      </c>
      <c r="BR558" s="49"/>
      <c r="BS558" s="49"/>
      <c r="BT558" s="49">
        <v>41.060699999999997</v>
      </c>
      <c r="BU558" s="49"/>
      <c r="BV558" s="49"/>
      <c r="BW558" s="49">
        <f t="shared" si="1628"/>
        <v>41.060699999999997</v>
      </c>
      <c r="BX558" s="49"/>
      <c r="BY558" s="49"/>
      <c r="BZ558" s="49"/>
      <c r="CA558" s="49"/>
      <c r="CB558" s="49">
        <v>76.400000000000006</v>
      </c>
      <c r="CC558" s="231">
        <f t="shared" si="1655"/>
        <v>38900</v>
      </c>
    </row>
    <row r="559" spans="1:82" x14ac:dyDescent="0.25">
      <c r="A559" s="65"/>
      <c r="B559" s="227">
        <v>38950</v>
      </c>
      <c r="C559" s="223">
        <f t="shared" si="1475"/>
        <v>45.058499999999995</v>
      </c>
      <c r="D559" s="223">
        <f t="shared" si="1604"/>
        <v>218.38419999999999</v>
      </c>
      <c r="E559" s="223">
        <f t="shared" si="1621"/>
        <v>0</v>
      </c>
      <c r="F559" s="223">
        <f t="shared" si="1605"/>
        <v>0</v>
      </c>
      <c r="G559" s="223">
        <f t="shared" si="1622"/>
        <v>41.917400000000001</v>
      </c>
      <c r="H559" s="223">
        <f t="shared" si="1623"/>
        <v>41.917400000000001</v>
      </c>
      <c r="I559" s="223">
        <f t="shared" si="1624"/>
        <v>41.060699999999997</v>
      </c>
      <c r="J559" s="224">
        <f t="shared" si="1625"/>
        <v>41.060699999999997</v>
      </c>
      <c r="K559" s="309">
        <f t="shared" si="1626"/>
        <v>74.7</v>
      </c>
      <c r="L559" s="225">
        <f t="shared" si="1494"/>
        <v>64</v>
      </c>
      <c r="M559" s="223">
        <f t="shared" si="1495"/>
        <v>399</v>
      </c>
      <c r="N559" s="223"/>
      <c r="O559" s="223">
        <f t="shared" si="1656"/>
        <v>0</v>
      </c>
      <c r="P559" s="223">
        <f t="shared" si="1497"/>
        <v>78</v>
      </c>
      <c r="Q559" s="223">
        <f t="shared" si="1498"/>
        <v>78</v>
      </c>
      <c r="R559" s="223">
        <f t="shared" si="1499"/>
        <v>229</v>
      </c>
      <c r="S559" s="223">
        <f t="shared" si="1500"/>
        <v>229</v>
      </c>
      <c r="T559" s="223">
        <f t="shared" si="1597"/>
        <v>420</v>
      </c>
      <c r="V559"/>
      <c r="W559" s="310"/>
      <c r="X559" s="310"/>
      <c r="Y559" s="310"/>
      <c r="Z559" s="310"/>
      <c r="AA559" s="310"/>
      <c r="AB559" s="310"/>
      <c r="AC559" s="310"/>
      <c r="AD559" s="310"/>
      <c r="AF559" s="227">
        <f t="shared" si="1613"/>
        <v>38950</v>
      </c>
      <c r="AG559" s="423">
        <v>22.823599999999999</v>
      </c>
      <c r="AH559" s="423">
        <v>13.055</v>
      </c>
      <c r="AI559" s="423">
        <v>9.1798999999999999</v>
      </c>
      <c r="AJ559" s="423"/>
      <c r="AK559" s="423"/>
      <c r="AL559" s="423"/>
      <c r="AM559" s="423"/>
      <c r="AN559" s="423"/>
      <c r="AO559" s="423"/>
      <c r="AP559" s="423"/>
      <c r="AQ559" s="423"/>
      <c r="AR559" s="423"/>
      <c r="AS559" s="423"/>
      <c r="AT559" s="423"/>
      <c r="AU559" s="423"/>
      <c r="AV559" s="423"/>
      <c r="AW559" s="423"/>
      <c r="AX559" s="423">
        <v>206.95009999999999</v>
      </c>
      <c r="AY559" s="423">
        <v>5.3327999999999998</v>
      </c>
      <c r="AZ559" s="423">
        <v>3.7747999999999999</v>
      </c>
      <c r="BA559" s="423">
        <v>2.3264999999999998</v>
      </c>
      <c r="BB559" s="423"/>
      <c r="BC559" s="423"/>
      <c r="BD559" s="423"/>
      <c r="BE559" s="423"/>
      <c r="BF559" s="423"/>
      <c r="BG559" s="423"/>
      <c r="BH559" s="423"/>
      <c r="BI559" s="423"/>
      <c r="BJ559" s="423"/>
      <c r="BK559" s="423"/>
      <c r="BL559" s="423"/>
      <c r="BM559" s="423"/>
      <c r="BN559" s="423">
        <v>41.917400000000001</v>
      </c>
      <c r="BO559" s="423"/>
      <c r="BP559" s="423"/>
      <c r="BQ559" s="423">
        <f t="shared" si="1654"/>
        <v>41.917400000000001</v>
      </c>
      <c r="BR559" s="423"/>
      <c r="BS559" s="423"/>
      <c r="BT559" s="423">
        <v>41.060699999999997</v>
      </c>
      <c r="BU559" s="423"/>
      <c r="BV559" s="423"/>
      <c r="BW559" s="423">
        <f>BT559</f>
        <v>41.060699999999997</v>
      </c>
      <c r="BX559" s="423"/>
      <c r="BY559" s="423"/>
      <c r="BZ559" s="423"/>
      <c r="CA559" s="423"/>
      <c r="CB559" s="423">
        <v>74.7</v>
      </c>
      <c r="CC559" s="231">
        <f t="shared" si="1655"/>
        <v>38950</v>
      </c>
    </row>
    <row r="560" spans="1:82" s="425" customFormat="1" x14ac:dyDescent="0.25">
      <c r="A560" s="424" t="s">
        <v>53</v>
      </c>
      <c r="B560" s="473">
        <v>38989.910000000003</v>
      </c>
      <c r="C560" s="82">
        <f t="shared" si="1475"/>
        <v>76.215800000000002</v>
      </c>
      <c r="D560" s="82">
        <f t="shared" si="1604"/>
        <v>209.2732</v>
      </c>
      <c r="E560" s="82">
        <f t="shared" si="1621"/>
        <v>0</v>
      </c>
      <c r="F560" s="82">
        <f t="shared" si="1605"/>
        <v>0</v>
      </c>
      <c r="G560" s="82">
        <f t="shared" si="1622"/>
        <v>45.952599999999997</v>
      </c>
      <c r="H560" s="82">
        <f t="shared" si="1623"/>
        <v>45.952599999999997</v>
      </c>
      <c r="I560" s="82">
        <f t="shared" si="1624"/>
        <v>47.734299999999998</v>
      </c>
      <c r="J560" s="51">
        <f t="shared" si="1625"/>
        <v>47.734299999999998</v>
      </c>
      <c r="K560" s="101">
        <f t="shared" si="1626"/>
        <v>60</v>
      </c>
      <c r="L560" s="106">
        <f t="shared" ref="L560" si="1660">ROUNDUP(((C559+C560)*0.5)*(B560-B559)/27,0)</f>
        <v>90</v>
      </c>
      <c r="M560" s="59">
        <f t="shared" ref="M560" si="1661">ROUNDUP(((D559+D560)*0.5)*(B560-B559)/27,0)</f>
        <v>317</v>
      </c>
      <c r="N560" s="59"/>
      <c r="O560" s="59">
        <f t="shared" si="1656"/>
        <v>0</v>
      </c>
      <c r="P560" s="59">
        <f t="shared" ref="P560" si="1662">ROUNDUP(((G560+G559)*0.5)*(B560-B559)/27,0)</f>
        <v>65</v>
      </c>
      <c r="Q560" s="59">
        <f t="shared" ref="Q560" si="1663">ROUNDUP(((H560+H559)*0.5)*(B560-B559)/27,0)</f>
        <v>65</v>
      </c>
      <c r="R560" s="59">
        <f t="shared" ref="R560" si="1664">ROUNDUP(((I560+I559)*0.5)*(B560-B559)/9,0)</f>
        <v>197</v>
      </c>
      <c r="S560" s="59">
        <f t="shared" ref="S560" si="1665">ROUNDUP(((J560+J559)*0.5)*(B560-B559)/9,0)</f>
        <v>197</v>
      </c>
      <c r="T560" s="59">
        <f t="shared" si="1597"/>
        <v>299</v>
      </c>
      <c r="V560" s="139"/>
      <c r="W560" s="59"/>
      <c r="X560" s="59"/>
      <c r="Y560" s="59"/>
      <c r="Z560" s="59"/>
      <c r="AA560" s="59"/>
      <c r="AB560" s="59"/>
      <c r="AC560" s="59"/>
      <c r="AD560" s="140"/>
      <c r="AE560" s="425" t="str">
        <f>A560</f>
        <v>back</v>
      </c>
      <c r="AF560" s="473">
        <f t="shared" ref="AF560" si="1666">B560</f>
        <v>38989.910000000003</v>
      </c>
      <c r="AG560" s="109">
        <v>52.450600000000001</v>
      </c>
      <c r="AH560" s="109">
        <v>13.4564</v>
      </c>
      <c r="AI560" s="109">
        <v>10.3088</v>
      </c>
      <c r="AJ560" s="109"/>
      <c r="AK560" s="109"/>
      <c r="AL560" s="109"/>
      <c r="AM560" s="109"/>
      <c r="AN560" s="109"/>
      <c r="AO560" s="109"/>
      <c r="AP560" s="109"/>
      <c r="AQ560" s="109"/>
      <c r="AR560" s="109"/>
      <c r="AS560" s="109"/>
      <c r="AT560" s="109"/>
      <c r="AU560" s="109"/>
      <c r="AV560" s="109"/>
      <c r="AW560" s="109"/>
      <c r="AX560" s="109">
        <v>200.5001</v>
      </c>
      <c r="AY560" s="109">
        <v>4.9428000000000001</v>
      </c>
      <c r="AZ560" s="109"/>
      <c r="BA560" s="109">
        <v>3.8302999999999998</v>
      </c>
      <c r="BB560" s="109"/>
      <c r="BC560" s="109"/>
      <c r="BD560" s="109"/>
      <c r="BE560" s="109"/>
      <c r="BF560" s="109"/>
      <c r="BG560" s="109"/>
      <c r="BH560" s="109"/>
      <c r="BI560" s="109"/>
      <c r="BJ560" s="109"/>
      <c r="BK560" s="109"/>
      <c r="BL560" s="109"/>
      <c r="BM560" s="109"/>
      <c r="BN560" s="109">
        <v>45.952599999999997</v>
      </c>
      <c r="BO560" s="109"/>
      <c r="BP560" s="109"/>
      <c r="BQ560" s="109">
        <f t="shared" si="1654"/>
        <v>45.952599999999997</v>
      </c>
      <c r="BR560" s="109"/>
      <c r="BS560" s="109"/>
      <c r="BT560" s="109">
        <v>47.734299999999998</v>
      </c>
      <c r="BU560" s="109"/>
      <c r="BV560" s="109"/>
      <c r="BW560" s="109">
        <f t="shared" si="1628"/>
        <v>47.734299999999998</v>
      </c>
      <c r="BX560" s="109"/>
      <c r="BY560" s="109"/>
      <c r="BZ560" s="109"/>
      <c r="CA560" s="109">
        <v>60</v>
      </c>
      <c r="CB560" s="109"/>
      <c r="CC560" s="495">
        <f t="shared" si="1655"/>
        <v>38989.910000000003</v>
      </c>
      <c r="CD560" s="426" t="s">
        <v>53</v>
      </c>
    </row>
    <row r="561" spans="1:82" s="323" customFormat="1" ht="15.75" thickBot="1" x14ac:dyDescent="0.3">
      <c r="A561" s="427" t="s">
        <v>54</v>
      </c>
      <c r="B561" s="494"/>
      <c r="C561" s="428">
        <f t="shared" si="1475"/>
        <v>76.215800000000002</v>
      </c>
      <c r="D561" s="428">
        <f t="shared" si="1604"/>
        <v>1214.9436000000001</v>
      </c>
      <c r="E561" s="428">
        <f t="shared" si="1621"/>
        <v>0</v>
      </c>
      <c r="F561" s="428">
        <f t="shared" si="1605"/>
        <v>0</v>
      </c>
      <c r="G561" s="428">
        <f t="shared" si="1622"/>
        <v>45.952599999999997</v>
      </c>
      <c r="H561" s="428">
        <f t="shared" si="1623"/>
        <v>45.952599999999997</v>
      </c>
      <c r="I561" s="428">
        <f t="shared" si="1624"/>
        <v>47.734299999999998</v>
      </c>
      <c r="J561" s="429">
        <f t="shared" si="1625"/>
        <v>47.734299999999998</v>
      </c>
      <c r="K561" s="430">
        <f t="shared" si="1626"/>
        <v>140</v>
      </c>
      <c r="L561" s="431"/>
      <c r="M561" s="428"/>
      <c r="N561" s="428"/>
      <c r="O561" s="428"/>
      <c r="P561" s="428"/>
      <c r="Q561" s="428"/>
      <c r="R561" s="428"/>
      <c r="S561" s="428"/>
      <c r="T561" s="428"/>
      <c r="V561" s="150">
        <f>L557+L558+L559+L560</f>
        <v>233</v>
      </c>
      <c r="W561" s="150">
        <f>M557+M558+M559+M560</f>
        <v>1434</v>
      </c>
      <c r="X561" s="150">
        <f t="shared" ref="X561:Y561" si="1667">N557+N558+N559+N560</f>
        <v>0</v>
      </c>
      <c r="Y561" s="150">
        <f t="shared" si="1667"/>
        <v>0</v>
      </c>
      <c r="Z561" s="150">
        <f>P557+P558+P559+P560</f>
        <v>309</v>
      </c>
      <c r="AA561" s="150">
        <f>Q557+Q558+Q559+Q560</f>
        <v>309</v>
      </c>
      <c r="AB561" s="150">
        <f>R557+R558+R559+R560</f>
        <v>948</v>
      </c>
      <c r="AC561" s="150">
        <f>S557+S558+S559+S560</f>
        <v>948</v>
      </c>
      <c r="AD561" s="150">
        <f>T557+T558+T559+T560</f>
        <v>1619</v>
      </c>
      <c r="AE561" s="323" t="str">
        <f>A561</f>
        <v>ahead</v>
      </c>
      <c r="AF561" s="494"/>
      <c r="AG561" s="432">
        <v>52.450600000000001</v>
      </c>
      <c r="AH561" s="432">
        <v>13.4564</v>
      </c>
      <c r="AI561" s="432">
        <v>10.3088</v>
      </c>
      <c r="AJ561" s="432"/>
      <c r="AK561" s="432"/>
      <c r="AL561" s="432"/>
      <c r="AM561" s="432"/>
      <c r="AN561" s="432"/>
      <c r="AO561" s="432"/>
      <c r="AP561" s="432"/>
      <c r="AQ561" s="432"/>
      <c r="AR561" s="432"/>
      <c r="AS561" s="432"/>
      <c r="AT561" s="432"/>
      <c r="AU561" s="432"/>
      <c r="AV561" s="432"/>
      <c r="AW561" s="432"/>
      <c r="AX561" s="432">
        <v>200.5001</v>
      </c>
      <c r="AY561" s="432">
        <v>4.9428000000000001</v>
      </c>
      <c r="AZ561" s="432">
        <v>1005.6704</v>
      </c>
      <c r="BA561" s="432">
        <v>3.8302999999999998</v>
      </c>
      <c r="BB561" s="432"/>
      <c r="BC561" s="432"/>
      <c r="BD561" s="432"/>
      <c r="BE561" s="432"/>
      <c r="BF561" s="432"/>
      <c r="BG561" s="432"/>
      <c r="BH561" s="432"/>
      <c r="BI561" s="432"/>
      <c r="BJ561" s="432"/>
      <c r="BK561" s="432"/>
      <c r="BL561" s="432"/>
      <c r="BM561" s="432"/>
      <c r="BN561" s="432">
        <v>45.952599999999997</v>
      </c>
      <c r="BO561" s="432"/>
      <c r="BP561" s="432"/>
      <c r="BQ561" s="432">
        <f t="shared" si="1654"/>
        <v>45.952599999999997</v>
      </c>
      <c r="BR561" s="432"/>
      <c r="BS561" s="432"/>
      <c r="BT561" s="433">
        <v>47.734299999999998</v>
      </c>
      <c r="BU561" s="432"/>
      <c r="BV561" s="432"/>
      <c r="BW561" s="432">
        <f t="shared" si="1628"/>
        <v>47.734299999999998</v>
      </c>
      <c r="BX561" s="432"/>
      <c r="BY561" s="432"/>
      <c r="BZ561" s="432"/>
      <c r="CA561" s="433">
        <v>60</v>
      </c>
      <c r="CB561" s="433">
        <v>80</v>
      </c>
      <c r="CC561" s="496"/>
      <c r="CD561" s="434" t="s">
        <v>54</v>
      </c>
    </row>
    <row r="562" spans="1:82" ht="15.75" thickTop="1" x14ac:dyDescent="0.25">
      <c r="A562" s="65"/>
      <c r="B562" s="155">
        <v>39000</v>
      </c>
      <c r="C562" s="147">
        <f t="shared" si="1475"/>
        <v>252.63459999999998</v>
      </c>
      <c r="D562" s="147">
        <f t="shared" ref="D562:D570" si="1668">AX562+AY562+AZ562+BA562+BB562+BC562+BD562+BE562+BF562+BG562</f>
        <v>1395.1545000000001</v>
      </c>
      <c r="E562" s="147">
        <f t="shared" si="1621"/>
        <v>0</v>
      </c>
      <c r="F562" s="147">
        <f t="shared" ref="F562:F570" si="1669">BK562+BL562+BM562</f>
        <v>0</v>
      </c>
      <c r="G562" s="147">
        <f t="shared" si="1622"/>
        <v>46.281999999999996</v>
      </c>
      <c r="H562" s="147">
        <f t="shared" si="1623"/>
        <v>46.281999999999996</v>
      </c>
      <c r="I562" s="147">
        <f t="shared" si="1624"/>
        <v>47.872399999999999</v>
      </c>
      <c r="J562" s="156">
        <f t="shared" si="1625"/>
        <v>47.872399999999999</v>
      </c>
      <c r="K562" s="157">
        <f t="shared" si="1626"/>
        <v>145.07</v>
      </c>
      <c r="L562" s="151">
        <f>ROUNDUP(((C561+C562)*0.5)*(B562-B560)/27,0)</f>
        <v>62</v>
      </c>
      <c r="M562" s="147">
        <f>ROUNDUP(((D561+D562)*0.5)*(B562-B560)/27,0)</f>
        <v>488</v>
      </c>
      <c r="N562" s="147"/>
      <c r="O562" s="147">
        <f>ROUNDUP(((F561+F562)*0.5)*(B562-B560)/27,0)</f>
        <v>0</v>
      </c>
      <c r="P562" s="147">
        <f>ROUNDUP(((G562+G561)*0.5)*(B562-B560)/27,0)</f>
        <v>18</v>
      </c>
      <c r="Q562" s="147">
        <f>ROUNDUP(((H562+H561)*0.5)*(B562-B560)/27,0)</f>
        <v>18</v>
      </c>
      <c r="R562" s="147">
        <f>ROUNDUP(((I562+I561)*0.5)*(B562-B560)/9,0)</f>
        <v>54</v>
      </c>
      <c r="S562" s="147">
        <f>ROUNDUP(((J562+J561)*0.5)*(B562-B560)/9,0)</f>
        <v>54</v>
      </c>
      <c r="T562" s="147">
        <f>ROUNDUP(((K562+K561)*0.5)*(B562-B560)/9,0)</f>
        <v>160</v>
      </c>
      <c r="V562" s="146"/>
      <c r="W562" s="147"/>
      <c r="X562" s="147"/>
      <c r="Y562" s="147"/>
      <c r="Z562" s="147"/>
      <c r="AA562" s="147"/>
      <c r="AB562" s="147"/>
      <c r="AC562" s="147"/>
      <c r="AD562" s="148"/>
      <c r="AF562" s="155">
        <f t="shared" si="1613"/>
        <v>39000</v>
      </c>
      <c r="AG562" s="78">
        <v>60.696199999999997</v>
      </c>
      <c r="AH562" s="78">
        <v>12.7193</v>
      </c>
      <c r="AI562" s="78">
        <v>10.0555</v>
      </c>
      <c r="AJ562" s="185">
        <v>109.17659999999999</v>
      </c>
      <c r="AK562" s="185">
        <v>59.987000000000002</v>
      </c>
      <c r="AL562" s="78"/>
      <c r="AM562" s="78"/>
      <c r="AN562" s="78"/>
      <c r="AO562" s="78"/>
      <c r="AP562" s="78"/>
      <c r="AQ562" s="78"/>
      <c r="AR562" s="78"/>
      <c r="AS562" s="78"/>
      <c r="AT562" s="78"/>
      <c r="AU562" s="78"/>
      <c r="AV562" s="78"/>
      <c r="AW562" s="78"/>
      <c r="AX562" s="78">
        <v>202.3218</v>
      </c>
      <c r="AY562" s="78">
        <v>1019.6319999999999</v>
      </c>
      <c r="AZ562" s="185">
        <v>109.17659999999999</v>
      </c>
      <c r="BA562" s="185">
        <v>59.987000000000002</v>
      </c>
      <c r="BB562" s="78">
        <v>4.0370999999999997</v>
      </c>
      <c r="BC562" s="78"/>
      <c r="BD562" s="78"/>
      <c r="BE562" s="78"/>
      <c r="BF562" s="78"/>
      <c r="BG562" s="78"/>
      <c r="BH562" s="78"/>
      <c r="BI562" s="78"/>
      <c r="BJ562" s="78"/>
      <c r="BK562" s="78"/>
      <c r="BL562" s="78"/>
      <c r="BM562" s="78"/>
      <c r="BN562" s="78"/>
      <c r="BO562" s="78">
        <v>46.281999999999996</v>
      </c>
      <c r="BP562" s="78"/>
      <c r="BQ562" s="78">
        <f t="shared" ref="BQ562:BQ576" si="1670">BN562</f>
        <v>0</v>
      </c>
      <c r="BR562" s="78">
        <f t="shared" ref="BR562:BR576" si="1671">BO562</f>
        <v>46.281999999999996</v>
      </c>
      <c r="BS562" s="78"/>
      <c r="BT562" s="78"/>
      <c r="BU562" s="78">
        <v>47.872399999999999</v>
      </c>
      <c r="BV562" s="78"/>
      <c r="BW562" s="78">
        <f t="shared" si="1628"/>
        <v>0</v>
      </c>
      <c r="BX562" s="78">
        <f t="shared" si="1636"/>
        <v>47.872399999999999</v>
      </c>
      <c r="BY562" s="78"/>
      <c r="BZ562" s="78"/>
      <c r="CA562" s="78"/>
      <c r="CB562" s="78">
        <v>145.07</v>
      </c>
      <c r="CC562" s="231">
        <f t="shared" ref="CC562:CC578" si="1672">B562</f>
        <v>39000</v>
      </c>
    </row>
    <row r="563" spans="1:82" x14ac:dyDescent="0.25">
      <c r="A563" s="65"/>
      <c r="B563" s="57">
        <v>39050</v>
      </c>
      <c r="C563" s="58">
        <f t="shared" si="1475"/>
        <v>284.03859999999997</v>
      </c>
      <c r="D563" s="58">
        <f t="shared" si="1668"/>
        <v>1373.1479999999999</v>
      </c>
      <c r="E563" s="58">
        <f t="shared" si="1621"/>
        <v>0</v>
      </c>
      <c r="F563" s="58">
        <f t="shared" si="1669"/>
        <v>0</v>
      </c>
      <c r="G563" s="58">
        <f t="shared" si="1622"/>
        <v>47.604900000000001</v>
      </c>
      <c r="H563" s="58">
        <f t="shared" si="1623"/>
        <v>47.604900000000001</v>
      </c>
      <c r="I563" s="58">
        <f t="shared" si="1624"/>
        <v>47.429600000000001</v>
      </c>
      <c r="J563" s="51">
        <f t="shared" si="1625"/>
        <v>47.429600000000001</v>
      </c>
      <c r="K563" s="99">
        <f t="shared" si="1626"/>
        <v>148.03</v>
      </c>
      <c r="L563" s="105">
        <f t="shared" ref="L563:L570" si="1673">ROUNDUP(((C562+C563)*0.5)*(B563-B562)/27,0)</f>
        <v>497</v>
      </c>
      <c r="M563" s="58">
        <f t="shared" ref="M563:M570" si="1674">ROUNDUP(((D562+D563)*0.5)*(B563-B562)/27,0)</f>
        <v>2564</v>
      </c>
      <c r="N563" s="58"/>
      <c r="O563" s="58">
        <f t="shared" ref="O563:O570" si="1675">ROUNDUP(((F562+F563)*0.5)*(B563-B562)/27,0)</f>
        <v>0</v>
      </c>
      <c r="P563" s="58">
        <f t="shared" ref="P563:P570" si="1676">ROUNDUP(((G563+G562)*0.5)*(B563-B562)/27,0)</f>
        <v>87</v>
      </c>
      <c r="Q563" s="58">
        <f t="shared" ref="Q563:Q570" si="1677">ROUNDUP(((H563+H562)*0.5)*(B563-B562)/27,0)</f>
        <v>87</v>
      </c>
      <c r="R563" s="58">
        <f t="shared" ref="R563:R570" si="1678">ROUNDUP(((I563+I562)*0.5)*(B563-B562)/9,0)</f>
        <v>265</v>
      </c>
      <c r="S563" s="58">
        <f t="shared" ref="S563:S570" si="1679">ROUNDUP(((J563+J562)*0.5)*(B563-B562)/9,0)</f>
        <v>265</v>
      </c>
      <c r="T563" s="58">
        <f t="shared" ref="T563:T578" si="1680">ROUNDUP(((K563+K562)*0.5)*(B563-B562)/9,0)</f>
        <v>815</v>
      </c>
      <c r="V563" s="137"/>
      <c r="W563" s="58"/>
      <c r="X563" s="58"/>
      <c r="Y563" s="58"/>
      <c r="Z563" s="58"/>
      <c r="AA563" s="58"/>
      <c r="AB563" s="58"/>
      <c r="AC563" s="58"/>
      <c r="AD563" s="138"/>
      <c r="AF563" s="57">
        <f t="shared" si="1613"/>
        <v>39050</v>
      </c>
      <c r="AG563" s="49">
        <v>102.4059</v>
      </c>
      <c r="AH563" s="49">
        <v>10.4071</v>
      </c>
      <c r="AI563" s="49">
        <v>12.6088</v>
      </c>
      <c r="AJ563" s="115">
        <v>88.962599999999995</v>
      </c>
      <c r="AK563" s="115">
        <v>69.654200000000003</v>
      </c>
      <c r="AL563" s="49"/>
      <c r="AM563" s="49"/>
      <c r="AN563" s="49"/>
      <c r="AO563" s="49"/>
      <c r="AP563" s="49"/>
      <c r="AQ563" s="49"/>
      <c r="AR563" s="49"/>
      <c r="AS563" s="49"/>
      <c r="AT563" s="49"/>
      <c r="AU563" s="49"/>
      <c r="AV563" s="49"/>
      <c r="AW563" s="49"/>
      <c r="AX563" s="115">
        <v>88.962599999999995</v>
      </c>
      <c r="AY563" s="115">
        <v>69.654200000000003</v>
      </c>
      <c r="AZ563" s="49">
        <v>223.9435</v>
      </c>
      <c r="BA563" s="49">
        <v>985.46510000000001</v>
      </c>
      <c r="BB563" s="49">
        <v>5.1226000000000003</v>
      </c>
      <c r="BC563" s="49"/>
      <c r="BD563" s="49"/>
      <c r="BE563" s="49"/>
      <c r="BF563" s="49"/>
      <c r="BG563" s="49"/>
      <c r="BH563" s="49"/>
      <c r="BI563" s="49"/>
      <c r="BJ563" s="49"/>
      <c r="BK563" s="49"/>
      <c r="BL563" s="49"/>
      <c r="BM563" s="49"/>
      <c r="BN563" s="49"/>
      <c r="BO563" s="49">
        <v>47.604900000000001</v>
      </c>
      <c r="BP563" s="49"/>
      <c r="BQ563" s="49">
        <f t="shared" si="1670"/>
        <v>0</v>
      </c>
      <c r="BR563" s="49">
        <f t="shared" si="1671"/>
        <v>47.604900000000001</v>
      </c>
      <c r="BS563" s="49"/>
      <c r="BT563" s="49"/>
      <c r="BU563" s="49">
        <v>47.429600000000001</v>
      </c>
      <c r="BV563" s="49"/>
      <c r="BW563" s="49">
        <f t="shared" si="1628"/>
        <v>0</v>
      </c>
      <c r="BX563" s="49">
        <f t="shared" si="1636"/>
        <v>47.429600000000001</v>
      </c>
      <c r="BY563" s="49"/>
      <c r="BZ563" s="49"/>
      <c r="CA563" s="49"/>
      <c r="CB563" s="49">
        <v>148.03</v>
      </c>
      <c r="CC563" s="231">
        <f t="shared" si="1672"/>
        <v>39050</v>
      </c>
    </row>
    <row r="564" spans="1:82" s="3" customFormat="1" ht="15.75" thickBot="1" x14ac:dyDescent="0.3">
      <c r="A564" s="204"/>
      <c r="B564" s="158">
        <v>39075</v>
      </c>
      <c r="C564" s="144">
        <f t="shared" si="1475"/>
        <v>320.87579999999997</v>
      </c>
      <c r="D564" s="144">
        <f t="shared" si="1668"/>
        <v>1372.7467999999999</v>
      </c>
      <c r="E564" s="144">
        <f t="shared" si="1621"/>
        <v>0</v>
      </c>
      <c r="F564" s="144">
        <f t="shared" si="1669"/>
        <v>0</v>
      </c>
      <c r="G564" s="144">
        <f t="shared" si="1622"/>
        <v>51.138099999999994</v>
      </c>
      <c r="H564" s="144">
        <f t="shared" si="1623"/>
        <v>51.138099999999994</v>
      </c>
      <c r="I564" s="144">
        <f t="shared" si="1624"/>
        <v>51.929700000000004</v>
      </c>
      <c r="J564" s="159">
        <f t="shared" si="1625"/>
        <v>51.929700000000004</v>
      </c>
      <c r="K564" s="160">
        <f t="shared" si="1626"/>
        <v>148.54</v>
      </c>
      <c r="L564" s="152">
        <f t="shared" si="1673"/>
        <v>281</v>
      </c>
      <c r="M564" s="144">
        <f t="shared" si="1674"/>
        <v>1272</v>
      </c>
      <c r="N564" s="144"/>
      <c r="O564" s="144">
        <f t="shared" si="1675"/>
        <v>0</v>
      </c>
      <c r="P564" s="144">
        <f t="shared" si="1676"/>
        <v>46</v>
      </c>
      <c r="Q564" s="144">
        <f t="shared" si="1677"/>
        <v>46</v>
      </c>
      <c r="R564" s="144">
        <f t="shared" si="1678"/>
        <v>138</v>
      </c>
      <c r="S564" s="144">
        <f t="shared" si="1679"/>
        <v>138</v>
      </c>
      <c r="T564" s="144">
        <f t="shared" si="1680"/>
        <v>412</v>
      </c>
      <c r="V564" s="150">
        <f>L562+L563+L564</f>
        <v>840</v>
      </c>
      <c r="W564" s="150">
        <f>M562+M563+M564</f>
        <v>4324</v>
      </c>
      <c r="X564" s="150">
        <f t="shared" ref="X564:AC564" si="1681">N562+N563+N564</f>
        <v>0</v>
      </c>
      <c r="Y564" s="150">
        <f t="shared" si="1681"/>
        <v>0</v>
      </c>
      <c r="Z564" s="150">
        <f>P562+P563+P564</f>
        <v>151</v>
      </c>
      <c r="AA564" s="150">
        <f t="shared" si="1681"/>
        <v>151</v>
      </c>
      <c r="AB564" s="150">
        <f>R562+R563+R564</f>
        <v>457</v>
      </c>
      <c r="AC564" s="150">
        <f t="shared" si="1681"/>
        <v>457</v>
      </c>
      <c r="AD564" s="150">
        <f>T562+T563+T564</f>
        <v>1387</v>
      </c>
      <c r="AF564" s="158">
        <f t="shared" ref="AF564" si="1682">B564</f>
        <v>39075</v>
      </c>
      <c r="AG564" s="149">
        <v>125.0003</v>
      </c>
      <c r="AH564" s="149">
        <v>0.77070000000000005</v>
      </c>
      <c r="AI564" s="149">
        <v>9.4146999999999998</v>
      </c>
      <c r="AJ564" s="149">
        <v>13.2691</v>
      </c>
      <c r="AK564" s="186">
        <v>92.901899999999998</v>
      </c>
      <c r="AL564" s="186">
        <v>79.519099999999995</v>
      </c>
      <c r="AM564" s="149"/>
      <c r="AN564" s="149"/>
      <c r="AO564" s="149"/>
      <c r="AP564" s="149"/>
      <c r="AQ564" s="149"/>
      <c r="AR564" s="149"/>
      <c r="AS564" s="149"/>
      <c r="AT564" s="149"/>
      <c r="AU564" s="149"/>
      <c r="AV564" s="149"/>
      <c r="AW564" s="149"/>
      <c r="AX564" s="186">
        <v>92.901899999999998</v>
      </c>
      <c r="AY564" s="186">
        <v>79.519099999999995</v>
      </c>
      <c r="AZ564" s="149">
        <v>236.52260000000001</v>
      </c>
      <c r="BA564" s="149">
        <v>957.9633</v>
      </c>
      <c r="BB564" s="149">
        <v>5.8399000000000001</v>
      </c>
      <c r="BC564" s="149"/>
      <c r="BD564" s="149"/>
      <c r="BE564" s="149"/>
      <c r="BF564" s="149"/>
      <c r="BG564" s="149"/>
      <c r="BH564" s="149"/>
      <c r="BI564" s="149"/>
      <c r="BJ564" s="149"/>
      <c r="BK564" s="149"/>
      <c r="BL564" s="149"/>
      <c r="BM564" s="149"/>
      <c r="BN564" s="149">
        <v>3.4969000000000001</v>
      </c>
      <c r="BO564" s="149">
        <v>47.641199999999998</v>
      </c>
      <c r="BP564" s="149"/>
      <c r="BQ564" s="149">
        <f t="shared" si="1670"/>
        <v>3.4969000000000001</v>
      </c>
      <c r="BR564" s="149">
        <f t="shared" si="1671"/>
        <v>47.641199999999998</v>
      </c>
      <c r="BS564" s="149"/>
      <c r="BT564" s="149">
        <v>3.5779999999999998</v>
      </c>
      <c r="BU564" s="149">
        <v>48.351700000000001</v>
      </c>
      <c r="BV564" s="149"/>
      <c r="BW564" s="149">
        <f>BT564</f>
        <v>3.5779999999999998</v>
      </c>
      <c r="BX564" s="149">
        <f>BU564</f>
        <v>48.351700000000001</v>
      </c>
      <c r="BY564" s="149"/>
      <c r="BZ564" s="149"/>
      <c r="CA564" s="149"/>
      <c r="CB564" s="149">
        <v>148.54</v>
      </c>
      <c r="CC564" s="231">
        <f t="shared" si="1672"/>
        <v>39075</v>
      </c>
    </row>
    <row r="565" spans="1:82" x14ac:dyDescent="0.25">
      <c r="A565" s="65"/>
      <c r="B565" s="155">
        <v>39100</v>
      </c>
      <c r="C565" s="147">
        <f t="shared" si="1475"/>
        <v>272.62639999999999</v>
      </c>
      <c r="D565" s="147">
        <f t="shared" si="1668"/>
        <v>992.80869999999993</v>
      </c>
      <c r="E565" s="147">
        <f t="shared" si="1621"/>
        <v>0</v>
      </c>
      <c r="F565" s="147">
        <f t="shared" si="1669"/>
        <v>0</v>
      </c>
      <c r="G565" s="147">
        <f t="shared" si="1622"/>
        <v>27.127000000000002</v>
      </c>
      <c r="H565" s="147">
        <f t="shared" si="1623"/>
        <v>27.127000000000002</v>
      </c>
      <c r="I565" s="147">
        <f t="shared" si="1624"/>
        <v>30.711599999999997</v>
      </c>
      <c r="J565" s="156">
        <f t="shared" si="1625"/>
        <v>30.711599999999997</v>
      </c>
      <c r="K565" s="157">
        <f t="shared" si="1626"/>
        <v>124.75</v>
      </c>
      <c r="L565" s="151">
        <f t="shared" si="1673"/>
        <v>275</v>
      </c>
      <c r="M565" s="147">
        <f t="shared" si="1674"/>
        <v>1096</v>
      </c>
      <c r="N565" s="147"/>
      <c r="O565" s="147">
        <f t="shared" si="1675"/>
        <v>0</v>
      </c>
      <c r="P565" s="147">
        <f t="shared" si="1676"/>
        <v>37</v>
      </c>
      <c r="Q565" s="147">
        <f t="shared" si="1677"/>
        <v>37</v>
      </c>
      <c r="R565" s="147">
        <f t="shared" si="1678"/>
        <v>115</v>
      </c>
      <c r="S565" s="147">
        <f t="shared" si="1679"/>
        <v>115</v>
      </c>
      <c r="T565" s="147">
        <f t="shared" si="1680"/>
        <v>380</v>
      </c>
      <c r="V565" s="146"/>
      <c r="W565" s="147"/>
      <c r="X565" s="147"/>
      <c r="Y565" s="147"/>
      <c r="Z565" s="147"/>
      <c r="AA565" s="147"/>
      <c r="AB565" s="147"/>
      <c r="AC565" s="147"/>
      <c r="AD565" s="148"/>
      <c r="AF565" s="155">
        <f t="shared" si="1613"/>
        <v>39100</v>
      </c>
      <c r="AG565" s="78">
        <v>143.7149</v>
      </c>
      <c r="AH565" s="78">
        <v>8.8120999999999992</v>
      </c>
      <c r="AI565" s="78">
        <v>1.8576999999999999</v>
      </c>
      <c r="AJ565" s="78">
        <v>1.3029999999999999</v>
      </c>
      <c r="AK565" s="185">
        <v>56.618899999999996</v>
      </c>
      <c r="AL565" s="185">
        <v>60.319800000000001</v>
      </c>
      <c r="AM565" s="78"/>
      <c r="AN565" s="78"/>
      <c r="AO565" s="78"/>
      <c r="AP565" s="78"/>
      <c r="AQ565" s="78"/>
      <c r="AR565" s="78"/>
      <c r="AS565" s="78"/>
      <c r="AT565" s="78"/>
      <c r="AU565" s="78"/>
      <c r="AV565" s="78"/>
      <c r="AW565" s="78"/>
      <c r="AX565" s="185">
        <v>56.618899999999996</v>
      </c>
      <c r="AY565" s="185">
        <v>60.319800000000001</v>
      </c>
      <c r="AZ565" s="78">
        <v>241.51079999999999</v>
      </c>
      <c r="BA565" s="78">
        <v>628.02739999999994</v>
      </c>
      <c r="BB565" s="78">
        <v>6.3318000000000003</v>
      </c>
      <c r="BC565" s="78"/>
      <c r="BD565" s="78"/>
      <c r="BE565" s="78"/>
      <c r="BF565" s="78"/>
      <c r="BG565" s="78"/>
      <c r="BH565" s="78"/>
      <c r="BI565" s="78"/>
      <c r="BJ565" s="78"/>
      <c r="BK565" s="78"/>
      <c r="BL565" s="78"/>
      <c r="BM565" s="78"/>
      <c r="BN565" s="78">
        <v>6.3978999999999999</v>
      </c>
      <c r="BO565" s="78">
        <v>5.4763000000000002</v>
      </c>
      <c r="BP565" s="78">
        <v>15.252800000000001</v>
      </c>
      <c r="BQ565" s="78">
        <f t="shared" si="1670"/>
        <v>6.3978999999999999</v>
      </c>
      <c r="BR565" s="78">
        <f t="shared" si="1671"/>
        <v>5.4763000000000002</v>
      </c>
      <c r="BS565" s="78">
        <f t="shared" ref="BS565:BS576" si="1683">BP565</f>
        <v>15.252800000000001</v>
      </c>
      <c r="BT565" s="78">
        <v>6.1940999999999997</v>
      </c>
      <c r="BU565" s="78">
        <v>5.5109000000000004</v>
      </c>
      <c r="BV565" s="78">
        <v>19.006599999999999</v>
      </c>
      <c r="BW565" s="49">
        <f t="shared" si="1628"/>
        <v>6.1940999999999997</v>
      </c>
      <c r="BX565" s="49">
        <f t="shared" si="1636"/>
        <v>5.5109000000000004</v>
      </c>
      <c r="BY565" s="49">
        <f t="shared" si="1652"/>
        <v>19.006599999999999</v>
      </c>
      <c r="BZ565" s="78"/>
      <c r="CA565" s="78"/>
      <c r="CB565" s="78">
        <v>124.75</v>
      </c>
      <c r="CC565" s="231">
        <f t="shared" si="1672"/>
        <v>39100</v>
      </c>
    </row>
    <row r="566" spans="1:82" x14ac:dyDescent="0.25">
      <c r="A566" s="65"/>
      <c r="B566" s="57">
        <v>39150</v>
      </c>
      <c r="C566" s="58">
        <f t="shared" si="1475"/>
        <v>295.29300000000001</v>
      </c>
      <c r="D566" s="58">
        <f t="shared" si="1668"/>
        <v>816.68990000000008</v>
      </c>
      <c r="E566" s="58">
        <f t="shared" si="1621"/>
        <v>0</v>
      </c>
      <c r="F566" s="58">
        <f t="shared" si="1669"/>
        <v>0</v>
      </c>
      <c r="G566" s="58">
        <f t="shared" si="1622"/>
        <v>35.006</v>
      </c>
      <c r="H566" s="58">
        <f t="shared" si="1623"/>
        <v>35.006</v>
      </c>
      <c r="I566" s="58">
        <f t="shared" si="1624"/>
        <v>40.792299999999997</v>
      </c>
      <c r="J566" s="51">
        <f t="shared" si="1625"/>
        <v>40.792299999999997</v>
      </c>
      <c r="K566" s="99">
        <f t="shared" si="1626"/>
        <v>122.6</v>
      </c>
      <c r="L566" s="105">
        <f t="shared" si="1673"/>
        <v>526</v>
      </c>
      <c r="M566" s="58">
        <f t="shared" si="1674"/>
        <v>1676</v>
      </c>
      <c r="N566" s="58"/>
      <c r="O566" s="58">
        <f t="shared" si="1675"/>
        <v>0</v>
      </c>
      <c r="P566" s="58">
        <f t="shared" si="1676"/>
        <v>58</v>
      </c>
      <c r="Q566" s="58">
        <f t="shared" si="1677"/>
        <v>58</v>
      </c>
      <c r="R566" s="58">
        <f t="shared" si="1678"/>
        <v>199</v>
      </c>
      <c r="S566" s="58">
        <f t="shared" si="1679"/>
        <v>199</v>
      </c>
      <c r="T566" s="58">
        <f t="shared" si="1680"/>
        <v>688</v>
      </c>
      <c r="V566" s="137"/>
      <c r="W566" s="58"/>
      <c r="X566" s="58"/>
      <c r="Y566" s="58"/>
      <c r="Z566" s="58"/>
      <c r="AA566" s="58"/>
      <c r="AB566" s="58"/>
      <c r="AC566" s="58"/>
      <c r="AD566" s="138"/>
      <c r="AF566" s="57">
        <f t="shared" si="1613"/>
        <v>39150</v>
      </c>
      <c r="AG566" s="49">
        <v>156.33430000000001</v>
      </c>
      <c r="AH566" s="49">
        <v>9.9159000000000006</v>
      </c>
      <c r="AI566" s="49">
        <v>1.6313</v>
      </c>
      <c r="AJ566" s="49">
        <v>4.7699999999999999E-2</v>
      </c>
      <c r="AK566" s="115">
        <v>62.504199999999997</v>
      </c>
      <c r="AL566" s="115">
        <v>64.8596</v>
      </c>
      <c r="AM566" s="49"/>
      <c r="AN566" s="49"/>
      <c r="AO566" s="49"/>
      <c r="AP566" s="49"/>
      <c r="AQ566" s="49"/>
      <c r="AR566" s="49"/>
      <c r="AS566" s="49"/>
      <c r="AT566" s="49"/>
      <c r="AU566" s="49"/>
      <c r="AV566" s="49"/>
      <c r="AW566" s="49"/>
      <c r="AX566" s="115">
        <v>62.504199999999997</v>
      </c>
      <c r="AY566" s="115">
        <v>64.8596</v>
      </c>
      <c r="AZ566" s="49">
        <v>118.4387</v>
      </c>
      <c r="BA566" s="49">
        <v>564.58460000000002</v>
      </c>
      <c r="BB566" s="49">
        <v>6.3028000000000004</v>
      </c>
      <c r="BC566" s="49"/>
      <c r="BD566" s="49"/>
      <c r="BE566" s="49"/>
      <c r="BF566" s="49"/>
      <c r="BG566" s="49"/>
      <c r="BH566" s="49"/>
      <c r="BI566" s="49"/>
      <c r="BJ566" s="49"/>
      <c r="BK566" s="49"/>
      <c r="BL566" s="49"/>
      <c r="BM566" s="49"/>
      <c r="BN566" s="49">
        <v>15.4152</v>
      </c>
      <c r="BO566" s="49">
        <v>5.4569999999999999</v>
      </c>
      <c r="BP566" s="49">
        <v>14.133800000000001</v>
      </c>
      <c r="BQ566" s="49">
        <f t="shared" si="1670"/>
        <v>15.4152</v>
      </c>
      <c r="BR566" s="49">
        <f t="shared" si="1671"/>
        <v>5.4569999999999999</v>
      </c>
      <c r="BS566" s="49">
        <f t="shared" si="1683"/>
        <v>14.133800000000001</v>
      </c>
      <c r="BT566" s="49">
        <v>17.635899999999999</v>
      </c>
      <c r="BU566" s="49">
        <v>5.5115999999999996</v>
      </c>
      <c r="BV566" s="49">
        <v>17.6448</v>
      </c>
      <c r="BW566" s="49">
        <f t="shared" si="1628"/>
        <v>17.635899999999999</v>
      </c>
      <c r="BX566" s="49">
        <f t="shared" si="1636"/>
        <v>5.5115999999999996</v>
      </c>
      <c r="BY566" s="49">
        <f t="shared" si="1652"/>
        <v>17.6448</v>
      </c>
      <c r="BZ566" s="49"/>
      <c r="CA566" s="49"/>
      <c r="CB566" s="49">
        <v>122.6</v>
      </c>
      <c r="CC566" s="231">
        <f t="shared" si="1672"/>
        <v>39150</v>
      </c>
    </row>
    <row r="567" spans="1:82" s="3" customFormat="1" ht="15.75" thickBot="1" x14ac:dyDescent="0.3">
      <c r="A567" s="204"/>
      <c r="B567" s="158">
        <v>39200</v>
      </c>
      <c r="C567" s="144">
        <f t="shared" si="1475"/>
        <v>316.84949999999998</v>
      </c>
      <c r="D567" s="144">
        <f t="shared" si="1668"/>
        <v>789.51220000000001</v>
      </c>
      <c r="E567" s="144">
        <f t="shared" si="1621"/>
        <v>0</v>
      </c>
      <c r="F567" s="144">
        <f t="shared" si="1669"/>
        <v>0</v>
      </c>
      <c r="G567" s="144">
        <f t="shared" si="1622"/>
        <v>35.889299999999999</v>
      </c>
      <c r="H567" s="144">
        <f t="shared" si="1623"/>
        <v>35.889299999999999</v>
      </c>
      <c r="I567" s="144">
        <f t="shared" si="1624"/>
        <v>40.393799999999999</v>
      </c>
      <c r="J567" s="159">
        <f t="shared" si="1625"/>
        <v>40.393799999999999</v>
      </c>
      <c r="K567" s="160">
        <f t="shared" si="1626"/>
        <v>126.91</v>
      </c>
      <c r="L567" s="152">
        <f t="shared" si="1673"/>
        <v>567</v>
      </c>
      <c r="M567" s="144">
        <f t="shared" si="1674"/>
        <v>1488</v>
      </c>
      <c r="N567" s="144"/>
      <c r="O567" s="144">
        <f t="shared" si="1675"/>
        <v>0</v>
      </c>
      <c r="P567" s="144">
        <f t="shared" si="1676"/>
        <v>66</v>
      </c>
      <c r="Q567" s="144">
        <f t="shared" si="1677"/>
        <v>66</v>
      </c>
      <c r="R567" s="144">
        <f t="shared" si="1678"/>
        <v>226</v>
      </c>
      <c r="S567" s="144">
        <f t="shared" si="1679"/>
        <v>226</v>
      </c>
      <c r="T567" s="144">
        <f t="shared" si="1680"/>
        <v>694</v>
      </c>
      <c r="V567" s="150">
        <f>L565+L566+L567</f>
        <v>1368</v>
      </c>
      <c r="W567" s="150">
        <f t="shared" ref="W567" si="1684">M565+M566+M567</f>
        <v>4260</v>
      </c>
      <c r="X567" s="150"/>
      <c r="Y567" s="150">
        <f t="shared" ref="Y567" si="1685">O565+O566+O567</f>
        <v>0</v>
      </c>
      <c r="Z567" s="150">
        <f t="shared" ref="Z567" si="1686">P565+P566+P567</f>
        <v>161</v>
      </c>
      <c r="AA567" s="150">
        <f t="shared" ref="AA567" si="1687">Q565+Q566+Q567</f>
        <v>161</v>
      </c>
      <c r="AB567" s="150">
        <f t="shared" ref="AB567" si="1688">R565+R566+R567</f>
        <v>540</v>
      </c>
      <c r="AC567" s="150">
        <f t="shared" ref="AC567" si="1689">S565+S566+S567</f>
        <v>540</v>
      </c>
      <c r="AD567" s="150">
        <f t="shared" ref="AD567" si="1690">T565+T566+T567</f>
        <v>1762</v>
      </c>
      <c r="AF567" s="158">
        <f t="shared" si="1613"/>
        <v>39200</v>
      </c>
      <c r="AG567" s="149">
        <v>176.63679999999999</v>
      </c>
      <c r="AH567" s="149">
        <v>8.5803999999999991</v>
      </c>
      <c r="AI567" s="149">
        <v>1.3180000000000001</v>
      </c>
      <c r="AJ567" s="149">
        <v>0.79369999999999996</v>
      </c>
      <c r="AK567" s="186">
        <v>73.718199999999996</v>
      </c>
      <c r="AL567" s="186">
        <v>55.802399999999999</v>
      </c>
      <c r="AM567" s="149"/>
      <c r="AN567" s="149"/>
      <c r="AO567" s="149"/>
      <c r="AP567" s="149"/>
      <c r="AQ567" s="149"/>
      <c r="AR567" s="149"/>
      <c r="AS567" s="149"/>
      <c r="AT567" s="149"/>
      <c r="AU567" s="149"/>
      <c r="AV567" s="149"/>
      <c r="AW567" s="149"/>
      <c r="AX567" s="186">
        <v>73.718199999999996</v>
      </c>
      <c r="AY567" s="186">
        <v>55.802399999999999</v>
      </c>
      <c r="AZ567" s="149">
        <v>110.6362</v>
      </c>
      <c r="BA567" s="149">
        <v>0.58860000000000001</v>
      </c>
      <c r="BB567" s="149">
        <v>542.21640000000002</v>
      </c>
      <c r="BC567" s="149">
        <v>6.5503999999999998</v>
      </c>
      <c r="BD567" s="149"/>
      <c r="BE567" s="149"/>
      <c r="BF567" s="149"/>
      <c r="BG567" s="149"/>
      <c r="BH567" s="149"/>
      <c r="BI567" s="149"/>
      <c r="BJ567" s="149"/>
      <c r="BK567" s="149"/>
      <c r="BL567" s="149"/>
      <c r="BM567" s="149"/>
      <c r="BN567" s="149">
        <v>16.909099999999999</v>
      </c>
      <c r="BO567" s="149">
        <v>5.4012000000000002</v>
      </c>
      <c r="BP567" s="149">
        <v>13.579000000000001</v>
      </c>
      <c r="BQ567" s="149">
        <f t="shared" si="1670"/>
        <v>16.909099999999999</v>
      </c>
      <c r="BR567" s="149">
        <f t="shared" si="1671"/>
        <v>5.4012000000000002</v>
      </c>
      <c r="BS567" s="149">
        <f t="shared" si="1683"/>
        <v>13.579000000000001</v>
      </c>
      <c r="BT567" s="149">
        <v>17.910799999999998</v>
      </c>
      <c r="BU567" s="149">
        <v>5.5103</v>
      </c>
      <c r="BV567" s="149">
        <v>16.9727</v>
      </c>
      <c r="BW567" s="149">
        <f>BT567</f>
        <v>17.910799999999998</v>
      </c>
      <c r="BX567" s="149">
        <f>BU567</f>
        <v>5.5103</v>
      </c>
      <c r="BY567" s="149">
        <f>BV567</f>
        <v>16.9727</v>
      </c>
      <c r="BZ567" s="149"/>
      <c r="CA567" s="149"/>
      <c r="CB567" s="149">
        <v>126.91</v>
      </c>
      <c r="CC567" s="231">
        <f t="shared" si="1672"/>
        <v>39200</v>
      </c>
    </row>
    <row r="568" spans="1:82" x14ac:dyDescent="0.25">
      <c r="A568" s="65"/>
      <c r="B568" s="155">
        <v>39250</v>
      </c>
      <c r="C568" s="147">
        <f t="shared" si="1475"/>
        <v>329.5908</v>
      </c>
      <c r="D568" s="147">
        <f t="shared" si="1668"/>
        <v>881.44599999999991</v>
      </c>
      <c r="E568" s="147">
        <f t="shared" si="1621"/>
        <v>0</v>
      </c>
      <c r="F568" s="147">
        <f t="shared" si="1669"/>
        <v>0</v>
      </c>
      <c r="G568" s="147">
        <f t="shared" si="1622"/>
        <v>26.273099999999999</v>
      </c>
      <c r="H568" s="147">
        <f t="shared" si="1623"/>
        <v>26.273099999999999</v>
      </c>
      <c r="I568" s="147">
        <f t="shared" si="1624"/>
        <v>38.229900000000001</v>
      </c>
      <c r="J568" s="156">
        <f t="shared" si="1625"/>
        <v>38.229900000000001</v>
      </c>
      <c r="K568" s="157">
        <f t="shared" si="1626"/>
        <v>124.7</v>
      </c>
      <c r="L568" s="151">
        <f t="shared" si="1673"/>
        <v>599</v>
      </c>
      <c r="M568" s="147">
        <f t="shared" si="1674"/>
        <v>1548</v>
      </c>
      <c r="N568" s="147"/>
      <c r="O568" s="147">
        <f t="shared" si="1675"/>
        <v>0</v>
      </c>
      <c r="P568" s="147">
        <f t="shared" si="1676"/>
        <v>58</v>
      </c>
      <c r="Q568" s="147">
        <f t="shared" si="1677"/>
        <v>58</v>
      </c>
      <c r="R568" s="147">
        <f t="shared" si="1678"/>
        <v>219</v>
      </c>
      <c r="S568" s="147">
        <f t="shared" si="1679"/>
        <v>219</v>
      </c>
      <c r="T568" s="147">
        <f t="shared" si="1680"/>
        <v>699</v>
      </c>
      <c r="V568" s="146"/>
      <c r="W568" s="147"/>
      <c r="X568" s="147"/>
      <c r="Y568" s="147"/>
      <c r="Z568" s="147"/>
      <c r="AA568" s="147"/>
      <c r="AB568" s="147"/>
      <c r="AC568" s="147"/>
      <c r="AD568" s="148"/>
      <c r="AF568" s="155">
        <f t="shared" si="1613"/>
        <v>39250</v>
      </c>
      <c r="AG568" s="78">
        <v>182.8449</v>
      </c>
      <c r="AH568" s="78">
        <v>10.270300000000001</v>
      </c>
      <c r="AI568" s="78">
        <v>1.6857</v>
      </c>
      <c r="AJ568" s="78">
        <v>0.64839999999999998</v>
      </c>
      <c r="AK568" s="185">
        <v>80.396299999999997</v>
      </c>
      <c r="AL568" s="185">
        <v>53.745199999999997</v>
      </c>
      <c r="AM568" s="78"/>
      <c r="AN568" s="78"/>
      <c r="AO568" s="78"/>
      <c r="AP568" s="78"/>
      <c r="AQ568" s="78"/>
      <c r="AR568" s="78"/>
      <c r="AS568" s="78"/>
      <c r="AT568" s="78"/>
      <c r="AU568" s="78"/>
      <c r="AV568" s="78"/>
      <c r="AW568" s="78"/>
      <c r="AX568" s="185">
        <v>80.396299999999997</v>
      </c>
      <c r="AY568" s="185">
        <v>53.745199999999997</v>
      </c>
      <c r="AZ568" s="78">
        <v>125.9695</v>
      </c>
      <c r="BA568" s="78">
        <v>614.95899999999995</v>
      </c>
      <c r="BB568" s="78">
        <v>5.6481000000000003</v>
      </c>
      <c r="BC568" s="78">
        <v>0.3251</v>
      </c>
      <c r="BD568" s="78">
        <v>0.29670000000000002</v>
      </c>
      <c r="BE568" s="78">
        <v>0.1061</v>
      </c>
      <c r="BF568" s="78"/>
      <c r="BG568" s="78"/>
      <c r="BH568" s="78"/>
      <c r="BI568" s="78"/>
      <c r="BJ568" s="78"/>
      <c r="BK568" s="78"/>
      <c r="BL568" s="78"/>
      <c r="BM568" s="78"/>
      <c r="BN568" s="78">
        <v>15.3607</v>
      </c>
      <c r="BO568" s="78">
        <v>5.4561999999999999</v>
      </c>
      <c r="BP568" s="78">
        <v>5.4561999999999999</v>
      </c>
      <c r="BQ568" s="78">
        <f t="shared" si="1670"/>
        <v>15.3607</v>
      </c>
      <c r="BR568" s="78">
        <f t="shared" si="1671"/>
        <v>5.4561999999999999</v>
      </c>
      <c r="BS568" s="78">
        <f t="shared" si="1683"/>
        <v>5.4561999999999999</v>
      </c>
      <c r="BT568" s="78">
        <v>16.354800000000001</v>
      </c>
      <c r="BU568" s="78">
        <v>5.5103</v>
      </c>
      <c r="BV568" s="78">
        <v>16.364799999999999</v>
      </c>
      <c r="BW568" s="49">
        <f t="shared" si="1628"/>
        <v>16.354800000000001</v>
      </c>
      <c r="BX568" s="49">
        <f t="shared" si="1636"/>
        <v>5.5103</v>
      </c>
      <c r="BY568" s="49">
        <f t="shared" si="1652"/>
        <v>16.364799999999999</v>
      </c>
      <c r="BZ568" s="78"/>
      <c r="CA568" s="78"/>
      <c r="CB568" s="78">
        <v>124.7</v>
      </c>
      <c r="CC568" s="231">
        <f t="shared" si="1672"/>
        <v>39250</v>
      </c>
    </row>
    <row r="569" spans="1:82" x14ac:dyDescent="0.25">
      <c r="A569" s="65"/>
      <c r="B569" s="57">
        <v>39300</v>
      </c>
      <c r="C569" s="58">
        <f t="shared" ref="C569:C570" si="1691">AG569+AH569+AI569+AJ569+AK569+AL569+AM569+AN569+AO569+AP569+AQ569+AR569+AS569+AT569+AU569+AV569+AW569</f>
        <v>310.74239999999998</v>
      </c>
      <c r="D569" s="58">
        <f t="shared" si="1668"/>
        <v>846.12950000000001</v>
      </c>
      <c r="E569" s="58">
        <f t="shared" si="1621"/>
        <v>0</v>
      </c>
      <c r="F569" s="58">
        <f t="shared" si="1669"/>
        <v>0</v>
      </c>
      <c r="G569" s="58">
        <f t="shared" si="1622"/>
        <v>32.716800000000006</v>
      </c>
      <c r="H569" s="58">
        <f t="shared" si="1623"/>
        <v>32.716800000000006</v>
      </c>
      <c r="I569" s="58">
        <f t="shared" si="1624"/>
        <v>37.593699999999998</v>
      </c>
      <c r="J569" s="51">
        <f t="shared" si="1625"/>
        <v>37.593699999999998</v>
      </c>
      <c r="K569" s="99">
        <f t="shared" si="1626"/>
        <v>123.76</v>
      </c>
      <c r="L569" s="105">
        <f t="shared" si="1673"/>
        <v>593</v>
      </c>
      <c r="M569" s="58">
        <f t="shared" si="1674"/>
        <v>1600</v>
      </c>
      <c r="N569" s="58"/>
      <c r="O569" s="58">
        <f t="shared" si="1675"/>
        <v>0</v>
      </c>
      <c r="P569" s="58">
        <f t="shared" si="1676"/>
        <v>55</v>
      </c>
      <c r="Q569" s="58">
        <f t="shared" si="1677"/>
        <v>55</v>
      </c>
      <c r="R569" s="58">
        <f t="shared" si="1678"/>
        <v>211</v>
      </c>
      <c r="S569" s="58">
        <f t="shared" si="1679"/>
        <v>211</v>
      </c>
      <c r="T569" s="58">
        <f t="shared" si="1680"/>
        <v>691</v>
      </c>
      <c r="V569" s="137"/>
      <c r="W569" s="58"/>
      <c r="X569" s="58"/>
      <c r="Y569" s="58"/>
      <c r="Z569" s="58"/>
      <c r="AA569" s="58"/>
      <c r="AB569" s="58"/>
      <c r="AC569" s="58"/>
      <c r="AD569" s="138"/>
      <c r="AF569" s="57">
        <f t="shared" si="1613"/>
        <v>39300</v>
      </c>
      <c r="AG569" s="49">
        <v>166.90020000000001</v>
      </c>
      <c r="AH569" s="49">
        <v>9.5046999999999997</v>
      </c>
      <c r="AI569" s="49">
        <v>1.6389</v>
      </c>
      <c r="AJ569" s="49">
        <v>0.83009999999999995</v>
      </c>
      <c r="AK569" s="115">
        <v>76.844200000000001</v>
      </c>
      <c r="AL569" s="115">
        <v>55.024299999999997</v>
      </c>
      <c r="AM569" s="49"/>
      <c r="AN569" s="49"/>
      <c r="AO569" s="49"/>
      <c r="AP569" s="49"/>
      <c r="AQ569" s="49"/>
      <c r="AR569" s="49"/>
      <c r="AS569" s="49"/>
      <c r="AT569" s="49"/>
      <c r="AU569" s="49"/>
      <c r="AV569" s="49"/>
      <c r="AW569" s="49"/>
      <c r="AX569" s="115">
        <v>76.844200000000001</v>
      </c>
      <c r="AY569" s="115">
        <v>55.024299999999997</v>
      </c>
      <c r="AZ569" s="49">
        <v>134.00630000000001</v>
      </c>
      <c r="BA569" s="49">
        <v>573.37</v>
      </c>
      <c r="BB569" s="49">
        <v>0.4405</v>
      </c>
      <c r="BC569" s="49">
        <v>5.8859000000000004</v>
      </c>
      <c r="BD569" s="49">
        <v>0.2833</v>
      </c>
      <c r="BE569" s="49">
        <v>0.27500000000000002</v>
      </c>
      <c r="BF569" s="49"/>
      <c r="BG569" s="49"/>
      <c r="BH569" s="49"/>
      <c r="BI569" s="49"/>
      <c r="BJ569" s="49"/>
      <c r="BK569" s="49"/>
      <c r="BL569" s="49"/>
      <c r="BM569" s="49"/>
      <c r="BN569" s="49">
        <v>14.519500000000001</v>
      </c>
      <c r="BO569" s="49">
        <v>5.4275000000000002</v>
      </c>
      <c r="BP569" s="49">
        <v>12.7698</v>
      </c>
      <c r="BQ569" s="49">
        <f t="shared" si="1670"/>
        <v>14.519500000000001</v>
      </c>
      <c r="BR569" s="49">
        <f t="shared" si="1671"/>
        <v>5.4275000000000002</v>
      </c>
      <c r="BS569" s="49">
        <f t="shared" si="1683"/>
        <v>12.7698</v>
      </c>
      <c r="BT569" s="49">
        <v>15.6477</v>
      </c>
      <c r="BU569" s="49">
        <v>5.5110999999999999</v>
      </c>
      <c r="BV569" s="49">
        <v>16.434899999999999</v>
      </c>
      <c r="BW569" s="49">
        <f t="shared" si="1628"/>
        <v>15.6477</v>
      </c>
      <c r="BX569" s="49">
        <f t="shared" si="1636"/>
        <v>5.5110999999999999</v>
      </c>
      <c r="BY569" s="49">
        <f t="shared" si="1652"/>
        <v>16.434899999999999</v>
      </c>
      <c r="BZ569" s="49"/>
      <c r="CA569" s="49"/>
      <c r="CB569" s="49">
        <v>123.76</v>
      </c>
      <c r="CC569" s="231">
        <f t="shared" si="1672"/>
        <v>39300</v>
      </c>
    </row>
    <row r="570" spans="1:82" s="3" customFormat="1" ht="15.75" thickBot="1" x14ac:dyDescent="0.3">
      <c r="A570" s="204"/>
      <c r="B570" s="158">
        <v>39350</v>
      </c>
      <c r="C570" s="144">
        <f t="shared" si="1691"/>
        <v>352.8159</v>
      </c>
      <c r="D570" s="144">
        <f t="shared" si="1668"/>
        <v>1048.2365</v>
      </c>
      <c r="E570" s="144">
        <f t="shared" si="1621"/>
        <v>0</v>
      </c>
      <c r="F570" s="144">
        <f t="shared" si="1669"/>
        <v>0</v>
      </c>
      <c r="G570" s="144">
        <f t="shared" si="1622"/>
        <v>32.718600000000002</v>
      </c>
      <c r="H570" s="144">
        <f t="shared" si="1623"/>
        <v>32.718600000000002</v>
      </c>
      <c r="I570" s="144">
        <f t="shared" si="1624"/>
        <v>37.894300000000001</v>
      </c>
      <c r="J570" s="159">
        <f t="shared" si="1625"/>
        <v>37.894300000000001</v>
      </c>
      <c r="K570" s="160">
        <f t="shared" si="1626"/>
        <v>148.75</v>
      </c>
      <c r="L570" s="152">
        <f t="shared" si="1673"/>
        <v>615</v>
      </c>
      <c r="M570" s="144">
        <f t="shared" si="1674"/>
        <v>1755</v>
      </c>
      <c r="N570" s="144"/>
      <c r="O570" s="144">
        <f t="shared" si="1675"/>
        <v>0</v>
      </c>
      <c r="P570" s="144">
        <f t="shared" si="1676"/>
        <v>61</v>
      </c>
      <c r="Q570" s="144">
        <f t="shared" si="1677"/>
        <v>61</v>
      </c>
      <c r="R570" s="144">
        <f t="shared" si="1678"/>
        <v>210</v>
      </c>
      <c r="S570" s="144">
        <f t="shared" si="1679"/>
        <v>210</v>
      </c>
      <c r="T570" s="144">
        <f t="shared" si="1680"/>
        <v>757</v>
      </c>
      <c r="V570" s="150">
        <f>L568+L569+L570</f>
        <v>1807</v>
      </c>
      <c r="W570" s="150">
        <f t="shared" ref="W570" si="1692">M568+M569+M570</f>
        <v>4903</v>
      </c>
      <c r="X570" s="150"/>
      <c r="Y570" s="150">
        <f t="shared" ref="Y570" si="1693">O568+O569+O570</f>
        <v>0</v>
      </c>
      <c r="Z570" s="150">
        <f t="shared" ref="Z570" si="1694">P568+P569+P570</f>
        <v>174</v>
      </c>
      <c r="AA570" s="150">
        <f t="shared" ref="AA570" si="1695">Q568+Q569+Q570</f>
        <v>174</v>
      </c>
      <c r="AB570" s="150">
        <f t="shared" ref="AB570" si="1696">R568+R569+R570</f>
        <v>640</v>
      </c>
      <c r="AC570" s="150">
        <f t="shared" ref="AC570" si="1697">S568+S569+S570</f>
        <v>640</v>
      </c>
      <c r="AD570" s="150">
        <f t="shared" ref="AD570" si="1698">T568+T569+T570</f>
        <v>2147</v>
      </c>
      <c r="AF570" s="158">
        <f t="shared" si="1613"/>
        <v>39350</v>
      </c>
      <c r="AG570" s="149">
        <v>204.38990000000001</v>
      </c>
      <c r="AH570" s="149">
        <v>10.9038</v>
      </c>
      <c r="AI570" s="149">
        <v>1.9239999999999999</v>
      </c>
      <c r="AJ570" s="149">
        <v>1.1289</v>
      </c>
      <c r="AK570" s="186">
        <v>74.758799999999994</v>
      </c>
      <c r="AL570" s="186">
        <v>59.710500000000003</v>
      </c>
      <c r="AM570" s="149"/>
      <c r="AN570" s="149"/>
      <c r="AO570" s="149"/>
      <c r="AP570" s="149"/>
      <c r="AQ570" s="149"/>
      <c r="AR570" s="149"/>
      <c r="AS570" s="149"/>
      <c r="AT570" s="149"/>
      <c r="AU570" s="149"/>
      <c r="AV570" s="149"/>
      <c r="AW570" s="149"/>
      <c r="AX570" s="186">
        <v>74.758799999999994</v>
      </c>
      <c r="AY570" s="186">
        <v>59.710500000000003</v>
      </c>
      <c r="AZ570" s="149">
        <v>134.86689999999999</v>
      </c>
      <c r="BA570" s="149">
        <v>774.15099999999995</v>
      </c>
      <c r="BB570" s="149">
        <v>4.7037000000000004</v>
      </c>
      <c r="BC570" s="149">
        <v>4.5600000000000002E-2</v>
      </c>
      <c r="BD570" s="149"/>
      <c r="BE570" s="149"/>
      <c r="BF570" s="149"/>
      <c r="BG570" s="149"/>
      <c r="BH570" s="149"/>
      <c r="BI570" s="149"/>
      <c r="BJ570" s="149"/>
      <c r="BK570" s="149"/>
      <c r="BL570" s="149"/>
      <c r="BM570" s="149"/>
      <c r="BN570" s="149">
        <v>13.556900000000001</v>
      </c>
      <c r="BO570" s="149">
        <v>5.4734999999999996</v>
      </c>
      <c r="BP570" s="149">
        <v>13.6882</v>
      </c>
      <c r="BQ570" s="149">
        <f t="shared" si="1670"/>
        <v>13.556900000000001</v>
      </c>
      <c r="BR570" s="149">
        <f t="shared" si="1671"/>
        <v>5.4734999999999996</v>
      </c>
      <c r="BS570" s="149">
        <f t="shared" si="1683"/>
        <v>13.6882</v>
      </c>
      <c r="BT570" s="149">
        <v>14.8393</v>
      </c>
      <c r="BU570" s="149">
        <v>5.5126999999999997</v>
      </c>
      <c r="BV570" s="149">
        <v>17.542300000000001</v>
      </c>
      <c r="BW570" s="149">
        <f>BT570</f>
        <v>14.8393</v>
      </c>
      <c r="BX570" s="149">
        <f>BU570</f>
        <v>5.5126999999999997</v>
      </c>
      <c r="BY570" s="149">
        <f>BV570</f>
        <v>17.542300000000001</v>
      </c>
      <c r="BZ570" s="149"/>
      <c r="CA570" s="149"/>
      <c r="CB570" s="149">
        <v>148.75</v>
      </c>
      <c r="CC570" s="231">
        <f t="shared" si="1672"/>
        <v>39350</v>
      </c>
    </row>
    <row r="571" spans="1:82" x14ac:dyDescent="0.25">
      <c r="A571" s="65"/>
      <c r="B571" s="155">
        <v>39400</v>
      </c>
      <c r="C571" s="147">
        <f t="shared" ref="C571:C632" si="1699">AG571+AH571+AI571+AJ571+AK571+AL571+AM571+AN571+AO571+AP571+AQ571+AR571+AS571+AT571+AU571+AV571+AW571</f>
        <v>396.25629999999995</v>
      </c>
      <c r="D571" s="147">
        <f t="shared" si="1604"/>
        <v>1013.4346999999999</v>
      </c>
      <c r="E571" s="147">
        <f t="shared" si="1621"/>
        <v>0</v>
      </c>
      <c r="F571" s="147">
        <f t="shared" si="1605"/>
        <v>0</v>
      </c>
      <c r="G571" s="147">
        <f t="shared" si="1622"/>
        <v>31.119699999999998</v>
      </c>
      <c r="H571" s="147">
        <f t="shared" si="1623"/>
        <v>31.119699999999998</v>
      </c>
      <c r="I571" s="147">
        <f t="shared" si="1624"/>
        <v>36.435199999999995</v>
      </c>
      <c r="J571" s="156">
        <f t="shared" si="1625"/>
        <v>36.435199999999995</v>
      </c>
      <c r="K571" s="157">
        <f t="shared" si="1626"/>
        <v>146.16</v>
      </c>
      <c r="L571" s="151">
        <f t="shared" si="1494"/>
        <v>694</v>
      </c>
      <c r="M571" s="147">
        <f t="shared" si="1495"/>
        <v>1909</v>
      </c>
      <c r="N571" s="147"/>
      <c r="O571" s="147">
        <f t="shared" ref="O571:O578" si="1700">ROUNDUP(((F570+F571)*0.5)*(B571-B570)/27,0)</f>
        <v>0</v>
      </c>
      <c r="P571" s="147">
        <f t="shared" si="1497"/>
        <v>60</v>
      </c>
      <c r="Q571" s="147">
        <f t="shared" si="1498"/>
        <v>60</v>
      </c>
      <c r="R571" s="147">
        <f t="shared" si="1499"/>
        <v>207</v>
      </c>
      <c r="S571" s="147">
        <f t="shared" si="1500"/>
        <v>207</v>
      </c>
      <c r="T571" s="147">
        <f t="shared" si="1680"/>
        <v>820</v>
      </c>
      <c r="V571" s="146"/>
      <c r="W571" s="147"/>
      <c r="X571" s="147"/>
      <c r="Y571" s="147"/>
      <c r="Z571" s="147"/>
      <c r="AA571" s="147"/>
      <c r="AB571" s="147"/>
      <c r="AC571" s="147"/>
      <c r="AD571" s="148"/>
      <c r="AF571" s="155">
        <f t="shared" si="1613"/>
        <v>39400</v>
      </c>
      <c r="AG571" s="78">
        <v>206.81479999999999</v>
      </c>
      <c r="AH571" s="78">
        <v>10.897</v>
      </c>
      <c r="AI571" s="78">
        <v>1.637</v>
      </c>
      <c r="AJ571" s="78">
        <v>0.35060000000000002</v>
      </c>
      <c r="AK571" s="185">
        <v>76.977199999999996</v>
      </c>
      <c r="AL571" s="185">
        <v>99.579700000000003</v>
      </c>
      <c r="AM571" s="78"/>
      <c r="AN571" s="78"/>
      <c r="AO571" s="78"/>
      <c r="AP571" s="78"/>
      <c r="AQ571" s="78"/>
      <c r="AR571" s="78"/>
      <c r="AS571" s="78"/>
      <c r="AT571" s="78"/>
      <c r="AU571" s="78"/>
      <c r="AV571" s="78"/>
      <c r="AW571" s="78"/>
      <c r="AX571" s="185">
        <v>76.977199999999996</v>
      </c>
      <c r="AY571" s="185">
        <v>99.579700000000003</v>
      </c>
      <c r="AZ571" s="78">
        <v>161.1814</v>
      </c>
      <c r="BA571" s="78">
        <v>670.43079999999998</v>
      </c>
      <c r="BB571" s="78">
        <v>5.2656000000000001</v>
      </c>
      <c r="BC571" s="78"/>
      <c r="BD571" s="78"/>
      <c r="BE571" s="78"/>
      <c r="BF571" s="78"/>
      <c r="BG571" s="78"/>
      <c r="BH571" s="78"/>
      <c r="BI571" s="78"/>
      <c r="BJ571" s="78"/>
      <c r="BK571" s="78"/>
      <c r="BL571" s="78"/>
      <c r="BM571" s="78"/>
      <c r="BN571" s="78">
        <v>12.0006</v>
      </c>
      <c r="BO571" s="78">
        <v>5.4602000000000004</v>
      </c>
      <c r="BP571" s="78">
        <v>13.658899999999999</v>
      </c>
      <c r="BQ571" s="78">
        <f t="shared" si="1670"/>
        <v>12.0006</v>
      </c>
      <c r="BR571" s="78">
        <f t="shared" si="1671"/>
        <v>5.4602000000000004</v>
      </c>
      <c r="BS571" s="78">
        <f t="shared" si="1683"/>
        <v>13.658899999999999</v>
      </c>
      <c r="BT571" s="78">
        <v>13.5733</v>
      </c>
      <c r="BU571" s="78">
        <v>5.5136000000000003</v>
      </c>
      <c r="BV571" s="78">
        <v>17.348299999999998</v>
      </c>
      <c r="BW571" s="49">
        <f t="shared" si="1628"/>
        <v>13.5733</v>
      </c>
      <c r="BX571" s="49">
        <f t="shared" si="1636"/>
        <v>5.5136000000000003</v>
      </c>
      <c r="BY571" s="49">
        <f t="shared" si="1652"/>
        <v>17.348299999999998</v>
      </c>
      <c r="BZ571" s="78"/>
      <c r="CA571" s="78"/>
      <c r="CB571" s="78">
        <v>146.16</v>
      </c>
      <c r="CC571" s="231">
        <f t="shared" si="1672"/>
        <v>39400</v>
      </c>
    </row>
    <row r="572" spans="1:82" x14ac:dyDescent="0.25">
      <c r="A572" s="65"/>
      <c r="B572" s="57">
        <v>39450</v>
      </c>
      <c r="C572" s="58">
        <f t="shared" si="1699"/>
        <v>499.81670000000003</v>
      </c>
      <c r="D572" s="58">
        <f t="shared" si="1604"/>
        <v>1040.0343999999998</v>
      </c>
      <c r="E572" s="58">
        <f t="shared" si="1621"/>
        <v>0</v>
      </c>
      <c r="F572" s="58">
        <f t="shared" si="1605"/>
        <v>0</v>
      </c>
      <c r="G572" s="58">
        <f t="shared" si="1622"/>
        <v>28.715599999999998</v>
      </c>
      <c r="H572" s="58">
        <f t="shared" si="1623"/>
        <v>28.715599999999998</v>
      </c>
      <c r="I572" s="58">
        <f t="shared" si="1624"/>
        <v>34.145099999999999</v>
      </c>
      <c r="J572" s="51">
        <f t="shared" si="1625"/>
        <v>34.145099999999999</v>
      </c>
      <c r="K572" s="99">
        <f t="shared" si="1626"/>
        <v>146.37</v>
      </c>
      <c r="L572" s="105">
        <f t="shared" si="1494"/>
        <v>830</v>
      </c>
      <c r="M572" s="58">
        <f>ROUNDUP(((D571+D572)*0.5)*(B572-B571)/27,0)</f>
        <v>1902</v>
      </c>
      <c r="N572" s="58"/>
      <c r="O572" s="58">
        <f t="shared" si="1700"/>
        <v>0</v>
      </c>
      <c r="P572" s="58">
        <f t="shared" si="1497"/>
        <v>56</v>
      </c>
      <c r="Q572" s="58">
        <f t="shared" si="1498"/>
        <v>56</v>
      </c>
      <c r="R572" s="58">
        <f t="shared" si="1499"/>
        <v>197</v>
      </c>
      <c r="S572" s="58">
        <f t="shared" si="1500"/>
        <v>197</v>
      </c>
      <c r="T572" s="58">
        <f t="shared" si="1680"/>
        <v>813</v>
      </c>
      <c r="V572" s="137"/>
      <c r="W572" s="58"/>
      <c r="X572" s="58"/>
      <c r="Y572" s="58"/>
      <c r="Z572" s="58"/>
      <c r="AA572" s="58"/>
      <c r="AB572" s="58"/>
      <c r="AC572" s="58"/>
      <c r="AD572" s="138"/>
      <c r="AF572" s="57">
        <f t="shared" si="1613"/>
        <v>39450</v>
      </c>
      <c r="AG572" s="49">
        <v>215.71299999999999</v>
      </c>
      <c r="AH572" s="49">
        <v>8.6158999999999999</v>
      </c>
      <c r="AI572" s="49">
        <v>1.7245999999999999</v>
      </c>
      <c r="AJ572" s="49">
        <v>0.39529999999999998</v>
      </c>
      <c r="AK572" s="115">
        <v>100.28749999999999</v>
      </c>
      <c r="AL572" s="115">
        <v>173.0804</v>
      </c>
      <c r="AM572" s="49"/>
      <c r="AN572" s="49"/>
      <c r="AO572" s="49"/>
      <c r="AP572" s="49"/>
      <c r="AQ572" s="49"/>
      <c r="AR572" s="49"/>
      <c r="AS572" s="49"/>
      <c r="AT572" s="49"/>
      <c r="AU572" s="49"/>
      <c r="AV572" s="49"/>
      <c r="AW572" s="49"/>
      <c r="AX572" s="115">
        <v>100.28749999999999</v>
      </c>
      <c r="AY572" s="115">
        <v>173.0804</v>
      </c>
      <c r="AZ572" s="49">
        <v>174.97890000000001</v>
      </c>
      <c r="BA572" s="49">
        <v>586.94359999999995</v>
      </c>
      <c r="BB572" s="49">
        <v>4.6204999999999998</v>
      </c>
      <c r="BC572" s="49">
        <v>0.1235</v>
      </c>
      <c r="BD572" s="49"/>
      <c r="BE572" s="49"/>
      <c r="BF572" s="49"/>
      <c r="BG572" s="49"/>
      <c r="BH572" s="49"/>
      <c r="BI572" s="49"/>
      <c r="BJ572" s="49"/>
      <c r="BK572" s="49"/>
      <c r="BL572" s="49"/>
      <c r="BM572" s="49"/>
      <c r="BN572" s="49">
        <v>9.6922999999999995</v>
      </c>
      <c r="BO572" s="49">
        <v>5.5873999999999997</v>
      </c>
      <c r="BP572" s="49">
        <v>13.4359</v>
      </c>
      <c r="BQ572" s="49">
        <f t="shared" si="1670"/>
        <v>9.6922999999999995</v>
      </c>
      <c r="BR572" s="49">
        <f t="shared" si="1671"/>
        <v>5.5873999999999997</v>
      </c>
      <c r="BS572" s="49">
        <f t="shared" si="1683"/>
        <v>13.4359</v>
      </c>
      <c r="BT572" s="49">
        <v>11.235900000000001</v>
      </c>
      <c r="BU572" s="49">
        <v>5.5113000000000003</v>
      </c>
      <c r="BV572" s="49">
        <v>17.3979</v>
      </c>
      <c r="BW572" s="49">
        <f t="shared" si="1628"/>
        <v>11.235900000000001</v>
      </c>
      <c r="BX572" s="49">
        <f t="shared" si="1636"/>
        <v>5.5113000000000003</v>
      </c>
      <c r="BY572" s="49">
        <f t="shared" si="1652"/>
        <v>17.3979</v>
      </c>
      <c r="BZ572" s="49"/>
      <c r="CA572" s="49"/>
      <c r="CB572" s="49">
        <v>146.37</v>
      </c>
      <c r="CC572" s="231">
        <f t="shared" si="1672"/>
        <v>39450</v>
      </c>
    </row>
    <row r="573" spans="1:82" s="3" customFormat="1" ht="15.75" thickBot="1" x14ac:dyDescent="0.3">
      <c r="A573" s="204"/>
      <c r="B573" s="158">
        <v>39500</v>
      </c>
      <c r="C573" s="144">
        <f t="shared" si="1699"/>
        <v>220.01409999999998</v>
      </c>
      <c r="D573" s="144">
        <f t="shared" si="1604"/>
        <v>579.88710000000003</v>
      </c>
      <c r="E573" s="144">
        <f t="shared" si="1621"/>
        <v>0</v>
      </c>
      <c r="F573" s="144">
        <f t="shared" si="1605"/>
        <v>0</v>
      </c>
      <c r="G573" s="144">
        <f t="shared" si="1622"/>
        <v>25.1557</v>
      </c>
      <c r="H573" s="144">
        <f t="shared" si="1623"/>
        <v>25.1557</v>
      </c>
      <c r="I573" s="144">
        <f t="shared" si="1624"/>
        <v>32.456099999999999</v>
      </c>
      <c r="J573" s="159">
        <f t="shared" si="1625"/>
        <v>32.456099999999999</v>
      </c>
      <c r="K573" s="160">
        <f t="shared" si="1626"/>
        <v>104.27</v>
      </c>
      <c r="L573" s="152">
        <f t="shared" si="1494"/>
        <v>667</v>
      </c>
      <c r="M573" s="144">
        <f t="shared" si="1495"/>
        <v>1500</v>
      </c>
      <c r="N573" s="144"/>
      <c r="O573" s="144">
        <f t="shared" si="1700"/>
        <v>0</v>
      </c>
      <c r="P573" s="144">
        <f t="shared" si="1497"/>
        <v>50</v>
      </c>
      <c r="Q573" s="144">
        <f t="shared" si="1498"/>
        <v>50</v>
      </c>
      <c r="R573" s="144">
        <f t="shared" si="1499"/>
        <v>186</v>
      </c>
      <c r="S573" s="144">
        <f t="shared" si="1500"/>
        <v>186</v>
      </c>
      <c r="T573" s="144">
        <f t="shared" si="1680"/>
        <v>697</v>
      </c>
      <c r="V573" s="150">
        <f>L571+L572+L573</f>
        <v>2191</v>
      </c>
      <c r="W573" s="150">
        <f t="shared" ref="W573" si="1701">M571+M572+M573</f>
        <v>5311</v>
      </c>
      <c r="X573" s="150"/>
      <c r="Y573" s="150">
        <f t="shared" ref="Y573" si="1702">O571+O572+O573</f>
        <v>0</v>
      </c>
      <c r="Z573" s="150">
        <f t="shared" ref="Z573" si="1703">P571+P572+P573</f>
        <v>166</v>
      </c>
      <c r="AA573" s="150">
        <f t="shared" ref="AA573" si="1704">Q571+Q572+Q573</f>
        <v>166</v>
      </c>
      <c r="AB573" s="150">
        <f t="shared" ref="AB573" si="1705">R571+R572+R573</f>
        <v>590</v>
      </c>
      <c r="AC573" s="150">
        <f t="shared" ref="AC573" si="1706">S571+S572+S573</f>
        <v>590</v>
      </c>
      <c r="AD573" s="150">
        <f t="shared" ref="AD573" si="1707">T571+T572+T573</f>
        <v>2330</v>
      </c>
      <c r="AF573" s="158">
        <f t="shared" si="1613"/>
        <v>39500</v>
      </c>
      <c r="AG573" s="149">
        <v>57.3857</v>
      </c>
      <c r="AH573" s="149">
        <v>7.1672000000000002</v>
      </c>
      <c r="AI573" s="149">
        <v>1.5319</v>
      </c>
      <c r="AJ573" s="149">
        <v>0.67290000000000005</v>
      </c>
      <c r="AK573" s="186">
        <v>153.25640000000001</v>
      </c>
      <c r="AL573" s="149"/>
      <c r="AM573" s="149"/>
      <c r="AN573" s="149"/>
      <c r="AO573" s="149"/>
      <c r="AP573" s="149"/>
      <c r="AQ573" s="149"/>
      <c r="AR573" s="149"/>
      <c r="AS573" s="149"/>
      <c r="AT573" s="149"/>
      <c r="AU573" s="149"/>
      <c r="AV573" s="149"/>
      <c r="AW573" s="149"/>
      <c r="AX573" s="186">
        <v>153.25640000000001</v>
      </c>
      <c r="AY573" s="149">
        <v>190.14500000000001</v>
      </c>
      <c r="AZ573" s="149">
        <v>231.3794</v>
      </c>
      <c r="BA573" s="149">
        <v>4.7431999999999999</v>
      </c>
      <c r="BB573" s="149">
        <v>0.27379999999999999</v>
      </c>
      <c r="BC573" s="149">
        <v>8.9300000000000004E-2</v>
      </c>
      <c r="BD573" s="149"/>
      <c r="BE573" s="149"/>
      <c r="BF573" s="149"/>
      <c r="BG573" s="149"/>
      <c r="BH573" s="149"/>
      <c r="BI573" s="149"/>
      <c r="BJ573" s="149"/>
      <c r="BK573" s="149"/>
      <c r="BL573" s="149"/>
      <c r="BM573" s="149"/>
      <c r="BN573" s="149">
        <v>5.1310000000000002</v>
      </c>
      <c r="BO573" s="149">
        <v>5.4429999999999996</v>
      </c>
      <c r="BP573" s="149">
        <v>14.5817</v>
      </c>
      <c r="BQ573" s="149">
        <f t="shared" si="1670"/>
        <v>5.1310000000000002</v>
      </c>
      <c r="BR573" s="149">
        <f t="shared" si="1671"/>
        <v>5.4429999999999996</v>
      </c>
      <c r="BS573" s="149">
        <f t="shared" si="1683"/>
        <v>14.5817</v>
      </c>
      <c r="BT573" s="149">
        <v>6.8973000000000004</v>
      </c>
      <c r="BU573" s="149">
        <v>5.5088999999999997</v>
      </c>
      <c r="BV573" s="149">
        <v>20.049900000000001</v>
      </c>
      <c r="BW573" s="149">
        <f>BT573</f>
        <v>6.8973000000000004</v>
      </c>
      <c r="BX573" s="149">
        <f>BU573</f>
        <v>5.5088999999999997</v>
      </c>
      <c r="BY573" s="149">
        <f>BV573</f>
        <v>20.049900000000001</v>
      </c>
      <c r="BZ573" s="149"/>
      <c r="CA573" s="149"/>
      <c r="CB573" s="149">
        <v>104.27</v>
      </c>
      <c r="CC573" s="231">
        <f t="shared" si="1672"/>
        <v>39500</v>
      </c>
    </row>
    <row r="574" spans="1:82" x14ac:dyDescent="0.25">
      <c r="A574" s="65"/>
      <c r="B574" s="155">
        <v>39550</v>
      </c>
      <c r="C574" s="147">
        <f t="shared" si="1699"/>
        <v>58.000199999999992</v>
      </c>
      <c r="D574" s="147">
        <f t="shared" si="1604"/>
        <v>382.79279999999994</v>
      </c>
      <c r="E574" s="147">
        <f t="shared" si="1621"/>
        <v>0</v>
      </c>
      <c r="F574" s="147">
        <f t="shared" si="1605"/>
        <v>0</v>
      </c>
      <c r="G574" s="147">
        <f t="shared" si="1622"/>
        <v>24.154400000000003</v>
      </c>
      <c r="H574" s="147">
        <f t="shared" si="1623"/>
        <v>24.154400000000003</v>
      </c>
      <c r="I574" s="147">
        <f t="shared" si="1624"/>
        <v>31.421500000000002</v>
      </c>
      <c r="J574" s="156">
        <f t="shared" si="1625"/>
        <v>31.421500000000002</v>
      </c>
      <c r="K574" s="157">
        <f t="shared" si="1626"/>
        <v>99.65</v>
      </c>
      <c r="L574" s="151">
        <f t="shared" si="1494"/>
        <v>258</v>
      </c>
      <c r="M574" s="147">
        <f t="shared" si="1495"/>
        <v>892</v>
      </c>
      <c r="N574" s="147"/>
      <c r="O574" s="147">
        <f t="shared" si="1700"/>
        <v>0</v>
      </c>
      <c r="P574" s="147">
        <f t="shared" si="1497"/>
        <v>46</v>
      </c>
      <c r="Q574" s="147">
        <f t="shared" si="1498"/>
        <v>46</v>
      </c>
      <c r="R574" s="147">
        <f t="shared" si="1499"/>
        <v>178</v>
      </c>
      <c r="S574" s="147">
        <f t="shared" si="1500"/>
        <v>178</v>
      </c>
      <c r="T574" s="147">
        <f t="shared" si="1680"/>
        <v>567</v>
      </c>
      <c r="V574" s="146"/>
      <c r="W574" s="147"/>
      <c r="X574" s="147"/>
      <c r="Y574" s="147"/>
      <c r="Z574" s="147"/>
      <c r="AA574" s="147"/>
      <c r="AB574" s="147"/>
      <c r="AC574" s="147"/>
      <c r="AD574" s="148"/>
      <c r="AF574" s="155">
        <f t="shared" si="1613"/>
        <v>39550</v>
      </c>
      <c r="AG574" s="78">
        <v>47.909199999999998</v>
      </c>
      <c r="AH574" s="78">
        <v>7.8986999999999998</v>
      </c>
      <c r="AI574" s="78">
        <v>1.546</v>
      </c>
      <c r="AJ574" s="78">
        <v>0.64629999999999999</v>
      </c>
      <c r="AK574" s="78"/>
      <c r="AL574" s="78"/>
      <c r="AM574" s="78"/>
      <c r="AN574" s="78"/>
      <c r="AO574" s="78"/>
      <c r="AP574" s="78"/>
      <c r="AQ574" s="78"/>
      <c r="AR574" s="78"/>
      <c r="AS574" s="78"/>
      <c r="AT574" s="78"/>
      <c r="AU574" s="78"/>
      <c r="AV574" s="78"/>
      <c r="AW574" s="78"/>
      <c r="AX574" s="78">
        <v>193.75319999999999</v>
      </c>
      <c r="AY574" s="78">
        <v>184.25049999999999</v>
      </c>
      <c r="AZ574" s="78">
        <v>4.6355000000000004</v>
      </c>
      <c r="BA574" s="78">
        <v>0.15359999999999999</v>
      </c>
      <c r="BB574" s="78"/>
      <c r="BC574" s="78"/>
      <c r="BD574" s="78"/>
      <c r="BE574" s="78"/>
      <c r="BF574" s="78"/>
      <c r="BG574" s="78"/>
      <c r="BH574" s="78"/>
      <c r="BI574" s="78"/>
      <c r="BJ574" s="78"/>
      <c r="BK574" s="78"/>
      <c r="BL574" s="78"/>
      <c r="BM574" s="78"/>
      <c r="BN574" s="78">
        <v>3.6695000000000002</v>
      </c>
      <c r="BO574" s="78">
        <v>5.4629000000000003</v>
      </c>
      <c r="BP574" s="78">
        <v>15.022</v>
      </c>
      <c r="BQ574" s="78">
        <f t="shared" si="1670"/>
        <v>3.6695000000000002</v>
      </c>
      <c r="BR574" s="78">
        <f t="shared" si="1671"/>
        <v>5.4629000000000003</v>
      </c>
      <c r="BS574" s="78">
        <f t="shared" si="1683"/>
        <v>15.022</v>
      </c>
      <c r="BT574" s="78">
        <v>6.0688000000000004</v>
      </c>
      <c r="BU574" s="78">
        <v>5.5071000000000003</v>
      </c>
      <c r="BV574" s="78">
        <v>19.845600000000001</v>
      </c>
      <c r="BW574" s="49">
        <f t="shared" si="1628"/>
        <v>6.0688000000000004</v>
      </c>
      <c r="BX574" s="49">
        <f t="shared" si="1636"/>
        <v>5.5071000000000003</v>
      </c>
      <c r="BY574" s="49">
        <f t="shared" si="1652"/>
        <v>19.845600000000001</v>
      </c>
      <c r="BZ574" s="78"/>
      <c r="CA574" s="78"/>
      <c r="CB574" s="78">
        <v>99.65</v>
      </c>
      <c r="CC574" s="231">
        <f t="shared" si="1672"/>
        <v>39550</v>
      </c>
    </row>
    <row r="575" spans="1:82" x14ac:dyDescent="0.25">
      <c r="A575" s="65"/>
      <c r="B575" s="57">
        <v>39600</v>
      </c>
      <c r="C575" s="58">
        <f t="shared" si="1699"/>
        <v>40.0242</v>
      </c>
      <c r="D575" s="58">
        <f t="shared" si="1604"/>
        <v>397.32580000000002</v>
      </c>
      <c r="E575" s="58">
        <f t="shared" si="1621"/>
        <v>0</v>
      </c>
      <c r="F575" s="58">
        <f t="shared" si="1605"/>
        <v>0</v>
      </c>
      <c r="G575" s="58">
        <f t="shared" si="1622"/>
        <v>21.678999999999998</v>
      </c>
      <c r="H575" s="58">
        <f t="shared" si="1623"/>
        <v>21.678999999999998</v>
      </c>
      <c r="I575" s="58">
        <f t="shared" si="1624"/>
        <v>29.675799999999999</v>
      </c>
      <c r="J575" s="51">
        <f t="shared" si="1625"/>
        <v>29.675799999999999</v>
      </c>
      <c r="K575" s="99">
        <f t="shared" si="1626"/>
        <v>99.61</v>
      </c>
      <c r="L575" s="105">
        <f t="shared" si="1494"/>
        <v>91</v>
      </c>
      <c r="M575" s="58">
        <f t="shared" si="1495"/>
        <v>723</v>
      </c>
      <c r="N575" s="58"/>
      <c r="O575" s="58">
        <f t="shared" si="1700"/>
        <v>0</v>
      </c>
      <c r="P575" s="58">
        <f t="shared" si="1497"/>
        <v>43</v>
      </c>
      <c r="Q575" s="58">
        <f t="shared" si="1498"/>
        <v>43</v>
      </c>
      <c r="R575" s="58">
        <f t="shared" si="1499"/>
        <v>170</v>
      </c>
      <c r="S575" s="58">
        <f t="shared" si="1500"/>
        <v>170</v>
      </c>
      <c r="T575" s="58">
        <f t="shared" si="1680"/>
        <v>554</v>
      </c>
      <c r="V575" s="137"/>
      <c r="W575" s="58"/>
      <c r="X575" s="58"/>
      <c r="Y575" s="58"/>
      <c r="Z575" s="58"/>
      <c r="AA575" s="58"/>
      <c r="AB575" s="58"/>
      <c r="AC575" s="58"/>
      <c r="AD575" s="138"/>
      <c r="AF575" s="57">
        <f t="shared" si="1613"/>
        <v>39600</v>
      </c>
      <c r="AG575" s="49">
        <v>28.643899999999999</v>
      </c>
      <c r="AH575" s="49">
        <v>9.1841000000000008</v>
      </c>
      <c r="AI575" s="49">
        <v>1.7950999999999999</v>
      </c>
      <c r="AJ575" s="49">
        <v>0.40110000000000001</v>
      </c>
      <c r="AK575" s="49"/>
      <c r="AL575" s="49"/>
      <c r="AM575" s="49"/>
      <c r="AN575" s="49"/>
      <c r="AO575" s="49"/>
      <c r="AP575" s="49"/>
      <c r="AQ575" s="49"/>
      <c r="AR575" s="49"/>
      <c r="AS575" s="49"/>
      <c r="AT575" s="49"/>
      <c r="AU575" s="49"/>
      <c r="AV575" s="49"/>
      <c r="AW575" s="49"/>
      <c r="AX575" s="49">
        <v>233.35480000000001</v>
      </c>
      <c r="AY575" s="49">
        <v>160.1694</v>
      </c>
      <c r="AZ575" s="49">
        <v>3.6844999999999999</v>
      </c>
      <c r="BA575" s="49">
        <v>0.1171</v>
      </c>
      <c r="BB575" s="49"/>
      <c r="BC575" s="49"/>
      <c r="BD575" s="49"/>
      <c r="BE575" s="49"/>
      <c r="BF575" s="49"/>
      <c r="BG575" s="49"/>
      <c r="BH575" s="49"/>
      <c r="BI575" s="49"/>
      <c r="BJ575" s="49"/>
      <c r="BK575" s="49"/>
      <c r="BL575" s="49"/>
      <c r="BM575" s="49"/>
      <c r="BN575" s="49">
        <v>1.4259999999999999</v>
      </c>
      <c r="BO575" s="49">
        <v>5.4592000000000001</v>
      </c>
      <c r="BP575" s="49">
        <v>14.793799999999999</v>
      </c>
      <c r="BQ575" s="49">
        <f t="shared" si="1670"/>
        <v>1.4259999999999999</v>
      </c>
      <c r="BR575" s="49">
        <f t="shared" si="1671"/>
        <v>5.4592000000000001</v>
      </c>
      <c r="BS575" s="49">
        <f t="shared" si="1683"/>
        <v>14.793799999999999</v>
      </c>
      <c r="BT575" s="49">
        <v>3.7547999999999999</v>
      </c>
      <c r="BU575" s="49">
        <v>5.5044000000000004</v>
      </c>
      <c r="BV575" s="49">
        <v>20.416599999999999</v>
      </c>
      <c r="BW575" s="49">
        <f t="shared" si="1628"/>
        <v>3.7547999999999999</v>
      </c>
      <c r="BX575" s="49">
        <f t="shared" si="1636"/>
        <v>5.5044000000000004</v>
      </c>
      <c r="BY575" s="49">
        <f t="shared" si="1652"/>
        <v>20.416599999999999</v>
      </c>
      <c r="BZ575" s="49"/>
      <c r="CA575" s="49"/>
      <c r="CB575" s="49">
        <v>99.61</v>
      </c>
      <c r="CC575" s="231">
        <f t="shared" si="1672"/>
        <v>39600</v>
      </c>
    </row>
    <row r="576" spans="1:82" x14ac:dyDescent="0.25">
      <c r="A576" s="65"/>
      <c r="B576" s="57">
        <v>39650</v>
      </c>
      <c r="C576" s="58">
        <f t="shared" si="1699"/>
        <v>76.311499999999995</v>
      </c>
      <c r="D576" s="58">
        <f t="shared" si="1604"/>
        <v>148.64280000000002</v>
      </c>
      <c r="E576" s="58">
        <f t="shared" si="1621"/>
        <v>0</v>
      </c>
      <c r="F576" s="58">
        <f t="shared" si="1605"/>
        <v>0</v>
      </c>
      <c r="G576" s="58">
        <f t="shared" si="1622"/>
        <v>64.659199999999998</v>
      </c>
      <c r="H576" s="58">
        <f t="shared" si="1623"/>
        <v>64.659199999999998</v>
      </c>
      <c r="I576" s="58">
        <f t="shared" si="1624"/>
        <v>76.285200000000003</v>
      </c>
      <c r="J576" s="51">
        <f t="shared" si="1625"/>
        <v>76.285200000000003</v>
      </c>
      <c r="K576" s="99">
        <f t="shared" si="1626"/>
        <v>91.9</v>
      </c>
      <c r="L576" s="105">
        <f t="shared" si="1494"/>
        <v>108</v>
      </c>
      <c r="M576" s="58">
        <f t="shared" si="1495"/>
        <v>506</v>
      </c>
      <c r="N576" s="58"/>
      <c r="O576" s="58">
        <f t="shared" si="1700"/>
        <v>0</v>
      </c>
      <c r="P576" s="58">
        <f t="shared" si="1497"/>
        <v>80</v>
      </c>
      <c r="Q576" s="58">
        <f t="shared" si="1498"/>
        <v>80</v>
      </c>
      <c r="R576" s="58">
        <f t="shared" si="1499"/>
        <v>295</v>
      </c>
      <c r="S576" s="58">
        <f t="shared" si="1500"/>
        <v>295</v>
      </c>
      <c r="T576" s="58">
        <f t="shared" si="1680"/>
        <v>532</v>
      </c>
      <c r="V576" s="137"/>
      <c r="W576" s="58"/>
      <c r="X576" s="58"/>
      <c r="Y576" s="58"/>
      <c r="Z576" s="58"/>
      <c r="AA576" s="58"/>
      <c r="AB576" s="58"/>
      <c r="AC576" s="58"/>
      <c r="AD576" s="138"/>
      <c r="AF576" s="57">
        <f t="shared" si="1613"/>
        <v>39650</v>
      </c>
      <c r="AG576" s="49">
        <v>46.4514</v>
      </c>
      <c r="AH576" s="49">
        <v>26.7514</v>
      </c>
      <c r="AI576" s="49">
        <v>2.0087000000000002</v>
      </c>
      <c r="AJ576" s="49">
        <v>1.1000000000000001</v>
      </c>
      <c r="AK576" s="49"/>
      <c r="AL576" s="49"/>
      <c r="AM576" s="49"/>
      <c r="AN576" s="49"/>
      <c r="AO576" s="49"/>
      <c r="AP576" s="49"/>
      <c r="AQ576" s="49"/>
      <c r="AR576" s="49"/>
      <c r="AS576" s="49"/>
      <c r="AT576" s="49"/>
      <c r="AU576" s="49"/>
      <c r="AV576" s="49"/>
      <c r="AW576" s="49"/>
      <c r="AX576" s="49">
        <v>1.0225</v>
      </c>
      <c r="AY576" s="49">
        <v>144.4016</v>
      </c>
      <c r="AZ576" s="49">
        <v>3.2187000000000001</v>
      </c>
      <c r="BA576" s="49"/>
      <c r="BB576" s="49"/>
      <c r="BC576" s="49"/>
      <c r="BD576" s="49"/>
      <c r="BE576" s="49"/>
      <c r="BF576" s="49"/>
      <c r="BG576" s="49"/>
      <c r="BH576" s="49"/>
      <c r="BI576" s="49"/>
      <c r="BJ576" s="49"/>
      <c r="BK576" s="49"/>
      <c r="BL576" s="49"/>
      <c r="BM576" s="49"/>
      <c r="BN576" s="49">
        <v>42.348999999999997</v>
      </c>
      <c r="BO576" s="49">
        <v>5.4592000000000001</v>
      </c>
      <c r="BP576" s="49">
        <v>16.850999999999999</v>
      </c>
      <c r="BQ576" s="49">
        <f t="shared" si="1670"/>
        <v>42.348999999999997</v>
      </c>
      <c r="BR576" s="49">
        <f t="shared" si="1671"/>
        <v>5.4592000000000001</v>
      </c>
      <c r="BS576" s="49">
        <f t="shared" si="1683"/>
        <v>16.850999999999999</v>
      </c>
      <c r="BT576" s="49">
        <v>41.023099999999999</v>
      </c>
      <c r="BU576" s="49">
        <v>5.5044000000000004</v>
      </c>
      <c r="BV576" s="49">
        <v>29.7577</v>
      </c>
      <c r="BW576" s="49">
        <f t="shared" si="1628"/>
        <v>41.023099999999999</v>
      </c>
      <c r="BX576" s="49">
        <f t="shared" si="1636"/>
        <v>5.5044000000000004</v>
      </c>
      <c r="BY576" s="49">
        <f t="shared" si="1652"/>
        <v>29.7577</v>
      </c>
      <c r="BZ576" s="49"/>
      <c r="CA576" s="49"/>
      <c r="CB576" s="49">
        <v>91.9</v>
      </c>
      <c r="CC576" s="231">
        <f t="shared" si="1672"/>
        <v>39650</v>
      </c>
    </row>
    <row r="577" spans="1:82" s="3" customFormat="1" ht="15.75" thickBot="1" x14ac:dyDescent="0.3">
      <c r="A577" s="204"/>
      <c r="B577" s="158">
        <v>39700</v>
      </c>
      <c r="C577" s="144">
        <f t="shared" si="1699"/>
        <v>157.7081</v>
      </c>
      <c r="D577" s="144">
        <f t="shared" si="1604"/>
        <v>556.36620000000005</v>
      </c>
      <c r="E577" s="144">
        <f t="shared" si="1621"/>
        <v>0</v>
      </c>
      <c r="F577" s="144">
        <f t="shared" si="1605"/>
        <v>0</v>
      </c>
      <c r="G577" s="144">
        <f t="shared" si="1622"/>
        <v>24.6937</v>
      </c>
      <c r="H577" s="144">
        <f t="shared" si="1623"/>
        <v>24.6937</v>
      </c>
      <c r="I577" s="144">
        <f t="shared" si="1624"/>
        <v>41.415699999999994</v>
      </c>
      <c r="J577" s="159">
        <f t="shared" si="1625"/>
        <v>41.415699999999994</v>
      </c>
      <c r="K577" s="160">
        <f>BZ577+CA577+CB577</f>
        <v>88.47</v>
      </c>
      <c r="L577" s="152">
        <f t="shared" si="1494"/>
        <v>217</v>
      </c>
      <c r="M577" s="144">
        <f t="shared" si="1495"/>
        <v>653</v>
      </c>
      <c r="N577" s="144"/>
      <c r="O577" s="144">
        <f t="shared" si="1700"/>
        <v>0</v>
      </c>
      <c r="P577" s="144">
        <f t="shared" si="1497"/>
        <v>83</v>
      </c>
      <c r="Q577" s="144">
        <f t="shared" si="1498"/>
        <v>83</v>
      </c>
      <c r="R577" s="144">
        <f t="shared" si="1499"/>
        <v>327</v>
      </c>
      <c r="S577" s="144">
        <f t="shared" si="1500"/>
        <v>327</v>
      </c>
      <c r="T577" s="144">
        <f t="shared" si="1680"/>
        <v>502</v>
      </c>
      <c r="V577" s="150">
        <f>L574+L575+L576+L577</f>
        <v>674</v>
      </c>
      <c r="W577" s="150">
        <f t="shared" ref="W577" si="1708">M574+M575+M576+M577</f>
        <v>2774</v>
      </c>
      <c r="X577" s="150"/>
      <c r="Y577" s="150">
        <f t="shared" ref="Y577:AD577" si="1709">O574+O575+O576+O577</f>
        <v>0</v>
      </c>
      <c r="Z577" s="150">
        <f t="shared" si="1709"/>
        <v>252</v>
      </c>
      <c r="AA577" s="150">
        <f t="shared" si="1709"/>
        <v>252</v>
      </c>
      <c r="AB577" s="150">
        <f t="shared" si="1709"/>
        <v>970</v>
      </c>
      <c r="AC577" s="150">
        <f t="shared" si="1709"/>
        <v>970</v>
      </c>
      <c r="AD577" s="150">
        <f t="shared" si="1709"/>
        <v>2155</v>
      </c>
      <c r="AF577" s="158">
        <f t="shared" si="1613"/>
        <v>39700</v>
      </c>
      <c r="AG577" s="149">
        <v>9.4702999999999999</v>
      </c>
      <c r="AH577" s="149">
        <v>1.9919</v>
      </c>
      <c r="AI577" s="149">
        <v>0.39500000000000002</v>
      </c>
      <c r="AJ577" s="186">
        <v>145.8509</v>
      </c>
      <c r="AK577" s="149"/>
      <c r="AL577" s="149"/>
      <c r="AM577" s="149"/>
      <c r="AN577" s="149"/>
      <c r="AO577" s="149"/>
      <c r="AP577" s="149"/>
      <c r="AQ577" s="149"/>
      <c r="AR577" s="149"/>
      <c r="AS577" s="149"/>
      <c r="AT577" s="149"/>
      <c r="AU577" s="149"/>
      <c r="AV577" s="149"/>
      <c r="AW577" s="149"/>
      <c r="AX577" s="186">
        <v>145.8509</v>
      </c>
      <c r="AY577" s="149">
        <v>304.69880000000001</v>
      </c>
      <c r="AZ577" s="149">
        <v>105.3017</v>
      </c>
      <c r="BA577" s="149">
        <v>0.51480000000000004</v>
      </c>
      <c r="BB577" s="149"/>
      <c r="BC577" s="149"/>
      <c r="BD577" s="149"/>
      <c r="BE577" s="149"/>
      <c r="BF577" s="149"/>
      <c r="BG577" s="149"/>
      <c r="BH577" s="149"/>
      <c r="BI577" s="149"/>
      <c r="BJ577" s="149"/>
      <c r="BK577" s="149"/>
      <c r="BL577" s="149"/>
      <c r="BM577" s="149"/>
      <c r="BN577" s="149">
        <v>5.4865000000000004</v>
      </c>
      <c r="BO577" s="149">
        <v>19.2072</v>
      </c>
      <c r="BP577" s="149"/>
      <c r="BQ577" s="149">
        <f t="shared" ref="BQ577" si="1710">BN577</f>
        <v>5.4865000000000004</v>
      </c>
      <c r="BR577" s="149">
        <f t="shared" ref="BR577:BR578" si="1711">BO577</f>
        <v>19.2072</v>
      </c>
      <c r="BS577" s="149"/>
      <c r="BT577" s="149">
        <v>5.5058999999999996</v>
      </c>
      <c r="BU577" s="149">
        <v>35.909799999999997</v>
      </c>
      <c r="BV577" s="149"/>
      <c r="BW577" s="149">
        <f>BT577</f>
        <v>5.5058999999999996</v>
      </c>
      <c r="BX577" s="149">
        <f>BU577</f>
        <v>35.909799999999997</v>
      </c>
      <c r="BY577" s="149"/>
      <c r="BZ577" s="149"/>
      <c r="CA577" s="149"/>
      <c r="CB577" s="149">
        <v>88.47</v>
      </c>
      <c r="CC577" s="231">
        <f t="shared" si="1672"/>
        <v>39700</v>
      </c>
    </row>
    <row r="578" spans="1:82" s="80" customFormat="1" ht="15" customHeight="1" x14ac:dyDescent="0.25">
      <c r="A578" s="116" t="s">
        <v>53</v>
      </c>
      <c r="B578" s="473">
        <v>39749.129999999997</v>
      </c>
      <c r="C578" s="169">
        <f t="shared" si="1699"/>
        <v>196.33010000000002</v>
      </c>
      <c r="D578" s="169">
        <f t="shared" si="1604"/>
        <v>619.7953</v>
      </c>
      <c r="E578" s="169">
        <f t="shared" si="1621"/>
        <v>0</v>
      </c>
      <c r="F578" s="169">
        <f t="shared" si="1605"/>
        <v>0</v>
      </c>
      <c r="G578" s="169">
        <f t="shared" si="1622"/>
        <v>25.462499999999999</v>
      </c>
      <c r="H578" s="169">
        <f t="shared" si="1623"/>
        <v>25.462499999999999</v>
      </c>
      <c r="I578" s="169">
        <f t="shared" si="1624"/>
        <v>25.4481</v>
      </c>
      <c r="J578" s="156">
        <f t="shared" si="1625"/>
        <v>25.4481</v>
      </c>
      <c r="K578" s="171">
        <f>BZ578+CA578+CB578</f>
        <v>66.3489</v>
      </c>
      <c r="L578" s="164">
        <f>ROUNDUP(((C577+C578)*0.5)*(B578-B577)/27,0)</f>
        <v>323</v>
      </c>
      <c r="M578" s="161">
        <f t="shared" ref="M578" si="1712">ROUNDUP(((D577+D578)*0.5)*(B578-B577)/27,0)</f>
        <v>1071</v>
      </c>
      <c r="N578" s="161"/>
      <c r="O578" s="161">
        <f t="shared" si="1700"/>
        <v>0</v>
      </c>
      <c r="P578" s="161">
        <f>ROUNDUP(((G578+G577)*0.5)*(B578-B577)/27,0)</f>
        <v>46</v>
      </c>
      <c r="Q578" s="161">
        <f t="shared" ref="Q578" si="1713">ROUNDUP(((H578+H577)*0.5)*(B578-B577)/27,0)</f>
        <v>46</v>
      </c>
      <c r="R578" s="161">
        <f t="shared" ref="R578" si="1714">ROUNDUP(((I578+I577)*0.5)*(B578-B577)/9,0)</f>
        <v>183</v>
      </c>
      <c r="S578" s="161">
        <f t="shared" ref="S578" si="1715">ROUNDUP(((J578+J577)*0.5)*(B578-B577)/9,0)</f>
        <v>183</v>
      </c>
      <c r="T578" s="161">
        <f t="shared" si="1680"/>
        <v>423</v>
      </c>
      <c r="V578" s="165"/>
      <c r="W578" s="161"/>
      <c r="X578" s="161"/>
      <c r="Y578" s="161"/>
      <c r="Z578" s="161"/>
      <c r="AA578" s="161"/>
      <c r="AB578" s="161"/>
      <c r="AC578" s="161"/>
      <c r="AD578" s="166"/>
      <c r="AE578" s="80" t="str">
        <f>A578</f>
        <v>back</v>
      </c>
      <c r="AF578" s="473">
        <f t="shared" ref="AF578" si="1716">B578</f>
        <v>39749.129999999997</v>
      </c>
      <c r="AG578" s="172"/>
      <c r="AH578" s="172">
        <v>1.8724000000000001</v>
      </c>
      <c r="AI578" s="172">
        <v>3.0192999999999999</v>
      </c>
      <c r="AJ578" s="185">
        <v>191.4384</v>
      </c>
      <c r="AK578" s="172"/>
      <c r="AL578" s="172"/>
      <c r="AM578" s="172"/>
      <c r="AN578" s="172"/>
      <c r="AO578" s="172"/>
      <c r="AP578" s="172"/>
      <c r="AQ578" s="172"/>
      <c r="AR578" s="172"/>
      <c r="AS578" s="172"/>
      <c r="AT578" s="172"/>
      <c r="AU578" s="172"/>
      <c r="AV578" s="172"/>
      <c r="AW578" s="172"/>
      <c r="AX578" s="185">
        <v>191.4384</v>
      </c>
      <c r="AY578" s="172">
        <v>364.13049999999998</v>
      </c>
      <c r="AZ578" s="172">
        <v>64.226399999999998</v>
      </c>
      <c r="BA578" s="172"/>
      <c r="BB578" s="172"/>
      <c r="BC578" s="172"/>
      <c r="BD578" s="172"/>
      <c r="BE578" s="172"/>
      <c r="BF578" s="172"/>
      <c r="BG578" s="172"/>
      <c r="BH578" s="172"/>
      <c r="BI578" s="172"/>
      <c r="BJ578" s="172"/>
      <c r="BK578" s="172"/>
      <c r="BL578" s="172"/>
      <c r="BM578" s="172"/>
      <c r="BN578" s="172"/>
      <c r="BO578" s="172">
        <v>25.462499999999999</v>
      </c>
      <c r="BP578" s="172"/>
      <c r="BQ578" s="172"/>
      <c r="BR578" s="172">
        <f t="shared" si="1711"/>
        <v>25.462499999999999</v>
      </c>
      <c r="BS578" s="172"/>
      <c r="BT578" s="172"/>
      <c r="BU578" s="172">
        <v>25.4481</v>
      </c>
      <c r="BV578" s="172"/>
      <c r="BW578" s="109"/>
      <c r="BX578" s="109">
        <f t="shared" si="1636"/>
        <v>25.4481</v>
      </c>
      <c r="BY578" s="109"/>
      <c r="BZ578" s="172"/>
      <c r="CA578" s="172">
        <v>17.789100000000001</v>
      </c>
      <c r="CB578" s="172">
        <v>48.559800000000003</v>
      </c>
      <c r="CC578" s="447">
        <f t="shared" si="1672"/>
        <v>39749.129999999997</v>
      </c>
      <c r="CD578" s="62" t="s">
        <v>53</v>
      </c>
    </row>
    <row r="579" spans="1:82" s="80" customFormat="1" ht="15" customHeight="1" x14ac:dyDescent="0.25">
      <c r="A579" s="116" t="s">
        <v>54</v>
      </c>
      <c r="B579" s="472"/>
      <c r="C579" s="82">
        <f t="shared" si="1699"/>
        <v>759.7174</v>
      </c>
      <c r="D579" s="82">
        <f t="shared" si="1604"/>
        <v>628.87459999999999</v>
      </c>
      <c r="E579" s="82">
        <f t="shared" si="1621"/>
        <v>0</v>
      </c>
      <c r="F579" s="82">
        <f t="shared" si="1605"/>
        <v>0</v>
      </c>
      <c r="G579" s="82">
        <f t="shared" si="1622"/>
        <v>43.926599999999993</v>
      </c>
      <c r="H579" s="82">
        <f t="shared" si="1623"/>
        <v>43.926599999999993</v>
      </c>
      <c r="I579" s="82">
        <f t="shared" si="1624"/>
        <v>44.756500000000003</v>
      </c>
      <c r="J579" s="51">
        <f t="shared" si="1625"/>
        <v>44.756500000000003</v>
      </c>
      <c r="K579" s="101">
        <f t="shared" si="1626"/>
        <v>178.24299999999999</v>
      </c>
      <c r="L579" s="107"/>
      <c r="M579" s="82"/>
      <c r="N579" s="82"/>
      <c r="O579" s="82"/>
      <c r="P579" s="82"/>
      <c r="Q579" s="82"/>
      <c r="R579" s="82"/>
      <c r="S579" s="82"/>
      <c r="T579" s="82"/>
      <c r="V579" s="141"/>
      <c r="W579" s="82"/>
      <c r="X579" s="82"/>
      <c r="Y579" s="82"/>
      <c r="Z579" s="82"/>
      <c r="AA579" s="82"/>
      <c r="AB579" s="82"/>
      <c r="AC579" s="82"/>
      <c r="AD579" s="142"/>
      <c r="AE579" s="80" t="str">
        <f>A579</f>
        <v>ahead</v>
      </c>
      <c r="AF579" s="472"/>
      <c r="AG579" s="109">
        <v>563.38729999999998</v>
      </c>
      <c r="AH579" s="109">
        <v>1.8724000000000001</v>
      </c>
      <c r="AI579" s="109">
        <v>3.0192999999999999</v>
      </c>
      <c r="AJ579" s="115">
        <v>191.4384</v>
      </c>
      <c r="AK579" s="109"/>
      <c r="AL579" s="109"/>
      <c r="AM579" s="109"/>
      <c r="AN579" s="109"/>
      <c r="AO579" s="109"/>
      <c r="AP579" s="109"/>
      <c r="AQ579" s="109"/>
      <c r="AR579" s="109"/>
      <c r="AS579" s="109"/>
      <c r="AT579" s="109"/>
      <c r="AU579" s="109"/>
      <c r="AV579" s="109"/>
      <c r="AW579" s="109"/>
      <c r="AX579" s="115">
        <v>191.4384</v>
      </c>
      <c r="AY579" s="109">
        <v>364.13049999999998</v>
      </c>
      <c r="AZ579" s="109">
        <v>64.226399999999998</v>
      </c>
      <c r="BA579" s="109">
        <v>9.0792999999999999</v>
      </c>
      <c r="BB579" s="109"/>
      <c r="BC579" s="109"/>
      <c r="BD579" s="109"/>
      <c r="BE579" s="109"/>
      <c r="BF579" s="109"/>
      <c r="BG579" s="109"/>
      <c r="BH579" s="109"/>
      <c r="BI579" s="109"/>
      <c r="BJ579" s="109"/>
      <c r="BK579" s="109"/>
      <c r="BL579" s="109"/>
      <c r="BM579" s="109"/>
      <c r="BN579" s="109">
        <v>18.464099999999998</v>
      </c>
      <c r="BO579" s="109">
        <v>25.462499999999999</v>
      </c>
      <c r="BP579" s="109"/>
      <c r="BQ579" s="109">
        <f t="shared" ref="BQ579:BQ587" si="1717">BN579</f>
        <v>18.464099999999998</v>
      </c>
      <c r="BR579" s="109">
        <f t="shared" ref="BR579:BR582" si="1718">BO579</f>
        <v>25.462499999999999</v>
      </c>
      <c r="BS579" s="109"/>
      <c r="BT579" s="172">
        <v>19.308399999999999</v>
      </c>
      <c r="BU579" s="172">
        <v>25.4481</v>
      </c>
      <c r="BV579" s="109"/>
      <c r="BW579" s="109">
        <f t="shared" si="1628"/>
        <v>19.308399999999999</v>
      </c>
      <c r="BX579" s="109">
        <f t="shared" si="1636"/>
        <v>25.4481</v>
      </c>
      <c r="BY579" s="109"/>
      <c r="BZ579" s="109">
        <v>111.89409999999999</v>
      </c>
      <c r="CA579" s="109">
        <v>17.789100000000001</v>
      </c>
      <c r="CB579" s="109">
        <v>48.559800000000003</v>
      </c>
      <c r="CC579" s="447"/>
      <c r="CD579" s="62" t="s">
        <v>54</v>
      </c>
    </row>
    <row r="580" spans="1:82" ht="15" customHeight="1" x14ac:dyDescent="0.25">
      <c r="A580" s="65"/>
      <c r="B580" s="57">
        <v>39800</v>
      </c>
      <c r="C580" s="58">
        <f t="shared" si="1699"/>
        <v>575.95490000000007</v>
      </c>
      <c r="D580" s="58">
        <f t="shared" si="1604"/>
        <v>664.83960000000002</v>
      </c>
      <c r="E580" s="58">
        <f t="shared" si="1621"/>
        <v>0</v>
      </c>
      <c r="F580" s="58">
        <f t="shared" si="1605"/>
        <v>0</v>
      </c>
      <c r="G580" s="58">
        <f t="shared" si="1622"/>
        <v>32.179899999999996</v>
      </c>
      <c r="H580" s="58">
        <f t="shared" si="1623"/>
        <v>32.179899999999996</v>
      </c>
      <c r="I580" s="58">
        <f t="shared" si="1624"/>
        <v>36.896299999999997</v>
      </c>
      <c r="J580" s="51">
        <f t="shared" si="1625"/>
        <v>36.896299999999997</v>
      </c>
      <c r="K580" s="99">
        <f t="shared" si="1626"/>
        <v>163.44999999999999</v>
      </c>
      <c r="L580" s="105">
        <f>ROUNDUP(((C579+C580)*0.5)*(B580-B578)/27,0)</f>
        <v>1259</v>
      </c>
      <c r="M580" s="58">
        <f>ROUNDUP(((D579+D580)*0.5)*(B580-B578)/27,0)</f>
        <v>1219</v>
      </c>
      <c r="N580" s="58"/>
      <c r="O580" s="58">
        <f>ROUNDUP(((F579+F580)*0.5)*(B580-B578)/27,0)</f>
        <v>0</v>
      </c>
      <c r="P580" s="58">
        <f>ROUNDUP(((G580+G579)*0.5)*(B580-B578)/27,0)</f>
        <v>72</v>
      </c>
      <c r="Q580" s="58">
        <f>ROUNDUP(((H580+H579)*0.5)*(B580-B578)/27,0)</f>
        <v>72</v>
      </c>
      <c r="R580" s="58">
        <f>ROUNDUP(((I580+I579)*0.5)*(B580-B578)/9,0)</f>
        <v>231</v>
      </c>
      <c r="S580" s="58">
        <f>ROUNDUP(((J580+J579)*0.5)*(B580-B578)/9,0)</f>
        <v>231</v>
      </c>
      <c r="T580" s="58">
        <f>ROUNDUP(((K580+K579)*0.5)*(B580-B578)/9,0)</f>
        <v>966</v>
      </c>
      <c r="V580" s="137"/>
      <c r="W580" s="58"/>
      <c r="X580" s="58"/>
      <c r="Y580" s="58"/>
      <c r="Z580" s="58"/>
      <c r="AA580" s="58"/>
      <c r="AB580" s="58"/>
      <c r="AC580" s="58"/>
      <c r="AD580" s="138"/>
      <c r="AF580" s="57">
        <f t="shared" si="1613"/>
        <v>39800</v>
      </c>
      <c r="AG580" s="49">
        <v>342.62920000000003</v>
      </c>
      <c r="AH580" s="49">
        <v>5.8868999999999998</v>
      </c>
      <c r="AI580" s="115">
        <v>227.43879999999999</v>
      </c>
      <c r="AJ580" s="49"/>
      <c r="AK580" s="49"/>
      <c r="AL580" s="49"/>
      <c r="AM580" s="49"/>
      <c r="AN580" s="49"/>
      <c r="AO580" s="49"/>
      <c r="AP580" s="49"/>
      <c r="AQ580" s="49"/>
      <c r="AR580" s="49"/>
      <c r="AS580" s="49"/>
      <c r="AT580" s="49"/>
      <c r="AU580" s="49"/>
      <c r="AV580" s="49"/>
      <c r="AW580" s="49"/>
      <c r="AX580" s="115">
        <v>227.43879999999999</v>
      </c>
      <c r="AY580" s="49">
        <v>399.37110000000001</v>
      </c>
      <c r="AZ580" s="49">
        <v>38.029699999999998</v>
      </c>
      <c r="BA580" s="49"/>
      <c r="BB580" s="49"/>
      <c r="BC580" s="49"/>
      <c r="BD580" s="49"/>
      <c r="BE580" s="49"/>
      <c r="BF580" s="49"/>
      <c r="BG580" s="49"/>
      <c r="BH580" s="49"/>
      <c r="BI580" s="49"/>
      <c r="BJ580" s="49"/>
      <c r="BK580" s="49"/>
      <c r="BL580" s="49"/>
      <c r="BM580" s="49"/>
      <c r="BN580" s="49">
        <v>11.2493</v>
      </c>
      <c r="BO580" s="49">
        <v>20.930599999999998</v>
      </c>
      <c r="BP580" s="49"/>
      <c r="BQ580" s="49">
        <f t="shared" si="1717"/>
        <v>11.2493</v>
      </c>
      <c r="BR580" s="49">
        <f t="shared" si="1718"/>
        <v>20.930599999999998</v>
      </c>
      <c r="BS580" s="49"/>
      <c r="BT580" s="49">
        <v>12.578799999999999</v>
      </c>
      <c r="BU580" s="49">
        <v>24.317499999999999</v>
      </c>
      <c r="BV580" s="49"/>
      <c r="BW580" s="49">
        <f t="shared" si="1628"/>
        <v>12.578799999999999</v>
      </c>
      <c r="BX580" s="49">
        <f t="shared" si="1636"/>
        <v>24.317499999999999</v>
      </c>
      <c r="BY580" s="49"/>
      <c r="BZ580" s="49"/>
      <c r="CA580" s="49"/>
      <c r="CB580" s="49">
        <v>163.44999999999999</v>
      </c>
      <c r="CC580" s="231">
        <f t="shared" ref="CC580:CC611" si="1719">B580</f>
        <v>39800</v>
      </c>
    </row>
    <row r="581" spans="1:82" s="3" customFormat="1" ht="15" customHeight="1" thickBot="1" x14ac:dyDescent="0.3">
      <c r="B581" s="158">
        <v>39850</v>
      </c>
      <c r="C581" s="144">
        <f t="shared" si="1699"/>
        <v>193.96030000000002</v>
      </c>
      <c r="D581" s="144">
        <f t="shared" si="1604"/>
        <v>491.26350000000002</v>
      </c>
      <c r="E581" s="144">
        <f t="shared" si="1621"/>
        <v>0</v>
      </c>
      <c r="F581" s="144">
        <f t="shared" si="1605"/>
        <v>0</v>
      </c>
      <c r="G581" s="144">
        <f t="shared" si="1622"/>
        <v>26.2441</v>
      </c>
      <c r="H581" s="144">
        <f t="shared" si="1623"/>
        <v>26.2441</v>
      </c>
      <c r="I581" s="144">
        <f t="shared" si="1624"/>
        <v>30.456399999999999</v>
      </c>
      <c r="J581" s="159">
        <f t="shared" si="1625"/>
        <v>30.456399999999999</v>
      </c>
      <c r="K581" s="160">
        <f t="shared" si="1626"/>
        <v>146.57</v>
      </c>
      <c r="L581" s="152">
        <f t="shared" ref="L581:L643" si="1720">ROUNDUP(((C580+C581)*0.5)*(B581-B580)/27,0)</f>
        <v>713</v>
      </c>
      <c r="M581" s="144">
        <f t="shared" ref="M581:M643" si="1721">ROUNDUP(((D580+D581)*0.5)*(B581-B580)/27,0)</f>
        <v>1071</v>
      </c>
      <c r="N581" s="144"/>
      <c r="O581" s="144">
        <f t="shared" ref="O581:O643" si="1722">ROUNDUP(((F580+F581)*0.5)*(B581-B580)/27,0)</f>
        <v>0</v>
      </c>
      <c r="P581" s="144">
        <f t="shared" ref="P581:P643" si="1723">ROUNDUP(((G581+G580)*0.5)*(B581-B580)/27,0)</f>
        <v>55</v>
      </c>
      <c r="Q581" s="144">
        <f t="shared" ref="Q581:Q643" si="1724">ROUNDUP(((H581+H580)*0.5)*(B581-B580)/27,0)</f>
        <v>55</v>
      </c>
      <c r="R581" s="144">
        <f t="shared" ref="R581:R643" si="1725">ROUNDUP(((I581+I580)*0.5)*(B581-B580)/9,0)</f>
        <v>188</v>
      </c>
      <c r="S581" s="144">
        <f t="shared" ref="S581:S643" si="1726">ROUNDUP(((J581+J580)*0.5)*(B581-B580)/9,0)</f>
        <v>188</v>
      </c>
      <c r="T581" s="144">
        <f t="shared" ref="T581:T644" si="1727">ROUNDUP(((K581+K580)*0.5)*(B581-B580)/9,0)</f>
        <v>862</v>
      </c>
      <c r="V581" s="150">
        <f>L578+L579+L580+L581</f>
        <v>2295</v>
      </c>
      <c r="W581" s="150">
        <f t="shared" ref="W581" si="1728">M578+M579+M580+M581</f>
        <v>3361</v>
      </c>
      <c r="X581" s="150"/>
      <c r="Y581" s="150">
        <f t="shared" ref="Y581:AD581" si="1729">O578+O579+O580+O581</f>
        <v>0</v>
      </c>
      <c r="Z581" s="150">
        <f t="shared" si="1729"/>
        <v>173</v>
      </c>
      <c r="AA581" s="150">
        <f t="shared" si="1729"/>
        <v>173</v>
      </c>
      <c r="AB581" s="150">
        <f t="shared" si="1729"/>
        <v>602</v>
      </c>
      <c r="AC581" s="150">
        <f t="shared" si="1729"/>
        <v>602</v>
      </c>
      <c r="AD581" s="150">
        <f t="shared" si="1729"/>
        <v>2251</v>
      </c>
      <c r="AF581" s="158">
        <f t="shared" si="1613"/>
        <v>39850</v>
      </c>
      <c r="AG581" s="149">
        <v>187.53270000000001</v>
      </c>
      <c r="AH581" s="149">
        <v>1.5299</v>
      </c>
      <c r="AI581" s="149">
        <v>4.8977000000000004</v>
      </c>
      <c r="AJ581" s="149"/>
      <c r="AK581" s="149"/>
      <c r="AL581" s="149"/>
      <c r="AM581" s="149"/>
      <c r="AN581" s="149"/>
      <c r="AO581" s="149"/>
      <c r="AP581" s="149"/>
      <c r="AQ581" s="149"/>
      <c r="AR581" s="149"/>
      <c r="AS581" s="149"/>
      <c r="AT581" s="149"/>
      <c r="AU581" s="149"/>
      <c r="AV581" s="149"/>
      <c r="AW581" s="149"/>
      <c r="AX581" s="149">
        <v>441.46550000000002</v>
      </c>
      <c r="AY581" s="149">
        <v>49.798000000000002</v>
      </c>
      <c r="AZ581" s="149"/>
      <c r="BA581" s="149"/>
      <c r="BB581" s="149"/>
      <c r="BC581" s="149"/>
      <c r="BD581" s="149"/>
      <c r="BE581" s="149"/>
      <c r="BF581" s="149"/>
      <c r="BG581" s="149"/>
      <c r="BH581" s="149"/>
      <c r="BI581" s="149"/>
      <c r="BJ581" s="149"/>
      <c r="BK581" s="149"/>
      <c r="BL581" s="149"/>
      <c r="BM581" s="149"/>
      <c r="BN581" s="149">
        <v>6.1647999999999996</v>
      </c>
      <c r="BO581" s="149">
        <v>20.0793</v>
      </c>
      <c r="BP581" s="149"/>
      <c r="BQ581" s="149">
        <f t="shared" si="1717"/>
        <v>6.1647999999999996</v>
      </c>
      <c r="BR581" s="149">
        <f t="shared" si="1718"/>
        <v>20.0793</v>
      </c>
      <c r="BS581" s="149"/>
      <c r="BT581" s="149">
        <v>7.2670000000000003</v>
      </c>
      <c r="BU581" s="149">
        <v>23.189399999999999</v>
      </c>
      <c r="BV581" s="149"/>
      <c r="BW581" s="149">
        <f>BT581</f>
        <v>7.2670000000000003</v>
      </c>
      <c r="BX581" s="149">
        <f>BU581</f>
        <v>23.189399999999999</v>
      </c>
      <c r="BY581" s="149"/>
      <c r="BZ581" s="149"/>
      <c r="CA581" s="149"/>
      <c r="CB581" s="149">
        <v>146.57</v>
      </c>
      <c r="CC581" s="231">
        <f t="shared" si="1719"/>
        <v>39850</v>
      </c>
    </row>
    <row r="582" spans="1:82" x14ac:dyDescent="0.25">
      <c r="B582" s="155">
        <v>39900</v>
      </c>
      <c r="C582" s="147">
        <f t="shared" si="1699"/>
        <v>413.3152</v>
      </c>
      <c r="D582" s="147">
        <f t="shared" si="1604"/>
        <v>854.61699999999996</v>
      </c>
      <c r="E582" s="147">
        <f t="shared" si="1621"/>
        <v>0</v>
      </c>
      <c r="F582" s="147">
        <f t="shared" si="1605"/>
        <v>0</v>
      </c>
      <c r="G582" s="147">
        <f t="shared" si="1622"/>
        <v>22.631</v>
      </c>
      <c r="H582" s="147">
        <f t="shared" si="1623"/>
        <v>22.631</v>
      </c>
      <c r="I582" s="147">
        <f t="shared" si="1624"/>
        <v>27.125899999999998</v>
      </c>
      <c r="J582" s="156">
        <f t="shared" si="1625"/>
        <v>27.125899999999998</v>
      </c>
      <c r="K582" s="157">
        <f t="shared" si="1626"/>
        <v>134.55000000000001</v>
      </c>
      <c r="L582" s="151">
        <f t="shared" si="1720"/>
        <v>563</v>
      </c>
      <c r="M582" s="147">
        <f t="shared" si="1721"/>
        <v>1247</v>
      </c>
      <c r="N582" s="147"/>
      <c r="O582" s="147">
        <f t="shared" si="1722"/>
        <v>0</v>
      </c>
      <c r="P582" s="147">
        <f t="shared" si="1723"/>
        <v>46</v>
      </c>
      <c r="Q582" s="147">
        <f t="shared" si="1724"/>
        <v>46</v>
      </c>
      <c r="R582" s="147">
        <f t="shared" si="1725"/>
        <v>160</v>
      </c>
      <c r="S582" s="147">
        <f t="shared" si="1726"/>
        <v>160</v>
      </c>
      <c r="T582" s="147">
        <f t="shared" si="1727"/>
        <v>781</v>
      </c>
      <c r="V582" s="146"/>
      <c r="W582" s="147"/>
      <c r="X582" s="147"/>
      <c r="Y582" s="147"/>
      <c r="Z582" s="147"/>
      <c r="AA582" s="147"/>
      <c r="AB582" s="147"/>
      <c r="AC582" s="147"/>
      <c r="AD582" s="148"/>
      <c r="AF582" s="155">
        <f t="shared" si="1613"/>
        <v>39900</v>
      </c>
      <c r="AG582" s="78">
        <v>112.4452</v>
      </c>
      <c r="AH582" s="78">
        <v>2.1739999999999999</v>
      </c>
      <c r="AI582" s="78">
        <v>4.6620999999999997</v>
      </c>
      <c r="AJ582" s="185">
        <v>294.03390000000002</v>
      </c>
      <c r="AK582" s="78"/>
      <c r="AL582" s="78"/>
      <c r="AM582" s="78"/>
      <c r="AN582" s="78"/>
      <c r="AO582" s="78"/>
      <c r="AP582" s="78"/>
      <c r="AQ582" s="78"/>
      <c r="AR582" s="78"/>
      <c r="AS582" s="78"/>
      <c r="AT582" s="78"/>
      <c r="AU582" s="78"/>
      <c r="AV582" s="78"/>
      <c r="AW582" s="78"/>
      <c r="AX582" s="185">
        <v>294.03390000000002</v>
      </c>
      <c r="AY582" s="78">
        <v>485.61869999999999</v>
      </c>
      <c r="AZ582" s="78">
        <v>74.964399999999998</v>
      </c>
      <c r="BA582" s="78"/>
      <c r="BB582" s="78"/>
      <c r="BC582" s="78"/>
      <c r="BD582" s="78"/>
      <c r="BE582" s="78"/>
      <c r="BF582" s="78"/>
      <c r="BG582" s="78"/>
      <c r="BH582" s="78"/>
      <c r="BI582" s="78"/>
      <c r="BJ582" s="78"/>
      <c r="BK582" s="78"/>
      <c r="BL582" s="78"/>
      <c r="BM582" s="78"/>
      <c r="BN582" s="78">
        <v>3.3121999999999998</v>
      </c>
      <c r="BO582" s="78">
        <v>19.3188</v>
      </c>
      <c r="BP582" s="78"/>
      <c r="BQ582" s="78">
        <f t="shared" si="1717"/>
        <v>3.3121999999999998</v>
      </c>
      <c r="BR582" s="78">
        <f t="shared" si="1718"/>
        <v>19.3188</v>
      </c>
      <c r="BS582" s="78"/>
      <c r="BT582" s="78">
        <v>4.9166999999999996</v>
      </c>
      <c r="BU582" s="78">
        <v>22.209199999999999</v>
      </c>
      <c r="BV582" s="78"/>
      <c r="BW582" s="49">
        <f t="shared" si="1628"/>
        <v>4.9166999999999996</v>
      </c>
      <c r="BX582" s="49">
        <f t="shared" si="1636"/>
        <v>22.209199999999999</v>
      </c>
      <c r="BY582" s="49"/>
      <c r="BZ582" s="78"/>
      <c r="CA582" s="78"/>
      <c r="CB582" s="78">
        <v>134.55000000000001</v>
      </c>
      <c r="CC582" s="231">
        <f t="shared" si="1719"/>
        <v>39900</v>
      </c>
    </row>
    <row r="583" spans="1:82" x14ac:dyDescent="0.25">
      <c r="B583" s="57">
        <v>39950</v>
      </c>
      <c r="C583" s="58">
        <f t="shared" si="1699"/>
        <v>357.70759999999996</v>
      </c>
      <c r="D583" s="58">
        <f t="shared" si="1604"/>
        <v>815.05109999999991</v>
      </c>
      <c r="E583" s="58">
        <f t="shared" si="1621"/>
        <v>0</v>
      </c>
      <c r="F583" s="58">
        <f t="shared" si="1605"/>
        <v>0</v>
      </c>
      <c r="G583" s="58">
        <f t="shared" si="1622"/>
        <v>18.564900000000002</v>
      </c>
      <c r="H583" s="58">
        <f t="shared" si="1623"/>
        <v>18.564900000000002</v>
      </c>
      <c r="I583" s="58">
        <f t="shared" si="1624"/>
        <v>21.339099999999998</v>
      </c>
      <c r="J583" s="51">
        <f t="shared" si="1625"/>
        <v>21.339099999999998</v>
      </c>
      <c r="K583" s="99">
        <f t="shared" si="1626"/>
        <v>109.89</v>
      </c>
      <c r="L583" s="105">
        <f t="shared" si="1720"/>
        <v>714</v>
      </c>
      <c r="M583" s="58">
        <f t="shared" si="1721"/>
        <v>1546</v>
      </c>
      <c r="N583" s="58"/>
      <c r="O583" s="58">
        <f t="shared" si="1722"/>
        <v>0</v>
      </c>
      <c r="P583" s="58">
        <f t="shared" si="1723"/>
        <v>39</v>
      </c>
      <c r="Q583" s="58">
        <f t="shared" si="1724"/>
        <v>39</v>
      </c>
      <c r="R583" s="58">
        <f t="shared" si="1725"/>
        <v>135</v>
      </c>
      <c r="S583" s="58">
        <f t="shared" si="1726"/>
        <v>135</v>
      </c>
      <c r="T583" s="58">
        <f t="shared" si="1727"/>
        <v>679</v>
      </c>
      <c r="V583" s="137"/>
      <c r="W583" s="58"/>
      <c r="X583" s="58"/>
      <c r="Y583" s="58"/>
      <c r="Z583" s="58"/>
      <c r="AA583" s="58"/>
      <c r="AB583" s="58"/>
      <c r="AC583" s="58"/>
      <c r="AD583" s="138"/>
      <c r="AF583" s="57">
        <f t="shared" si="1613"/>
        <v>39950</v>
      </c>
      <c r="AG583" s="49">
        <v>50.042000000000002</v>
      </c>
      <c r="AH583" s="49">
        <v>50.042000000000002</v>
      </c>
      <c r="AI583" s="49">
        <v>30.135999999999999</v>
      </c>
      <c r="AJ583" s="115">
        <v>227.48759999999999</v>
      </c>
      <c r="AK583" s="49"/>
      <c r="AL583" s="49"/>
      <c r="AM583" s="49"/>
      <c r="AN583" s="49"/>
      <c r="AO583" s="49"/>
      <c r="AP583" s="49"/>
      <c r="AQ583" s="49"/>
      <c r="AR583" s="49"/>
      <c r="AS583" s="49"/>
      <c r="AT583" s="49"/>
      <c r="AU583" s="49"/>
      <c r="AV583" s="49"/>
      <c r="AW583" s="49"/>
      <c r="AX583" s="115">
        <v>227.48759999999999</v>
      </c>
      <c r="AY583" s="49">
        <v>579.52449999999999</v>
      </c>
      <c r="AZ583" s="49">
        <v>8.0389999999999997</v>
      </c>
      <c r="BA583" s="49"/>
      <c r="BB583" s="49"/>
      <c r="BC583" s="49"/>
      <c r="BD583" s="49"/>
      <c r="BE583" s="49"/>
      <c r="BF583" s="49"/>
      <c r="BG583" s="49"/>
      <c r="BH583" s="49"/>
      <c r="BI583" s="49"/>
      <c r="BJ583" s="49"/>
      <c r="BK583" s="49"/>
      <c r="BL583" s="49"/>
      <c r="BM583" s="49"/>
      <c r="BN583" s="49">
        <v>18.564900000000002</v>
      </c>
      <c r="BO583" s="49"/>
      <c r="BP583" s="49"/>
      <c r="BQ583" s="49">
        <f t="shared" si="1717"/>
        <v>18.564900000000002</v>
      </c>
      <c r="BR583" s="49"/>
      <c r="BS583" s="49"/>
      <c r="BT583" s="49">
        <v>21.339099999999998</v>
      </c>
      <c r="BU583" s="49"/>
      <c r="BV583" s="49"/>
      <c r="BW583" s="49">
        <f t="shared" si="1628"/>
        <v>21.339099999999998</v>
      </c>
      <c r="BX583" s="49"/>
      <c r="BY583" s="49"/>
      <c r="BZ583" s="49"/>
      <c r="CA583" s="49"/>
      <c r="CB583" s="49">
        <v>109.89</v>
      </c>
      <c r="CC583" s="231">
        <f t="shared" si="1719"/>
        <v>39950</v>
      </c>
    </row>
    <row r="584" spans="1:82" s="3" customFormat="1" ht="15.75" thickBot="1" x14ac:dyDescent="0.3">
      <c r="B584" s="158">
        <v>40000</v>
      </c>
      <c r="C584" s="144">
        <f t="shared" si="1699"/>
        <v>226.0684</v>
      </c>
      <c r="D584" s="144">
        <f t="shared" si="1604"/>
        <v>979.28959999999984</v>
      </c>
      <c r="E584" s="144">
        <f t="shared" si="1621"/>
        <v>0</v>
      </c>
      <c r="F584" s="144">
        <f t="shared" si="1605"/>
        <v>0</v>
      </c>
      <c r="G584" s="144">
        <f t="shared" si="1622"/>
        <v>17.575299999999999</v>
      </c>
      <c r="H584" s="144">
        <f t="shared" si="1623"/>
        <v>17.575299999999999</v>
      </c>
      <c r="I584" s="144">
        <f t="shared" si="1624"/>
        <v>20.3489</v>
      </c>
      <c r="J584" s="159">
        <f t="shared" si="1625"/>
        <v>20.3489</v>
      </c>
      <c r="K584" s="160">
        <f t="shared" si="1626"/>
        <v>95.52</v>
      </c>
      <c r="L584" s="152">
        <f t="shared" si="1720"/>
        <v>541</v>
      </c>
      <c r="M584" s="144">
        <f t="shared" si="1721"/>
        <v>1662</v>
      </c>
      <c r="N584" s="144"/>
      <c r="O584" s="144">
        <f t="shared" si="1722"/>
        <v>0</v>
      </c>
      <c r="P584" s="144">
        <f t="shared" si="1723"/>
        <v>34</v>
      </c>
      <c r="Q584" s="144">
        <f t="shared" si="1724"/>
        <v>34</v>
      </c>
      <c r="R584" s="144">
        <f t="shared" si="1725"/>
        <v>116</v>
      </c>
      <c r="S584" s="144">
        <f t="shared" si="1726"/>
        <v>116</v>
      </c>
      <c r="T584" s="144">
        <f t="shared" si="1727"/>
        <v>571</v>
      </c>
      <c r="V584" s="150">
        <f>L582+L583+L584</f>
        <v>1818</v>
      </c>
      <c r="W584" s="150">
        <f t="shared" ref="W584" si="1730">M582+M583+M584</f>
        <v>4455</v>
      </c>
      <c r="X584" s="150"/>
      <c r="Y584" s="150">
        <f t="shared" ref="Y584" si="1731">O582+O583+O584</f>
        <v>0</v>
      </c>
      <c r="Z584" s="150">
        <f t="shared" ref="Z584" si="1732">P582+P583+P584</f>
        <v>119</v>
      </c>
      <c r="AA584" s="150">
        <f t="shared" ref="AA584" si="1733">Q582+Q583+Q584</f>
        <v>119</v>
      </c>
      <c r="AB584" s="150">
        <f t="shared" ref="AB584" si="1734">R582+R583+R584</f>
        <v>411</v>
      </c>
      <c r="AC584" s="150">
        <f t="shared" ref="AC584" si="1735">S582+S583+S584</f>
        <v>411</v>
      </c>
      <c r="AD584" s="150">
        <f t="shared" ref="AD584" si="1736">T582+T583+T584</f>
        <v>2031</v>
      </c>
      <c r="AF584" s="158">
        <f t="shared" si="1613"/>
        <v>40000</v>
      </c>
      <c r="AG584" s="149">
        <v>1.6002000000000001</v>
      </c>
      <c r="AH584" s="149">
        <v>2.0510000000000002</v>
      </c>
      <c r="AI584" s="149">
        <v>2.5714000000000001</v>
      </c>
      <c r="AJ584" s="186">
        <v>219.8458</v>
      </c>
      <c r="AK584" s="149"/>
      <c r="AL584" s="149"/>
      <c r="AM584" s="149"/>
      <c r="AN584" s="149"/>
      <c r="AO584" s="149"/>
      <c r="AP584" s="149"/>
      <c r="AQ584" s="149"/>
      <c r="AR584" s="149"/>
      <c r="AS584" s="149"/>
      <c r="AT584" s="149"/>
      <c r="AU584" s="149"/>
      <c r="AV584" s="149"/>
      <c r="AW584" s="149"/>
      <c r="AX584" s="186">
        <v>219.8458</v>
      </c>
      <c r="AY584" s="149">
        <v>716.49069999999995</v>
      </c>
      <c r="AZ584" s="149">
        <v>42.953099999999999</v>
      </c>
      <c r="BA584" s="149"/>
      <c r="BB584" s="149"/>
      <c r="BC584" s="149"/>
      <c r="BD584" s="149"/>
      <c r="BE584" s="149"/>
      <c r="BF584" s="149"/>
      <c r="BG584" s="149"/>
      <c r="BH584" s="149"/>
      <c r="BI584" s="149"/>
      <c r="BJ584" s="149"/>
      <c r="BK584" s="149"/>
      <c r="BL584" s="149"/>
      <c r="BM584" s="149"/>
      <c r="BN584" s="149">
        <v>17.575299999999999</v>
      </c>
      <c r="BO584" s="149"/>
      <c r="BP584" s="149"/>
      <c r="BQ584" s="149">
        <f t="shared" si="1717"/>
        <v>17.575299999999999</v>
      </c>
      <c r="BR584" s="149"/>
      <c r="BS584" s="149"/>
      <c r="BT584" s="149">
        <v>20.3489</v>
      </c>
      <c r="BU584" s="149"/>
      <c r="BV584" s="149"/>
      <c r="BW584" s="149">
        <f>BT584</f>
        <v>20.3489</v>
      </c>
      <c r="BX584" s="149"/>
      <c r="BY584" s="149"/>
      <c r="BZ584" s="149"/>
      <c r="CA584" s="149"/>
      <c r="CB584" s="149">
        <v>95.52</v>
      </c>
      <c r="CC584" s="231">
        <f t="shared" si="1719"/>
        <v>40000</v>
      </c>
    </row>
    <row r="585" spans="1:82" x14ac:dyDescent="0.25">
      <c r="B585" s="155">
        <v>40050</v>
      </c>
      <c r="C585" s="147">
        <f t="shared" si="1699"/>
        <v>239.3373</v>
      </c>
      <c r="D585" s="147">
        <f t="shared" si="1604"/>
        <v>1155.2330000000002</v>
      </c>
      <c r="E585" s="147">
        <f t="shared" si="1621"/>
        <v>0</v>
      </c>
      <c r="F585" s="147">
        <f t="shared" si="1605"/>
        <v>0</v>
      </c>
      <c r="G585" s="147">
        <f t="shared" si="1622"/>
        <v>16.727599999999999</v>
      </c>
      <c r="H585" s="147">
        <f t="shared" si="1623"/>
        <v>16.727599999999999</v>
      </c>
      <c r="I585" s="147">
        <f t="shared" si="1624"/>
        <v>19.338899999999999</v>
      </c>
      <c r="J585" s="156">
        <f t="shared" si="1625"/>
        <v>19.338899999999999</v>
      </c>
      <c r="K585" s="157">
        <f t="shared" si="1626"/>
        <v>94.8</v>
      </c>
      <c r="L585" s="151">
        <f t="shared" si="1720"/>
        <v>431</v>
      </c>
      <c r="M585" s="147">
        <f t="shared" si="1721"/>
        <v>1977</v>
      </c>
      <c r="N585" s="147"/>
      <c r="O585" s="147">
        <f t="shared" si="1722"/>
        <v>0</v>
      </c>
      <c r="P585" s="147">
        <f t="shared" si="1723"/>
        <v>32</v>
      </c>
      <c r="Q585" s="147">
        <f t="shared" si="1724"/>
        <v>32</v>
      </c>
      <c r="R585" s="147">
        <f t="shared" si="1725"/>
        <v>111</v>
      </c>
      <c r="S585" s="147">
        <f t="shared" si="1726"/>
        <v>111</v>
      </c>
      <c r="T585" s="147">
        <f t="shared" si="1727"/>
        <v>529</v>
      </c>
      <c r="V585" s="146"/>
      <c r="W585" s="147"/>
      <c r="X585" s="147"/>
      <c r="Y585" s="147"/>
      <c r="Z585" s="147"/>
      <c r="AA585" s="147"/>
      <c r="AB585" s="147"/>
      <c r="AC585" s="147"/>
      <c r="AD585" s="148"/>
      <c r="AF585" s="155">
        <f t="shared" si="1613"/>
        <v>40050</v>
      </c>
      <c r="AG585" s="78">
        <v>2.1109</v>
      </c>
      <c r="AH585" s="78">
        <v>1.9124000000000001</v>
      </c>
      <c r="AI585" s="185">
        <v>235.31399999999999</v>
      </c>
      <c r="AJ585" s="78"/>
      <c r="AK585" s="78"/>
      <c r="AL585" s="78"/>
      <c r="AM585" s="78"/>
      <c r="AN585" s="78"/>
      <c r="AO585" s="78"/>
      <c r="AP585" s="78"/>
      <c r="AQ585" s="78"/>
      <c r="AR585" s="78"/>
      <c r="AS585" s="78"/>
      <c r="AT585" s="78"/>
      <c r="AU585" s="78"/>
      <c r="AV585" s="78"/>
      <c r="AW585" s="78"/>
      <c r="AX585" s="185">
        <v>235.31399999999999</v>
      </c>
      <c r="AY585" s="78">
        <v>849.11850000000004</v>
      </c>
      <c r="AZ585" s="78">
        <v>70.8005</v>
      </c>
      <c r="BA585" s="78"/>
      <c r="BB585" s="78"/>
      <c r="BC585" s="78"/>
      <c r="BD585" s="78"/>
      <c r="BE585" s="78"/>
      <c r="BF585" s="78"/>
      <c r="BG585" s="78"/>
      <c r="BH585" s="78"/>
      <c r="BI585" s="78"/>
      <c r="BJ585" s="78"/>
      <c r="BK585" s="78"/>
      <c r="BL585" s="78"/>
      <c r="BM585" s="78"/>
      <c r="BN585" s="78">
        <v>16.727599999999999</v>
      </c>
      <c r="BO585" s="78"/>
      <c r="BP585" s="78"/>
      <c r="BQ585" s="78">
        <f t="shared" si="1717"/>
        <v>16.727599999999999</v>
      </c>
      <c r="BR585" s="78"/>
      <c r="BS585" s="78"/>
      <c r="BT585" s="78">
        <v>19.338899999999999</v>
      </c>
      <c r="BU585" s="78"/>
      <c r="BV585" s="78"/>
      <c r="BW585" s="49">
        <f t="shared" si="1628"/>
        <v>19.338899999999999</v>
      </c>
      <c r="BX585" s="49"/>
      <c r="BY585" s="49"/>
      <c r="BZ585" s="78"/>
      <c r="CA585" s="78"/>
      <c r="CB585" s="78">
        <v>94.8</v>
      </c>
      <c r="CC585" s="231">
        <f t="shared" si="1719"/>
        <v>40050</v>
      </c>
    </row>
    <row r="586" spans="1:82" x14ac:dyDescent="0.25">
      <c r="B586" s="57">
        <v>40100</v>
      </c>
      <c r="C586" s="58">
        <f t="shared" si="1699"/>
        <v>249.7236</v>
      </c>
      <c r="D586" s="58">
        <f t="shared" si="1604"/>
        <v>1281.0247999999999</v>
      </c>
      <c r="E586" s="58">
        <f t="shared" si="1621"/>
        <v>0</v>
      </c>
      <c r="F586" s="58">
        <f t="shared" si="1605"/>
        <v>0</v>
      </c>
      <c r="G586" s="58">
        <f t="shared" si="1622"/>
        <v>15.8117</v>
      </c>
      <c r="H586" s="58">
        <f t="shared" si="1623"/>
        <v>15.8117</v>
      </c>
      <c r="I586" s="58">
        <f t="shared" si="1624"/>
        <v>18.428699999999999</v>
      </c>
      <c r="J586" s="51">
        <f t="shared" si="1625"/>
        <v>18.428699999999999</v>
      </c>
      <c r="K586" s="99">
        <f t="shared" si="1626"/>
        <v>100.12</v>
      </c>
      <c r="L586" s="105">
        <f t="shared" si="1720"/>
        <v>453</v>
      </c>
      <c r="M586" s="58">
        <f t="shared" si="1721"/>
        <v>2256</v>
      </c>
      <c r="N586" s="58"/>
      <c r="O586" s="58">
        <f t="shared" si="1722"/>
        <v>0</v>
      </c>
      <c r="P586" s="58">
        <f t="shared" si="1723"/>
        <v>31</v>
      </c>
      <c r="Q586" s="58">
        <f t="shared" si="1724"/>
        <v>31</v>
      </c>
      <c r="R586" s="58">
        <f t="shared" si="1725"/>
        <v>105</v>
      </c>
      <c r="S586" s="58">
        <f t="shared" si="1726"/>
        <v>105</v>
      </c>
      <c r="T586" s="58">
        <f t="shared" si="1727"/>
        <v>542</v>
      </c>
      <c r="V586" s="137"/>
      <c r="W586" s="58"/>
      <c r="X586" s="58"/>
      <c r="Y586" s="58"/>
      <c r="Z586" s="58"/>
      <c r="AA586" s="58"/>
      <c r="AB586" s="58"/>
      <c r="AC586" s="58"/>
      <c r="AD586" s="138"/>
      <c r="AF586" s="57">
        <f t="shared" si="1613"/>
        <v>40100</v>
      </c>
      <c r="AG586" s="49">
        <v>2.7711000000000001</v>
      </c>
      <c r="AH586" s="49">
        <v>1.1767000000000001</v>
      </c>
      <c r="AI586" s="115">
        <v>245.7758</v>
      </c>
      <c r="AJ586" s="49"/>
      <c r="AK586" s="49"/>
      <c r="AL586" s="49"/>
      <c r="AM586" s="49"/>
      <c r="AN586" s="49"/>
      <c r="AO586" s="49"/>
      <c r="AP586" s="49"/>
      <c r="AQ586" s="49"/>
      <c r="AR586" s="49"/>
      <c r="AS586" s="49"/>
      <c r="AT586" s="49"/>
      <c r="AU586" s="49"/>
      <c r="AV586" s="49"/>
      <c r="AW586" s="49"/>
      <c r="AX586" s="115">
        <v>245.7758</v>
      </c>
      <c r="AY586" s="49">
        <v>955.45259999999996</v>
      </c>
      <c r="AZ586" s="49">
        <v>79.796400000000006</v>
      </c>
      <c r="BA586" s="49"/>
      <c r="BB586" s="49"/>
      <c r="BC586" s="49"/>
      <c r="BD586" s="49"/>
      <c r="BE586" s="49"/>
      <c r="BF586" s="49"/>
      <c r="BG586" s="49"/>
      <c r="BH586" s="49"/>
      <c r="BI586" s="49"/>
      <c r="BJ586" s="49"/>
      <c r="BK586" s="49"/>
      <c r="BL586" s="49"/>
      <c r="BM586" s="49"/>
      <c r="BN586" s="49">
        <v>15.8117</v>
      </c>
      <c r="BO586" s="49"/>
      <c r="BP586" s="49"/>
      <c r="BQ586" s="49">
        <f t="shared" si="1717"/>
        <v>15.8117</v>
      </c>
      <c r="BR586" s="49"/>
      <c r="BS586" s="49"/>
      <c r="BT586" s="49">
        <v>18.428699999999999</v>
      </c>
      <c r="BU586" s="49"/>
      <c r="BV586" s="49"/>
      <c r="BW586" s="49">
        <f t="shared" si="1628"/>
        <v>18.428699999999999</v>
      </c>
      <c r="BX586" s="49"/>
      <c r="BY586" s="49"/>
      <c r="BZ586" s="49"/>
      <c r="CA586" s="49"/>
      <c r="CB586" s="49">
        <v>100.12</v>
      </c>
      <c r="CC586" s="231">
        <f t="shared" si="1719"/>
        <v>40100</v>
      </c>
    </row>
    <row r="587" spans="1:82" s="3" customFormat="1" ht="15.75" thickBot="1" x14ac:dyDescent="0.3">
      <c r="B587" s="158">
        <v>40150</v>
      </c>
      <c r="C587" s="144">
        <f t="shared" si="1699"/>
        <v>263.22039999999998</v>
      </c>
      <c r="D587" s="144">
        <f t="shared" si="1604"/>
        <v>1232.7129</v>
      </c>
      <c r="E587" s="144">
        <f t="shared" si="1621"/>
        <v>0</v>
      </c>
      <c r="F587" s="144">
        <f t="shared" si="1605"/>
        <v>0</v>
      </c>
      <c r="G587" s="144">
        <f t="shared" si="1622"/>
        <v>14.778700000000001</v>
      </c>
      <c r="H587" s="144">
        <f t="shared" si="1623"/>
        <v>14.778700000000001</v>
      </c>
      <c r="I587" s="144">
        <f t="shared" si="1624"/>
        <v>16.9786</v>
      </c>
      <c r="J587" s="159">
        <f t="shared" si="1625"/>
        <v>16.9786</v>
      </c>
      <c r="K587" s="160">
        <f t="shared" si="1626"/>
        <v>107.26</v>
      </c>
      <c r="L587" s="152">
        <f t="shared" si="1720"/>
        <v>475</v>
      </c>
      <c r="M587" s="144">
        <f t="shared" si="1721"/>
        <v>2328</v>
      </c>
      <c r="N587" s="144"/>
      <c r="O587" s="144">
        <f t="shared" si="1722"/>
        <v>0</v>
      </c>
      <c r="P587" s="144">
        <f t="shared" si="1723"/>
        <v>29</v>
      </c>
      <c r="Q587" s="144">
        <f t="shared" si="1724"/>
        <v>29</v>
      </c>
      <c r="R587" s="144">
        <f t="shared" si="1725"/>
        <v>99</v>
      </c>
      <c r="S587" s="144">
        <f t="shared" si="1726"/>
        <v>99</v>
      </c>
      <c r="T587" s="144">
        <f t="shared" si="1727"/>
        <v>577</v>
      </c>
      <c r="V587" s="150">
        <f>L585+L586+L587</f>
        <v>1359</v>
      </c>
      <c r="W587" s="150">
        <f t="shared" ref="W587" si="1737">M585+M586+M587</f>
        <v>6561</v>
      </c>
      <c r="X587" s="150"/>
      <c r="Y587" s="150">
        <f t="shared" ref="Y587" si="1738">O585+O586+O587</f>
        <v>0</v>
      </c>
      <c r="Z587" s="150">
        <f t="shared" ref="Z587" si="1739">P585+P586+P587</f>
        <v>92</v>
      </c>
      <c r="AA587" s="150">
        <f t="shared" ref="AA587" si="1740">Q585+Q586+Q587</f>
        <v>92</v>
      </c>
      <c r="AB587" s="150">
        <f t="shared" ref="AB587" si="1741">R585+R586+R587</f>
        <v>315</v>
      </c>
      <c r="AC587" s="150">
        <f t="shared" ref="AC587" si="1742">S585+S586+S587</f>
        <v>315</v>
      </c>
      <c r="AD587" s="150">
        <f t="shared" ref="AD587" si="1743">T585+T586+T587</f>
        <v>1648</v>
      </c>
      <c r="AF587" s="158">
        <f t="shared" si="1613"/>
        <v>40150</v>
      </c>
      <c r="AG587" s="149">
        <v>2.0688</v>
      </c>
      <c r="AH587" s="149">
        <v>0.66310000000000002</v>
      </c>
      <c r="AI587" s="186">
        <v>260.48849999999999</v>
      </c>
      <c r="AJ587" s="149"/>
      <c r="AK587" s="149"/>
      <c r="AL587" s="149"/>
      <c r="AM587" s="149"/>
      <c r="AN587" s="149"/>
      <c r="AO587" s="149"/>
      <c r="AP587" s="149"/>
      <c r="AQ587" s="149"/>
      <c r="AR587" s="149"/>
      <c r="AS587" s="149"/>
      <c r="AT587" s="149"/>
      <c r="AU587" s="149"/>
      <c r="AV587" s="149"/>
      <c r="AW587" s="149"/>
      <c r="AX587" s="186">
        <v>260.48849999999999</v>
      </c>
      <c r="AY587" s="149">
        <v>878.78840000000002</v>
      </c>
      <c r="AZ587" s="149">
        <v>93.436000000000007</v>
      </c>
      <c r="BA587" s="149"/>
      <c r="BB587" s="149"/>
      <c r="BC587" s="149"/>
      <c r="BD587" s="149"/>
      <c r="BE587" s="149"/>
      <c r="BF587" s="149"/>
      <c r="BG587" s="149"/>
      <c r="BH587" s="149"/>
      <c r="BI587" s="149"/>
      <c r="BJ587" s="149"/>
      <c r="BK587" s="149"/>
      <c r="BL587" s="149"/>
      <c r="BM587" s="149"/>
      <c r="BN587" s="149">
        <v>14.778700000000001</v>
      </c>
      <c r="BO587" s="149"/>
      <c r="BP587" s="149"/>
      <c r="BQ587" s="149">
        <f t="shared" si="1717"/>
        <v>14.778700000000001</v>
      </c>
      <c r="BR587" s="149"/>
      <c r="BS587" s="149"/>
      <c r="BT587" s="149">
        <v>16.9786</v>
      </c>
      <c r="BU587" s="149"/>
      <c r="BV587" s="149"/>
      <c r="BW587" s="149">
        <f>BT587</f>
        <v>16.9786</v>
      </c>
      <c r="BX587" s="149"/>
      <c r="BY587" s="149"/>
      <c r="BZ587" s="149"/>
      <c r="CA587" s="149"/>
      <c r="CB587" s="149">
        <v>107.26</v>
      </c>
      <c r="CC587" s="231">
        <f t="shared" si="1719"/>
        <v>40150</v>
      </c>
    </row>
    <row r="588" spans="1:82" x14ac:dyDescent="0.25">
      <c r="B588" s="155">
        <v>40200</v>
      </c>
      <c r="C588" s="147">
        <f t="shared" si="1699"/>
        <v>304.55450000000002</v>
      </c>
      <c r="D588" s="147">
        <f t="shared" si="1604"/>
        <v>490.2808</v>
      </c>
      <c r="E588" s="147">
        <f t="shared" si="1621"/>
        <v>0</v>
      </c>
      <c r="F588" s="147">
        <f t="shared" si="1605"/>
        <v>0</v>
      </c>
      <c r="G588" s="147">
        <f t="shared" si="1622"/>
        <v>29.584800000000001</v>
      </c>
      <c r="H588" s="147">
        <f t="shared" si="1623"/>
        <v>29.584800000000001</v>
      </c>
      <c r="I588" s="147">
        <f t="shared" si="1624"/>
        <v>45.144800000000004</v>
      </c>
      <c r="J588" s="156">
        <f t="shared" si="1625"/>
        <v>45.144800000000004</v>
      </c>
      <c r="K588" s="157">
        <f t="shared" si="1626"/>
        <v>110.32</v>
      </c>
      <c r="L588" s="151">
        <f t="shared" si="1720"/>
        <v>526</v>
      </c>
      <c r="M588" s="147">
        <f t="shared" si="1721"/>
        <v>1596</v>
      </c>
      <c r="N588" s="147"/>
      <c r="O588" s="147">
        <f t="shared" si="1722"/>
        <v>0</v>
      </c>
      <c r="P588" s="147">
        <f t="shared" si="1723"/>
        <v>42</v>
      </c>
      <c r="Q588" s="147">
        <f t="shared" si="1724"/>
        <v>42</v>
      </c>
      <c r="R588" s="147">
        <f t="shared" si="1725"/>
        <v>173</v>
      </c>
      <c r="S588" s="147">
        <f t="shared" si="1726"/>
        <v>173</v>
      </c>
      <c r="T588" s="147">
        <f t="shared" si="1727"/>
        <v>605</v>
      </c>
      <c r="V588" s="146"/>
      <c r="W588" s="147"/>
      <c r="X588" s="147"/>
      <c r="Y588" s="147"/>
      <c r="Z588" s="147"/>
      <c r="AA588" s="147"/>
      <c r="AB588" s="147"/>
      <c r="AC588" s="147"/>
      <c r="AD588" s="148"/>
      <c r="AF588" s="155">
        <f t="shared" si="1613"/>
        <v>40200</v>
      </c>
      <c r="AG588" s="78">
        <v>2.9979</v>
      </c>
      <c r="AH588" s="185">
        <v>301.5566</v>
      </c>
      <c r="AI588" s="78"/>
      <c r="AJ588" s="78"/>
      <c r="AK588" s="78"/>
      <c r="AL588" s="78"/>
      <c r="AM588" s="78"/>
      <c r="AN588" s="78"/>
      <c r="AO588" s="78"/>
      <c r="AP588" s="78"/>
      <c r="AQ588" s="78"/>
      <c r="AR588" s="78"/>
      <c r="AS588" s="78"/>
      <c r="AT588" s="78"/>
      <c r="AU588" s="78"/>
      <c r="AV588" s="78"/>
      <c r="AW588" s="78"/>
      <c r="AX588" s="185">
        <v>301.5566</v>
      </c>
      <c r="AY588" s="78">
        <v>119.3934</v>
      </c>
      <c r="AZ588" s="78">
        <v>69.330799999999996</v>
      </c>
      <c r="BA588" s="78"/>
      <c r="BB588" s="78"/>
      <c r="BC588" s="78"/>
      <c r="BD588" s="78"/>
      <c r="BE588" s="78"/>
      <c r="BF588" s="78"/>
      <c r="BG588" s="78"/>
      <c r="BH588" s="78"/>
      <c r="BI588" s="78"/>
      <c r="BJ588" s="78"/>
      <c r="BK588" s="78"/>
      <c r="BL588" s="78"/>
      <c r="BM588" s="78"/>
      <c r="BN588" s="78">
        <v>15.6755</v>
      </c>
      <c r="BO588" s="78">
        <v>13.9093</v>
      </c>
      <c r="BP588" s="78"/>
      <c r="BQ588" s="78">
        <f t="shared" ref="BQ588:BQ651" si="1744">BN588</f>
        <v>15.6755</v>
      </c>
      <c r="BR588" s="78">
        <f t="shared" ref="BR588:BR594" si="1745">BO588</f>
        <v>13.9093</v>
      </c>
      <c r="BS588" s="78"/>
      <c r="BT588" s="78">
        <v>29.346399999999999</v>
      </c>
      <c r="BU588" s="78">
        <v>15.798400000000001</v>
      </c>
      <c r="BV588" s="78"/>
      <c r="BW588" s="49">
        <f t="shared" si="1628"/>
        <v>29.346399999999999</v>
      </c>
      <c r="BX588" s="49">
        <f t="shared" si="1636"/>
        <v>15.798400000000001</v>
      </c>
      <c r="BY588" s="49"/>
      <c r="BZ588" s="78"/>
      <c r="CA588" s="78"/>
      <c r="CB588" s="78">
        <v>110.32</v>
      </c>
      <c r="CC588" s="231">
        <f t="shared" si="1719"/>
        <v>40200</v>
      </c>
    </row>
    <row r="589" spans="1:82" x14ac:dyDescent="0.25">
      <c r="B589" s="57">
        <v>40250</v>
      </c>
      <c r="C589" s="58">
        <f t="shared" si="1699"/>
        <v>464.8304</v>
      </c>
      <c r="D589" s="58">
        <f t="shared" si="1604"/>
        <v>393.48359999999997</v>
      </c>
      <c r="E589" s="58">
        <f t="shared" si="1621"/>
        <v>0</v>
      </c>
      <c r="F589" s="58">
        <f t="shared" si="1605"/>
        <v>0</v>
      </c>
      <c r="G589" s="58">
        <f t="shared" si="1622"/>
        <v>66.720600000000005</v>
      </c>
      <c r="H589" s="58">
        <f t="shared" si="1623"/>
        <v>66.720600000000005</v>
      </c>
      <c r="I589" s="58">
        <f t="shared" si="1624"/>
        <v>67.594300000000004</v>
      </c>
      <c r="J589" s="51">
        <f t="shared" si="1625"/>
        <v>67.594300000000004</v>
      </c>
      <c r="K589" s="99">
        <f t="shared" si="1626"/>
        <v>96.88</v>
      </c>
      <c r="L589" s="105">
        <f t="shared" si="1720"/>
        <v>713</v>
      </c>
      <c r="M589" s="58">
        <f t="shared" si="1721"/>
        <v>819</v>
      </c>
      <c r="N589" s="58"/>
      <c r="O589" s="58">
        <f t="shared" si="1722"/>
        <v>0</v>
      </c>
      <c r="P589" s="58">
        <f t="shared" si="1723"/>
        <v>90</v>
      </c>
      <c r="Q589" s="58">
        <f t="shared" si="1724"/>
        <v>90</v>
      </c>
      <c r="R589" s="58">
        <f t="shared" si="1725"/>
        <v>314</v>
      </c>
      <c r="S589" s="58">
        <f t="shared" si="1726"/>
        <v>314</v>
      </c>
      <c r="T589" s="58">
        <f t="shared" si="1727"/>
        <v>576</v>
      </c>
      <c r="V589" s="137"/>
      <c r="W589" s="58"/>
      <c r="X589" s="58"/>
      <c r="Y589" s="58"/>
      <c r="Z589" s="58"/>
      <c r="AA589" s="58"/>
      <c r="AB589" s="58"/>
      <c r="AC589" s="58"/>
      <c r="AD589" s="138"/>
      <c r="AF589" s="57">
        <f t="shared" si="1613"/>
        <v>40250</v>
      </c>
      <c r="AG589" s="49">
        <v>49.1295</v>
      </c>
      <c r="AH589" s="49">
        <v>70.382599999999996</v>
      </c>
      <c r="AI589" s="49">
        <v>0.46250000000000002</v>
      </c>
      <c r="AJ589" s="49">
        <v>2.4268999999999998</v>
      </c>
      <c r="AK589" s="115">
        <v>342.4289</v>
      </c>
      <c r="AL589" s="49"/>
      <c r="AM589" s="49"/>
      <c r="AN589" s="49"/>
      <c r="AO589" s="49"/>
      <c r="AP589" s="49"/>
      <c r="AQ589" s="49"/>
      <c r="AR589" s="49"/>
      <c r="AS589" s="49"/>
      <c r="AT589" s="49"/>
      <c r="AU589" s="49"/>
      <c r="AV589" s="49"/>
      <c r="AW589" s="49"/>
      <c r="AX589" s="115">
        <v>342.4289</v>
      </c>
      <c r="AY589" s="49">
        <v>3.2631999999999999</v>
      </c>
      <c r="AZ589" s="49">
        <v>47.791499999999999</v>
      </c>
      <c r="BA589" s="49"/>
      <c r="BB589" s="49"/>
      <c r="BC589" s="49"/>
      <c r="BD589" s="49"/>
      <c r="BE589" s="49"/>
      <c r="BF589" s="49"/>
      <c r="BG589" s="49"/>
      <c r="BH589" s="49"/>
      <c r="BI589" s="49"/>
      <c r="BJ589" s="49"/>
      <c r="BK589" s="49"/>
      <c r="BL589" s="49"/>
      <c r="BM589" s="49"/>
      <c r="BN589" s="49">
        <v>53.515599999999999</v>
      </c>
      <c r="BO589" s="49">
        <v>13.205</v>
      </c>
      <c r="BP589" s="49"/>
      <c r="BQ589" s="49">
        <f t="shared" si="1744"/>
        <v>53.515599999999999</v>
      </c>
      <c r="BR589" s="49">
        <f t="shared" si="1745"/>
        <v>13.205</v>
      </c>
      <c r="BS589" s="49"/>
      <c r="BT589" s="49">
        <v>52.796100000000003</v>
      </c>
      <c r="BU589" s="49">
        <v>14.7982</v>
      </c>
      <c r="BV589" s="49"/>
      <c r="BW589" s="49">
        <f t="shared" si="1628"/>
        <v>52.796100000000003</v>
      </c>
      <c r="BX589" s="49">
        <f t="shared" si="1636"/>
        <v>14.7982</v>
      </c>
      <c r="BY589" s="49"/>
      <c r="BZ589" s="49"/>
      <c r="CA589" s="49"/>
      <c r="CB589" s="49">
        <v>96.88</v>
      </c>
      <c r="CC589" s="231">
        <f t="shared" si="1719"/>
        <v>40250</v>
      </c>
    </row>
    <row r="590" spans="1:82" s="3" customFormat="1" ht="15.75" thickBot="1" x14ac:dyDescent="0.3">
      <c r="B590" s="158">
        <v>40300</v>
      </c>
      <c r="C590" s="144">
        <f t="shared" si="1699"/>
        <v>423.6524</v>
      </c>
      <c r="D590" s="144">
        <f t="shared" si="1604"/>
        <v>426.69169999999997</v>
      </c>
      <c r="E590" s="144">
        <f t="shared" si="1621"/>
        <v>0</v>
      </c>
      <c r="F590" s="144">
        <f t="shared" si="1605"/>
        <v>0</v>
      </c>
      <c r="G590" s="144">
        <f t="shared" si="1622"/>
        <v>64.541300000000007</v>
      </c>
      <c r="H590" s="144">
        <f t="shared" si="1623"/>
        <v>64.541300000000007</v>
      </c>
      <c r="I590" s="144">
        <f t="shared" si="1624"/>
        <v>65.218500000000006</v>
      </c>
      <c r="J590" s="159">
        <f t="shared" si="1625"/>
        <v>65.218500000000006</v>
      </c>
      <c r="K590" s="160">
        <f t="shared" si="1626"/>
        <v>86.56</v>
      </c>
      <c r="L590" s="152">
        <f t="shared" si="1720"/>
        <v>823</v>
      </c>
      <c r="M590" s="144">
        <f t="shared" si="1721"/>
        <v>760</v>
      </c>
      <c r="N590" s="144"/>
      <c r="O590" s="144">
        <f t="shared" si="1722"/>
        <v>0</v>
      </c>
      <c r="P590" s="144">
        <f t="shared" si="1723"/>
        <v>122</v>
      </c>
      <c r="Q590" s="144">
        <f t="shared" si="1724"/>
        <v>122</v>
      </c>
      <c r="R590" s="144">
        <f t="shared" si="1725"/>
        <v>369</v>
      </c>
      <c r="S590" s="144">
        <f t="shared" si="1726"/>
        <v>369</v>
      </c>
      <c r="T590" s="144">
        <f t="shared" si="1727"/>
        <v>510</v>
      </c>
      <c r="V590" s="150">
        <f>L588+L589+L590</f>
        <v>2062</v>
      </c>
      <c r="W590" s="150">
        <f t="shared" ref="W590" si="1746">M588+M589+M590</f>
        <v>3175</v>
      </c>
      <c r="X590" s="150"/>
      <c r="Y590" s="150">
        <f t="shared" ref="Y590" si="1747">O588+O589+O590</f>
        <v>0</v>
      </c>
      <c r="Z590" s="150">
        <f t="shared" ref="Z590" si="1748">P588+P589+P590</f>
        <v>254</v>
      </c>
      <c r="AA590" s="150">
        <f t="shared" ref="AA590" si="1749">Q588+Q589+Q590</f>
        <v>254</v>
      </c>
      <c r="AB590" s="150">
        <f t="shared" ref="AB590" si="1750">R588+R589+R590</f>
        <v>856</v>
      </c>
      <c r="AC590" s="150">
        <f t="shared" ref="AC590" si="1751">S588+S589+S590</f>
        <v>856</v>
      </c>
      <c r="AD590" s="150">
        <f t="shared" ref="AD590" si="1752">T588+T589+T590</f>
        <v>1691</v>
      </c>
      <c r="AF590" s="158">
        <f t="shared" si="1613"/>
        <v>40300</v>
      </c>
      <c r="AG590" s="149">
        <v>59.647100000000002</v>
      </c>
      <c r="AH590" s="149">
        <v>1.0971</v>
      </c>
      <c r="AI590" s="149">
        <v>2.8079000000000001</v>
      </c>
      <c r="AJ590" s="186">
        <v>360.1003</v>
      </c>
      <c r="AK590" s="149"/>
      <c r="AL590" s="149"/>
      <c r="AM590" s="149"/>
      <c r="AN590" s="149"/>
      <c r="AO590" s="149"/>
      <c r="AP590" s="149"/>
      <c r="AQ590" s="149"/>
      <c r="AR590" s="149"/>
      <c r="AS590" s="149"/>
      <c r="AT590" s="149"/>
      <c r="AU590" s="149"/>
      <c r="AV590" s="149"/>
      <c r="AW590" s="149"/>
      <c r="AX590" s="186">
        <v>360.1003</v>
      </c>
      <c r="AY590" s="149">
        <v>15.9627</v>
      </c>
      <c r="AZ590" s="149">
        <v>50.628700000000002</v>
      </c>
      <c r="BA590" s="149"/>
      <c r="BB590" s="149"/>
      <c r="BC590" s="149"/>
      <c r="BD590" s="149"/>
      <c r="BE590" s="149"/>
      <c r="BF590" s="149"/>
      <c r="BG590" s="149"/>
      <c r="BH590" s="149"/>
      <c r="BI590" s="149"/>
      <c r="BJ590" s="149"/>
      <c r="BK590" s="149"/>
      <c r="BL590" s="149"/>
      <c r="BM590" s="149"/>
      <c r="BN590" s="149">
        <v>52.42</v>
      </c>
      <c r="BO590" s="149">
        <v>12.1213</v>
      </c>
      <c r="BP590" s="149"/>
      <c r="BQ590" s="149">
        <f t="shared" si="1744"/>
        <v>52.42</v>
      </c>
      <c r="BR590" s="149">
        <f t="shared" si="1745"/>
        <v>12.1213</v>
      </c>
      <c r="BS590" s="149"/>
      <c r="BT590" s="149">
        <v>51.660499999999999</v>
      </c>
      <c r="BU590" s="149">
        <v>13.558</v>
      </c>
      <c r="BV590" s="149"/>
      <c r="BW590" s="149">
        <f>BT590</f>
        <v>51.660499999999999</v>
      </c>
      <c r="BX590" s="149">
        <f>BU590</f>
        <v>13.558</v>
      </c>
      <c r="BY590" s="149"/>
      <c r="BZ590" s="149"/>
      <c r="CA590" s="149"/>
      <c r="CB590" s="149">
        <v>86.56</v>
      </c>
      <c r="CC590" s="231">
        <f t="shared" si="1719"/>
        <v>40300</v>
      </c>
    </row>
    <row r="591" spans="1:82" x14ac:dyDescent="0.25">
      <c r="B591" s="155">
        <v>40350</v>
      </c>
      <c r="C591" s="147">
        <f t="shared" si="1699"/>
        <v>425.96749999999997</v>
      </c>
      <c r="D591" s="147">
        <f t="shared" si="1604"/>
        <v>407.97210000000001</v>
      </c>
      <c r="E591" s="147">
        <f t="shared" si="1621"/>
        <v>0</v>
      </c>
      <c r="F591" s="147">
        <f t="shared" si="1605"/>
        <v>0</v>
      </c>
      <c r="G591" s="147">
        <f t="shared" si="1622"/>
        <v>62.4771</v>
      </c>
      <c r="H591" s="147">
        <f t="shared" si="1623"/>
        <v>62.4771</v>
      </c>
      <c r="I591" s="147">
        <f t="shared" si="1624"/>
        <v>63.520400000000002</v>
      </c>
      <c r="J591" s="156">
        <f t="shared" si="1625"/>
        <v>63.520400000000002</v>
      </c>
      <c r="K591" s="157">
        <f t="shared" si="1626"/>
        <v>95.98</v>
      </c>
      <c r="L591" s="151">
        <f t="shared" si="1720"/>
        <v>787</v>
      </c>
      <c r="M591" s="147">
        <f t="shared" si="1721"/>
        <v>773</v>
      </c>
      <c r="N591" s="147"/>
      <c r="O591" s="147">
        <f t="shared" si="1722"/>
        <v>0</v>
      </c>
      <c r="P591" s="147">
        <f t="shared" si="1723"/>
        <v>118</v>
      </c>
      <c r="Q591" s="147">
        <f t="shared" si="1724"/>
        <v>118</v>
      </c>
      <c r="R591" s="147">
        <f t="shared" si="1725"/>
        <v>358</v>
      </c>
      <c r="S591" s="147">
        <f t="shared" si="1726"/>
        <v>358</v>
      </c>
      <c r="T591" s="147">
        <f t="shared" si="1727"/>
        <v>508</v>
      </c>
      <c r="V591" s="146"/>
      <c r="W591" s="147"/>
      <c r="X591" s="147"/>
      <c r="Y591" s="147"/>
      <c r="Z591" s="147"/>
      <c r="AA591" s="147"/>
      <c r="AB591" s="147"/>
      <c r="AC591" s="147"/>
      <c r="AD591" s="148"/>
      <c r="AF591" s="155">
        <f t="shared" si="1613"/>
        <v>40350</v>
      </c>
      <c r="AG591" s="78">
        <v>9.8726000000000003</v>
      </c>
      <c r="AH591" s="78">
        <v>55.905099999999997</v>
      </c>
      <c r="AI591" s="78">
        <v>3.4255</v>
      </c>
      <c r="AJ591" s="185">
        <v>356.76429999999999</v>
      </c>
      <c r="AK591" s="78"/>
      <c r="AL591" s="78"/>
      <c r="AM591" s="78"/>
      <c r="AN591" s="78"/>
      <c r="AO591" s="78"/>
      <c r="AP591" s="78"/>
      <c r="AQ591" s="78"/>
      <c r="AR591" s="78"/>
      <c r="AS591" s="78"/>
      <c r="AT591" s="78"/>
      <c r="AU591" s="78"/>
      <c r="AV591" s="78"/>
      <c r="AW591" s="78"/>
      <c r="AX591" s="185">
        <v>356.76429999999999</v>
      </c>
      <c r="AY591" s="78">
        <v>14.4467</v>
      </c>
      <c r="AZ591" s="78">
        <v>36.761099999999999</v>
      </c>
      <c r="BA591" s="78"/>
      <c r="BB591" s="78"/>
      <c r="BC591" s="78"/>
      <c r="BD591" s="78"/>
      <c r="BE591" s="78"/>
      <c r="BF591" s="78"/>
      <c r="BG591" s="78"/>
      <c r="BH591" s="78"/>
      <c r="BI591" s="78"/>
      <c r="BJ591" s="78"/>
      <c r="BK591" s="78"/>
      <c r="BL591" s="78"/>
      <c r="BM591" s="78"/>
      <c r="BN591" s="78">
        <v>51.229700000000001</v>
      </c>
      <c r="BO591" s="78">
        <v>11.247400000000001</v>
      </c>
      <c r="BP591" s="78"/>
      <c r="BQ591" s="78">
        <f t="shared" si="1744"/>
        <v>51.229700000000001</v>
      </c>
      <c r="BR591" s="78">
        <f t="shared" si="1745"/>
        <v>11.247400000000001</v>
      </c>
      <c r="BS591" s="78"/>
      <c r="BT591" s="78">
        <v>51.172400000000003</v>
      </c>
      <c r="BU591" s="78">
        <v>12.348000000000001</v>
      </c>
      <c r="BV591" s="78"/>
      <c r="BW591" s="49">
        <f t="shared" si="1628"/>
        <v>51.172400000000003</v>
      </c>
      <c r="BX591" s="49">
        <f t="shared" si="1636"/>
        <v>12.348000000000001</v>
      </c>
      <c r="BY591" s="49"/>
      <c r="BZ591" s="78"/>
      <c r="CA591" s="78"/>
      <c r="CB591" s="78">
        <v>95.98</v>
      </c>
      <c r="CC591" s="231">
        <f t="shared" si="1719"/>
        <v>40350</v>
      </c>
    </row>
    <row r="592" spans="1:82" s="3" customFormat="1" ht="15.75" thickBot="1" x14ac:dyDescent="0.3">
      <c r="B592" s="158">
        <v>40400</v>
      </c>
      <c r="C592" s="144">
        <f t="shared" si="1699"/>
        <v>489.87079999999997</v>
      </c>
      <c r="D592" s="144">
        <f t="shared" si="1604"/>
        <v>393.09929999999997</v>
      </c>
      <c r="E592" s="144">
        <f t="shared" si="1621"/>
        <v>0</v>
      </c>
      <c r="F592" s="144">
        <f t="shared" si="1605"/>
        <v>0</v>
      </c>
      <c r="G592" s="144">
        <f t="shared" si="1622"/>
        <v>62.336399999999998</v>
      </c>
      <c r="H592" s="144">
        <f t="shared" si="1623"/>
        <v>62.336399999999998</v>
      </c>
      <c r="I592" s="144">
        <f t="shared" si="1624"/>
        <v>62.629899999999999</v>
      </c>
      <c r="J592" s="159">
        <f t="shared" si="1625"/>
        <v>62.629899999999999</v>
      </c>
      <c r="K592" s="160">
        <f t="shared" si="1626"/>
        <v>132.5</v>
      </c>
      <c r="L592" s="152">
        <f t="shared" si="1720"/>
        <v>848</v>
      </c>
      <c r="M592" s="144">
        <f t="shared" si="1721"/>
        <v>742</v>
      </c>
      <c r="N592" s="144"/>
      <c r="O592" s="144">
        <f t="shared" si="1722"/>
        <v>0</v>
      </c>
      <c r="P592" s="144">
        <f t="shared" si="1723"/>
        <v>116</v>
      </c>
      <c r="Q592" s="144">
        <f t="shared" si="1724"/>
        <v>116</v>
      </c>
      <c r="R592" s="144">
        <f t="shared" si="1725"/>
        <v>351</v>
      </c>
      <c r="S592" s="144">
        <f t="shared" si="1726"/>
        <v>351</v>
      </c>
      <c r="T592" s="144">
        <f t="shared" si="1727"/>
        <v>635</v>
      </c>
      <c r="V592" s="150">
        <f>L591+L592</f>
        <v>1635</v>
      </c>
      <c r="W592" s="150">
        <f t="shared" ref="W592" si="1753">M591+M592</f>
        <v>1515</v>
      </c>
      <c r="X592" s="150"/>
      <c r="Y592" s="150">
        <f t="shared" ref="Y592" si="1754">O591+O592</f>
        <v>0</v>
      </c>
      <c r="Z592" s="150">
        <f t="shared" ref="Z592" si="1755">P591+P592</f>
        <v>234</v>
      </c>
      <c r="AA592" s="150">
        <f t="shared" ref="AA592" si="1756">Q591+Q592</f>
        <v>234</v>
      </c>
      <c r="AB592" s="150">
        <f t="shared" ref="AB592" si="1757">R591+R592</f>
        <v>709</v>
      </c>
      <c r="AC592" s="150">
        <f t="shared" ref="AC592" si="1758">S591+S592</f>
        <v>709</v>
      </c>
      <c r="AD592" s="150">
        <f t="shared" ref="AD592" si="1759">T591+T592</f>
        <v>1143</v>
      </c>
      <c r="AF592" s="158">
        <f t="shared" si="1613"/>
        <v>40400</v>
      </c>
      <c r="AG592" s="149">
        <v>43.186100000000003</v>
      </c>
      <c r="AH592" s="149">
        <v>57.707999999999998</v>
      </c>
      <c r="AI592" s="149">
        <v>2.4198</v>
      </c>
      <c r="AJ592" s="186">
        <v>386.55689999999998</v>
      </c>
      <c r="AK592" s="149"/>
      <c r="AL592" s="149"/>
      <c r="AM592" s="149"/>
      <c r="AN592" s="149"/>
      <c r="AO592" s="149"/>
      <c r="AP592" s="149"/>
      <c r="AQ592" s="149"/>
      <c r="AR592" s="149"/>
      <c r="AS592" s="149"/>
      <c r="AT592" s="149"/>
      <c r="AU592" s="149"/>
      <c r="AV592" s="149"/>
      <c r="AW592" s="149"/>
      <c r="AX592" s="186">
        <v>386.55689999999998</v>
      </c>
      <c r="AY592" s="149">
        <v>5.3186999999999998</v>
      </c>
      <c r="AZ592" s="149">
        <v>1.2237</v>
      </c>
      <c r="BA592" s="149"/>
      <c r="BB592" s="149"/>
      <c r="BC592" s="149"/>
      <c r="BD592" s="149"/>
      <c r="BE592" s="149"/>
      <c r="BF592" s="149"/>
      <c r="BG592" s="149"/>
      <c r="BH592" s="149"/>
      <c r="BI592" s="149"/>
      <c r="BJ592" s="149"/>
      <c r="BK592" s="149"/>
      <c r="BL592" s="149"/>
      <c r="BM592" s="149"/>
      <c r="BN592" s="149">
        <v>51.9084</v>
      </c>
      <c r="BO592" s="149">
        <v>10.428000000000001</v>
      </c>
      <c r="BP592" s="149"/>
      <c r="BQ592" s="149">
        <f t="shared" si="1744"/>
        <v>51.9084</v>
      </c>
      <c r="BR592" s="149">
        <f t="shared" si="1745"/>
        <v>10.428000000000001</v>
      </c>
      <c r="BS592" s="149"/>
      <c r="BT592" s="149">
        <v>51.151899999999998</v>
      </c>
      <c r="BU592" s="149">
        <v>11.478</v>
      </c>
      <c r="BV592" s="149"/>
      <c r="BW592" s="149">
        <f>BT592</f>
        <v>51.151899999999998</v>
      </c>
      <c r="BX592" s="149">
        <f>BU592</f>
        <v>11.478</v>
      </c>
      <c r="BY592" s="149"/>
      <c r="BZ592" s="149"/>
      <c r="CA592" s="149"/>
      <c r="CB592" s="149">
        <v>132.5</v>
      </c>
      <c r="CC592" s="231">
        <f t="shared" si="1719"/>
        <v>40400</v>
      </c>
    </row>
    <row r="593" spans="1:81" x14ac:dyDescent="0.25">
      <c r="B593" s="155">
        <v>40450</v>
      </c>
      <c r="C593" s="147">
        <f t="shared" si="1699"/>
        <v>133.5301</v>
      </c>
      <c r="D593" s="147">
        <f t="shared" si="1604"/>
        <v>5.4699</v>
      </c>
      <c r="E593" s="147">
        <f t="shared" si="1621"/>
        <v>0</v>
      </c>
      <c r="F593" s="147">
        <f t="shared" si="1605"/>
        <v>0</v>
      </c>
      <c r="G593" s="147">
        <f t="shared" si="1622"/>
        <v>62.436700000000002</v>
      </c>
      <c r="H593" s="147">
        <f t="shared" si="1623"/>
        <v>62.436700000000002</v>
      </c>
      <c r="I593" s="147">
        <f t="shared" si="1624"/>
        <v>62.552500000000002</v>
      </c>
      <c r="J593" s="156">
        <f t="shared" si="1625"/>
        <v>62.552500000000002</v>
      </c>
      <c r="K593" s="157">
        <f t="shared" si="1626"/>
        <v>86.33</v>
      </c>
      <c r="L593" s="151">
        <f t="shared" si="1720"/>
        <v>578</v>
      </c>
      <c r="M593" s="147">
        <f t="shared" si="1721"/>
        <v>370</v>
      </c>
      <c r="N593" s="147"/>
      <c r="O593" s="147">
        <f t="shared" si="1722"/>
        <v>0</v>
      </c>
      <c r="P593" s="147">
        <f t="shared" si="1723"/>
        <v>116</v>
      </c>
      <c r="Q593" s="147">
        <f t="shared" si="1724"/>
        <v>116</v>
      </c>
      <c r="R593" s="147">
        <f t="shared" si="1725"/>
        <v>348</v>
      </c>
      <c r="S593" s="147">
        <f t="shared" si="1726"/>
        <v>348</v>
      </c>
      <c r="T593" s="147">
        <f t="shared" si="1727"/>
        <v>608</v>
      </c>
      <c r="V593" s="146"/>
      <c r="W593" s="147"/>
      <c r="X593" s="147"/>
      <c r="Y593" s="147"/>
      <c r="Z593" s="147"/>
      <c r="AA593" s="147"/>
      <c r="AB593" s="147"/>
      <c r="AC593" s="147"/>
      <c r="AD593" s="148"/>
      <c r="AF593" s="155">
        <f t="shared" si="1613"/>
        <v>40450</v>
      </c>
      <c r="AG593" s="78">
        <v>69.007900000000006</v>
      </c>
      <c r="AH593" s="78">
        <v>61.004399999999997</v>
      </c>
      <c r="AI593" s="78">
        <v>3.5177999999999998</v>
      </c>
      <c r="AJ593" s="78"/>
      <c r="AK593" s="78"/>
      <c r="AL593" s="78"/>
      <c r="AM593" s="78"/>
      <c r="AN593" s="78"/>
      <c r="AO593" s="78"/>
      <c r="AP593" s="78"/>
      <c r="AQ593" s="78"/>
      <c r="AR593" s="78"/>
      <c r="AS593" s="78"/>
      <c r="AT593" s="78"/>
      <c r="AU593" s="78"/>
      <c r="AV593" s="78"/>
      <c r="AW593" s="78"/>
      <c r="AX593" s="78">
        <v>4.7773000000000003</v>
      </c>
      <c r="AY593" s="78">
        <v>0.69259999999999999</v>
      </c>
      <c r="AZ593" s="78"/>
      <c r="BA593" s="78"/>
      <c r="BB593" s="78"/>
      <c r="BC593" s="78"/>
      <c r="BD593" s="78"/>
      <c r="BE593" s="78"/>
      <c r="BF593" s="78"/>
      <c r="BG593" s="78"/>
      <c r="BH593" s="78"/>
      <c r="BI593" s="78"/>
      <c r="BJ593" s="78"/>
      <c r="BK593" s="78"/>
      <c r="BL593" s="78"/>
      <c r="BM593" s="78"/>
      <c r="BN593" s="78">
        <v>51.993400000000001</v>
      </c>
      <c r="BO593" s="78">
        <v>10.443300000000001</v>
      </c>
      <c r="BP593" s="78"/>
      <c r="BQ593" s="78">
        <f t="shared" si="1744"/>
        <v>51.993400000000001</v>
      </c>
      <c r="BR593" s="78">
        <f t="shared" si="1745"/>
        <v>10.443300000000001</v>
      </c>
      <c r="BS593" s="78"/>
      <c r="BT593" s="78">
        <v>51.135100000000001</v>
      </c>
      <c r="BU593" s="78">
        <v>11.417400000000001</v>
      </c>
      <c r="BV593" s="78"/>
      <c r="BW593" s="49">
        <f t="shared" si="1628"/>
        <v>51.135100000000001</v>
      </c>
      <c r="BX593" s="49">
        <f t="shared" si="1636"/>
        <v>11.417400000000001</v>
      </c>
      <c r="BY593" s="49"/>
      <c r="BZ593" s="78"/>
      <c r="CA593" s="78"/>
      <c r="CB593" s="78">
        <v>86.33</v>
      </c>
      <c r="CC593" s="231">
        <f t="shared" si="1719"/>
        <v>40450</v>
      </c>
    </row>
    <row r="594" spans="1:81" s="177" customFormat="1" ht="15.75" thickBot="1" x14ac:dyDescent="0.3">
      <c r="A594" s="177" t="s">
        <v>45</v>
      </c>
      <c r="B594" s="182">
        <v>40490.089999999997</v>
      </c>
      <c r="C594" s="173">
        <f t="shared" si="1699"/>
        <v>130.57689999999999</v>
      </c>
      <c r="D594" s="173">
        <f t="shared" si="1604"/>
        <v>10.0099</v>
      </c>
      <c r="E594" s="173">
        <f t="shared" si="1621"/>
        <v>0</v>
      </c>
      <c r="F594" s="173">
        <f t="shared" si="1605"/>
        <v>0</v>
      </c>
      <c r="G594" s="173">
        <f t="shared" si="1622"/>
        <v>62.356400000000001</v>
      </c>
      <c r="H594" s="173">
        <f t="shared" si="1623"/>
        <v>62.356400000000001</v>
      </c>
      <c r="I594" s="173">
        <f t="shared" si="1624"/>
        <v>62.630799999999994</v>
      </c>
      <c r="J594" s="159">
        <f t="shared" si="1625"/>
        <v>62.630799999999994</v>
      </c>
      <c r="K594" s="175">
        <f t="shared" si="1626"/>
        <v>78.38</v>
      </c>
      <c r="L594" s="183">
        <f t="shared" si="1720"/>
        <v>197</v>
      </c>
      <c r="M594" s="184">
        <f t="shared" si="1721"/>
        <v>12</v>
      </c>
      <c r="N594" s="184"/>
      <c r="O594" s="184">
        <f t="shared" si="1722"/>
        <v>0</v>
      </c>
      <c r="P594" s="184">
        <f t="shared" si="1723"/>
        <v>93</v>
      </c>
      <c r="Q594" s="184">
        <f t="shared" si="1724"/>
        <v>93</v>
      </c>
      <c r="R594" s="184">
        <f t="shared" si="1725"/>
        <v>279</v>
      </c>
      <c r="S594" s="184">
        <f t="shared" si="1726"/>
        <v>279</v>
      </c>
      <c r="T594" s="184">
        <f t="shared" si="1727"/>
        <v>367</v>
      </c>
      <c r="V594" s="150">
        <f>L593+L594</f>
        <v>775</v>
      </c>
      <c r="W594" s="150">
        <f t="shared" ref="W594" si="1760">M593+M594</f>
        <v>382</v>
      </c>
      <c r="X594" s="150"/>
      <c r="Y594" s="150">
        <f t="shared" ref="Y594" si="1761">O593+O594</f>
        <v>0</v>
      </c>
      <c r="Z594" s="150">
        <f t="shared" ref="Z594" si="1762">P593+P594</f>
        <v>209</v>
      </c>
      <c r="AA594" s="150">
        <f t="shared" ref="AA594" si="1763">Q593+Q594</f>
        <v>209</v>
      </c>
      <c r="AB594" s="150">
        <f t="shared" ref="AB594" si="1764">R593+R594</f>
        <v>627</v>
      </c>
      <c r="AC594" s="150">
        <f t="shared" ref="AC594" si="1765">S593+S594</f>
        <v>627</v>
      </c>
      <c r="AD594" s="150">
        <f t="shared" ref="AD594" si="1766">T593+T594</f>
        <v>975</v>
      </c>
      <c r="AE594" s="177" t="str">
        <f>A594</f>
        <v>END WIDENING</v>
      </c>
      <c r="AF594" s="182">
        <f t="shared" si="1613"/>
        <v>40490.089999999997</v>
      </c>
      <c r="AG594" s="178">
        <v>64.2209</v>
      </c>
      <c r="AH594" s="178">
        <v>63.393700000000003</v>
      </c>
      <c r="AI594" s="178">
        <v>2.9622999999999999</v>
      </c>
      <c r="AJ594" s="178"/>
      <c r="AK594" s="178"/>
      <c r="AL594" s="178"/>
      <c r="AM594" s="178"/>
      <c r="AN594" s="178"/>
      <c r="AO594" s="178"/>
      <c r="AP594" s="178"/>
      <c r="AQ594" s="178"/>
      <c r="AR594" s="178"/>
      <c r="AS594" s="178"/>
      <c r="AT594" s="178"/>
      <c r="AU594" s="178"/>
      <c r="AV594" s="178"/>
      <c r="AW594" s="178"/>
      <c r="AX594" s="178">
        <v>5.5054999999999996</v>
      </c>
      <c r="AY594" s="178">
        <v>0.46529999999999999</v>
      </c>
      <c r="AZ594" s="178">
        <v>4.0391000000000004</v>
      </c>
      <c r="BA594" s="178"/>
      <c r="BB594" s="178"/>
      <c r="BC594" s="178"/>
      <c r="BD594" s="178"/>
      <c r="BE594" s="178"/>
      <c r="BF594" s="178"/>
      <c r="BG594" s="178"/>
      <c r="BH594" s="178"/>
      <c r="BI594" s="178"/>
      <c r="BJ594" s="178"/>
      <c r="BK594" s="178"/>
      <c r="BL594" s="178"/>
      <c r="BM594" s="178"/>
      <c r="BN594" s="178">
        <v>51.8902</v>
      </c>
      <c r="BO594" s="178">
        <v>10.466200000000001</v>
      </c>
      <c r="BP594" s="178"/>
      <c r="BQ594" s="149">
        <f t="shared" si="1744"/>
        <v>51.8902</v>
      </c>
      <c r="BR594" s="149">
        <f t="shared" si="1745"/>
        <v>10.466200000000001</v>
      </c>
      <c r="BS594" s="178"/>
      <c r="BT594" s="178">
        <v>51.122799999999998</v>
      </c>
      <c r="BU594" s="178">
        <v>11.507999999999999</v>
      </c>
      <c r="BV594" s="178"/>
      <c r="BW594" s="149">
        <f>BT594</f>
        <v>51.122799999999998</v>
      </c>
      <c r="BX594" s="149">
        <f>BU594</f>
        <v>11.507999999999999</v>
      </c>
      <c r="BY594" s="149"/>
      <c r="BZ594" s="178"/>
      <c r="CA594" s="178"/>
      <c r="CB594" s="178">
        <v>78.38</v>
      </c>
      <c r="CC594" s="231">
        <f t="shared" si="1719"/>
        <v>40490.089999999997</v>
      </c>
    </row>
    <row r="595" spans="1:81" x14ac:dyDescent="0.25">
      <c r="B595" s="155">
        <v>40500</v>
      </c>
      <c r="C595" s="147">
        <f t="shared" si="1699"/>
        <v>131.21879999999999</v>
      </c>
      <c r="D595" s="147">
        <f t="shared" si="1604"/>
        <v>5.5171000000000001</v>
      </c>
      <c r="E595" s="147">
        <f t="shared" si="1621"/>
        <v>0</v>
      </c>
      <c r="F595" s="147">
        <f t="shared" si="1605"/>
        <v>0</v>
      </c>
      <c r="G595" s="147">
        <f t="shared" si="1622"/>
        <v>51.897399999999998</v>
      </c>
      <c r="H595" s="147">
        <f t="shared" si="1623"/>
        <v>51.897399999999998</v>
      </c>
      <c r="I595" s="147">
        <f t="shared" si="1624"/>
        <v>51.119799999999998</v>
      </c>
      <c r="J595" s="156">
        <f t="shared" si="1625"/>
        <v>51.119799999999998</v>
      </c>
      <c r="K595" s="157">
        <f t="shared" si="1626"/>
        <v>74.73</v>
      </c>
      <c r="L595" s="151">
        <f t="shared" si="1720"/>
        <v>49</v>
      </c>
      <c r="M595" s="147">
        <f t="shared" si="1721"/>
        <v>3</v>
      </c>
      <c r="N595" s="147"/>
      <c r="O595" s="147">
        <f t="shared" si="1722"/>
        <v>0</v>
      </c>
      <c r="P595" s="147">
        <f t="shared" si="1723"/>
        <v>21</v>
      </c>
      <c r="Q595" s="147">
        <f t="shared" si="1724"/>
        <v>21</v>
      </c>
      <c r="R595" s="147">
        <f t="shared" si="1725"/>
        <v>63</v>
      </c>
      <c r="S595" s="147">
        <f t="shared" si="1726"/>
        <v>63</v>
      </c>
      <c r="T595" s="147">
        <f t="shared" si="1727"/>
        <v>85</v>
      </c>
      <c r="V595" s="146"/>
      <c r="W595" s="147"/>
      <c r="X595" s="147"/>
      <c r="Y595" s="147"/>
      <c r="Z595" s="147"/>
      <c r="AA595" s="147"/>
      <c r="AB595" s="147"/>
      <c r="AC595" s="147"/>
      <c r="AD595" s="148"/>
      <c r="AF595" s="155">
        <f t="shared" si="1613"/>
        <v>40500</v>
      </c>
      <c r="AG595" s="78">
        <v>68.156599999999997</v>
      </c>
      <c r="AH595" s="78">
        <v>63.062199999999997</v>
      </c>
      <c r="AI595" s="78"/>
      <c r="AJ595" s="78"/>
      <c r="AK595" s="78"/>
      <c r="AL595" s="78"/>
      <c r="AM595" s="78"/>
      <c r="AN595" s="78"/>
      <c r="AO595" s="78"/>
      <c r="AP595" s="78"/>
      <c r="AQ595" s="78"/>
      <c r="AR595" s="78"/>
      <c r="AS595" s="78"/>
      <c r="AT595" s="78"/>
      <c r="AU595" s="78"/>
      <c r="AV595" s="78"/>
      <c r="AW595" s="78"/>
      <c r="AX595" s="78">
        <v>5.5171000000000001</v>
      </c>
      <c r="AY595" s="78"/>
      <c r="AZ595" s="78"/>
      <c r="BA595" s="78"/>
      <c r="BB595" s="78"/>
      <c r="BC595" s="78"/>
      <c r="BD595" s="78"/>
      <c r="BE595" s="78"/>
      <c r="BF595" s="78"/>
      <c r="BG595" s="78"/>
      <c r="BH595" s="78"/>
      <c r="BI595" s="78"/>
      <c r="BJ595" s="78"/>
      <c r="BK595" s="78"/>
      <c r="BL595" s="78"/>
      <c r="BM595" s="78"/>
      <c r="BN595" s="78">
        <v>51.897399999999998</v>
      </c>
      <c r="BO595" s="78"/>
      <c r="BP595" s="78"/>
      <c r="BQ595" s="78">
        <f t="shared" si="1744"/>
        <v>51.897399999999998</v>
      </c>
      <c r="BR595" s="78"/>
      <c r="BS595" s="78"/>
      <c r="BT595" s="78">
        <v>51.119799999999998</v>
      </c>
      <c r="BU595" s="78"/>
      <c r="BV595" s="78"/>
      <c r="BW595" s="49">
        <f t="shared" si="1628"/>
        <v>51.119799999999998</v>
      </c>
      <c r="BX595" s="49"/>
      <c r="BY595" s="49"/>
      <c r="BZ595" s="78"/>
      <c r="CA595" s="78"/>
      <c r="CB595" s="78">
        <v>74.73</v>
      </c>
      <c r="CC595" s="231">
        <f t="shared" si="1719"/>
        <v>40500</v>
      </c>
    </row>
    <row r="596" spans="1:81" s="3" customFormat="1" ht="15.75" thickBot="1" x14ac:dyDescent="0.3">
      <c r="B596" s="158">
        <v>40550</v>
      </c>
      <c r="C596" s="144">
        <f t="shared" si="1699"/>
        <v>167.98269999999999</v>
      </c>
      <c r="D596" s="144">
        <f t="shared" si="1604"/>
        <v>5.6791</v>
      </c>
      <c r="E596" s="144">
        <f t="shared" si="1621"/>
        <v>0</v>
      </c>
      <c r="F596" s="144">
        <f t="shared" si="1605"/>
        <v>0</v>
      </c>
      <c r="G596" s="144">
        <f t="shared" si="1622"/>
        <v>51.7395</v>
      </c>
      <c r="H596" s="144">
        <f t="shared" si="1623"/>
        <v>51.7395</v>
      </c>
      <c r="I596" s="144">
        <f t="shared" si="1624"/>
        <v>51.105499999999999</v>
      </c>
      <c r="J596" s="159">
        <f t="shared" si="1625"/>
        <v>51.105499999999999</v>
      </c>
      <c r="K596" s="160">
        <f t="shared" si="1626"/>
        <v>86.91</v>
      </c>
      <c r="L596" s="152">
        <f t="shared" si="1720"/>
        <v>278</v>
      </c>
      <c r="M596" s="144">
        <f t="shared" si="1721"/>
        <v>11</v>
      </c>
      <c r="N596" s="144"/>
      <c r="O596" s="144">
        <f t="shared" si="1722"/>
        <v>0</v>
      </c>
      <c r="P596" s="144">
        <f t="shared" si="1723"/>
        <v>96</v>
      </c>
      <c r="Q596" s="144">
        <f t="shared" si="1724"/>
        <v>96</v>
      </c>
      <c r="R596" s="144">
        <f t="shared" si="1725"/>
        <v>284</v>
      </c>
      <c r="S596" s="144">
        <f t="shared" si="1726"/>
        <v>284</v>
      </c>
      <c r="T596" s="144">
        <f t="shared" si="1727"/>
        <v>449</v>
      </c>
      <c r="V596" s="150">
        <f>L595+L596</f>
        <v>327</v>
      </c>
      <c r="W596" s="150">
        <f t="shared" ref="W596" si="1767">M595+M596</f>
        <v>14</v>
      </c>
      <c r="X596" s="150"/>
      <c r="Y596" s="150">
        <f t="shared" ref="Y596" si="1768">O595+O596</f>
        <v>0</v>
      </c>
      <c r="Z596" s="150">
        <f t="shared" ref="Z596" si="1769">P595+P596</f>
        <v>117</v>
      </c>
      <c r="AA596" s="150">
        <f t="shared" ref="AA596" si="1770">Q595+Q596</f>
        <v>117</v>
      </c>
      <c r="AB596" s="150">
        <f t="shared" ref="AB596" si="1771">R595+R596</f>
        <v>347</v>
      </c>
      <c r="AC596" s="150">
        <f t="shared" ref="AC596" si="1772">S595+S596</f>
        <v>347</v>
      </c>
      <c r="AD596" s="150">
        <f t="shared" ref="AD596" si="1773">T595+T596</f>
        <v>534</v>
      </c>
      <c r="AF596" s="158">
        <f t="shared" si="1613"/>
        <v>40550</v>
      </c>
      <c r="AG596" s="149">
        <v>107.5243</v>
      </c>
      <c r="AH596" s="149">
        <v>60.458399999999997</v>
      </c>
      <c r="AI596" s="149"/>
      <c r="AJ596" s="149"/>
      <c r="AK596" s="149"/>
      <c r="AL596" s="149"/>
      <c r="AM596" s="149"/>
      <c r="AN596" s="149"/>
      <c r="AO596" s="149"/>
      <c r="AP596" s="149"/>
      <c r="AQ596" s="149"/>
      <c r="AR596" s="149"/>
      <c r="AS596" s="149"/>
      <c r="AT596" s="149"/>
      <c r="AU596" s="149"/>
      <c r="AV596" s="149"/>
      <c r="AW596" s="149"/>
      <c r="AX596" s="149">
        <v>5.6791</v>
      </c>
      <c r="AY596" s="149"/>
      <c r="AZ596" s="149"/>
      <c r="BA596" s="149"/>
      <c r="BB596" s="149"/>
      <c r="BC596" s="149"/>
      <c r="BD596" s="149"/>
      <c r="BE596" s="149"/>
      <c r="BF596" s="149"/>
      <c r="BG596" s="149"/>
      <c r="BH596" s="149"/>
      <c r="BI596" s="149"/>
      <c r="BJ596" s="149"/>
      <c r="BK596" s="149"/>
      <c r="BL596" s="149"/>
      <c r="BM596" s="149"/>
      <c r="BN596" s="149">
        <v>51.7395</v>
      </c>
      <c r="BO596" s="149"/>
      <c r="BP596" s="149"/>
      <c r="BQ596" s="149">
        <f t="shared" si="1744"/>
        <v>51.7395</v>
      </c>
      <c r="BR596" s="149"/>
      <c r="BS596" s="149"/>
      <c r="BT596" s="149">
        <v>51.105499999999999</v>
      </c>
      <c r="BU596" s="149"/>
      <c r="BV596" s="149"/>
      <c r="BW596" s="149">
        <f>BT596</f>
        <v>51.105499999999999</v>
      </c>
      <c r="BX596" s="149"/>
      <c r="BY596" s="149"/>
      <c r="BZ596" s="149"/>
      <c r="CA596" s="149"/>
      <c r="CB596" s="149">
        <v>86.91</v>
      </c>
      <c r="CC596" s="231">
        <f t="shared" si="1719"/>
        <v>40550</v>
      </c>
    </row>
    <row r="597" spans="1:81" x14ac:dyDescent="0.25">
      <c r="B597" s="155">
        <v>40600</v>
      </c>
      <c r="C597" s="147">
        <f t="shared" si="1699"/>
        <v>194.41499999999999</v>
      </c>
      <c r="D597" s="147">
        <f t="shared" si="1604"/>
        <v>5.76</v>
      </c>
      <c r="E597" s="147">
        <f t="shared" si="1621"/>
        <v>0</v>
      </c>
      <c r="F597" s="147">
        <f t="shared" si="1605"/>
        <v>0</v>
      </c>
      <c r="G597" s="147">
        <f t="shared" si="1622"/>
        <v>51.651400000000002</v>
      </c>
      <c r="H597" s="147">
        <f t="shared" si="1623"/>
        <v>51.651400000000002</v>
      </c>
      <c r="I597" s="147">
        <f t="shared" si="1624"/>
        <v>51.092199999999998</v>
      </c>
      <c r="J597" s="156">
        <f t="shared" si="1625"/>
        <v>51.092199999999998</v>
      </c>
      <c r="K597" s="157">
        <f t="shared" si="1626"/>
        <v>93.3</v>
      </c>
      <c r="L597" s="151">
        <f t="shared" si="1720"/>
        <v>336</v>
      </c>
      <c r="M597" s="147">
        <f t="shared" si="1721"/>
        <v>11</v>
      </c>
      <c r="N597" s="147"/>
      <c r="O597" s="147">
        <f t="shared" si="1722"/>
        <v>0</v>
      </c>
      <c r="P597" s="147">
        <f t="shared" si="1723"/>
        <v>96</v>
      </c>
      <c r="Q597" s="147">
        <f t="shared" si="1724"/>
        <v>96</v>
      </c>
      <c r="R597" s="147">
        <f t="shared" si="1725"/>
        <v>284</v>
      </c>
      <c r="S597" s="147">
        <f t="shared" si="1726"/>
        <v>284</v>
      </c>
      <c r="T597" s="147">
        <f t="shared" si="1727"/>
        <v>501</v>
      </c>
      <c r="V597" s="146"/>
      <c r="W597" s="147"/>
      <c r="X597" s="147"/>
      <c r="Y597" s="147"/>
      <c r="Z597" s="147"/>
      <c r="AA597" s="147"/>
      <c r="AB597" s="147"/>
      <c r="AC597" s="147"/>
      <c r="AD597" s="148"/>
      <c r="AF597" s="155">
        <f t="shared" si="1613"/>
        <v>40600</v>
      </c>
      <c r="AG597" s="78">
        <v>136.696</v>
      </c>
      <c r="AH597" s="78">
        <v>57.719000000000001</v>
      </c>
      <c r="AI597" s="78"/>
      <c r="AJ597" s="78"/>
      <c r="AK597" s="78"/>
      <c r="AL597" s="78"/>
      <c r="AM597" s="78"/>
      <c r="AN597" s="78"/>
      <c r="AO597" s="78"/>
      <c r="AP597" s="78"/>
      <c r="AQ597" s="78"/>
      <c r="AR597" s="78"/>
      <c r="AS597" s="78"/>
      <c r="AT597" s="78"/>
      <c r="AU597" s="78"/>
      <c r="AV597" s="78"/>
      <c r="AW597" s="78"/>
      <c r="AX597" s="78">
        <v>5.76</v>
      </c>
      <c r="AY597" s="78"/>
      <c r="AZ597" s="78"/>
      <c r="BA597" s="78"/>
      <c r="BB597" s="78"/>
      <c r="BC597" s="78"/>
      <c r="BD597" s="78"/>
      <c r="BE597" s="78"/>
      <c r="BF597" s="78"/>
      <c r="BG597" s="78"/>
      <c r="BH597" s="78"/>
      <c r="BI597" s="78"/>
      <c r="BJ597" s="78"/>
      <c r="BK597" s="78"/>
      <c r="BL597" s="78"/>
      <c r="BM597" s="78"/>
      <c r="BN597" s="78">
        <v>51.651400000000002</v>
      </c>
      <c r="BO597" s="78"/>
      <c r="BP597" s="78"/>
      <c r="BQ597" s="78">
        <f t="shared" si="1744"/>
        <v>51.651400000000002</v>
      </c>
      <c r="BR597" s="78"/>
      <c r="BS597" s="78"/>
      <c r="BT597" s="78">
        <v>51.092199999999998</v>
      </c>
      <c r="BU597" s="78"/>
      <c r="BV597" s="78"/>
      <c r="BW597" s="49">
        <f t="shared" si="1628"/>
        <v>51.092199999999998</v>
      </c>
      <c r="BX597" s="49"/>
      <c r="BY597" s="49"/>
      <c r="BZ597" s="78"/>
      <c r="CA597" s="78"/>
      <c r="CB597" s="78">
        <v>93.3</v>
      </c>
      <c r="CC597" s="231">
        <f t="shared" si="1719"/>
        <v>40600</v>
      </c>
    </row>
    <row r="598" spans="1:81" s="3" customFormat="1" ht="15.75" thickBot="1" x14ac:dyDescent="0.3">
      <c r="B598" s="158">
        <v>40650</v>
      </c>
      <c r="C598" s="144">
        <f t="shared" si="1699"/>
        <v>169.34950000000001</v>
      </c>
      <c r="D598" s="144">
        <f t="shared" si="1604"/>
        <v>6.0149999999999997</v>
      </c>
      <c r="E598" s="144">
        <f t="shared" si="1621"/>
        <v>0</v>
      </c>
      <c r="F598" s="144">
        <f t="shared" si="1605"/>
        <v>0</v>
      </c>
      <c r="G598" s="144">
        <f t="shared" si="1622"/>
        <v>51.380200000000002</v>
      </c>
      <c r="H598" s="144">
        <f t="shared" si="1623"/>
        <v>51.380200000000002</v>
      </c>
      <c r="I598" s="144">
        <f t="shared" si="1624"/>
        <v>51.076300000000003</v>
      </c>
      <c r="J598" s="159">
        <f t="shared" si="1625"/>
        <v>51.076300000000003</v>
      </c>
      <c r="K598" s="160">
        <f t="shared" si="1626"/>
        <v>104.85</v>
      </c>
      <c r="L598" s="152">
        <f t="shared" si="1720"/>
        <v>337</v>
      </c>
      <c r="M598" s="144">
        <f t="shared" si="1721"/>
        <v>11</v>
      </c>
      <c r="N598" s="144"/>
      <c r="O598" s="144">
        <f t="shared" si="1722"/>
        <v>0</v>
      </c>
      <c r="P598" s="144">
        <f t="shared" si="1723"/>
        <v>96</v>
      </c>
      <c r="Q598" s="144">
        <f t="shared" si="1724"/>
        <v>96</v>
      </c>
      <c r="R598" s="144">
        <f t="shared" si="1725"/>
        <v>284</v>
      </c>
      <c r="S598" s="144">
        <f t="shared" si="1726"/>
        <v>284</v>
      </c>
      <c r="T598" s="144">
        <f t="shared" si="1727"/>
        <v>551</v>
      </c>
      <c r="V598" s="150">
        <f>L597+L598</f>
        <v>673</v>
      </c>
      <c r="W598" s="150">
        <f t="shared" ref="W598" si="1774">M597+M598</f>
        <v>22</v>
      </c>
      <c r="X598" s="150"/>
      <c r="Y598" s="150">
        <f t="shared" ref="Y598" si="1775">O597+O598</f>
        <v>0</v>
      </c>
      <c r="Z598" s="150">
        <f t="shared" ref="Z598" si="1776">P597+P598</f>
        <v>192</v>
      </c>
      <c r="AA598" s="150">
        <f t="shared" ref="AA598" si="1777">Q597+Q598</f>
        <v>192</v>
      </c>
      <c r="AB598" s="150">
        <f t="shared" ref="AB598" si="1778">R597+R598</f>
        <v>568</v>
      </c>
      <c r="AC598" s="150">
        <f t="shared" ref="AC598" si="1779">S597+S598</f>
        <v>568</v>
      </c>
      <c r="AD598" s="150">
        <f t="shared" ref="AD598" si="1780">T597+T598</f>
        <v>1052</v>
      </c>
      <c r="AF598" s="158">
        <f t="shared" si="1613"/>
        <v>40650</v>
      </c>
      <c r="AG598" s="149">
        <v>115.09310000000001</v>
      </c>
      <c r="AH598" s="149">
        <v>54.256399999999999</v>
      </c>
      <c r="AI598" s="149"/>
      <c r="AJ598" s="149"/>
      <c r="AK598" s="149"/>
      <c r="AL598" s="149"/>
      <c r="AM598" s="149"/>
      <c r="AN598" s="149"/>
      <c r="AO598" s="149"/>
      <c r="AP598" s="149"/>
      <c r="AQ598" s="149"/>
      <c r="AR598" s="149"/>
      <c r="AS598" s="149"/>
      <c r="AT598" s="149"/>
      <c r="AU598" s="149"/>
      <c r="AV598" s="149"/>
      <c r="AW598" s="149"/>
      <c r="AX598" s="149">
        <v>6.0149999999999997</v>
      </c>
      <c r="AY598" s="149"/>
      <c r="AZ598" s="149"/>
      <c r="BA598" s="149"/>
      <c r="BB598" s="149"/>
      <c r="BC598" s="149"/>
      <c r="BD598" s="149"/>
      <c r="BE598" s="149"/>
      <c r="BF598" s="149"/>
      <c r="BG598" s="149"/>
      <c r="BH598" s="149"/>
      <c r="BI598" s="149"/>
      <c r="BJ598" s="149"/>
      <c r="BK598" s="149"/>
      <c r="BL598" s="149"/>
      <c r="BM598" s="149"/>
      <c r="BN598" s="149">
        <v>51.380200000000002</v>
      </c>
      <c r="BO598" s="149"/>
      <c r="BP598" s="149"/>
      <c r="BQ598" s="149">
        <f t="shared" si="1744"/>
        <v>51.380200000000002</v>
      </c>
      <c r="BR598" s="149"/>
      <c r="BS598" s="149"/>
      <c r="BT598" s="149">
        <v>51.076300000000003</v>
      </c>
      <c r="BU598" s="149"/>
      <c r="BV598" s="149"/>
      <c r="BW598" s="149">
        <f>BT598</f>
        <v>51.076300000000003</v>
      </c>
      <c r="BX598" s="149"/>
      <c r="BY598" s="149"/>
      <c r="BZ598" s="149"/>
      <c r="CA598" s="149"/>
      <c r="CB598" s="149">
        <v>104.85</v>
      </c>
      <c r="CC598" s="231">
        <f t="shared" si="1719"/>
        <v>40650</v>
      </c>
    </row>
    <row r="599" spans="1:81" x14ac:dyDescent="0.25">
      <c r="B599" s="155">
        <v>40700</v>
      </c>
      <c r="C599" s="147">
        <f t="shared" si="1699"/>
        <v>163.89860000000002</v>
      </c>
      <c r="D599" s="147">
        <f t="shared" si="1604"/>
        <v>4.8898000000000001</v>
      </c>
      <c r="E599" s="147">
        <f t="shared" si="1621"/>
        <v>0</v>
      </c>
      <c r="F599" s="147">
        <f t="shared" si="1605"/>
        <v>0</v>
      </c>
      <c r="G599" s="147">
        <f t="shared" si="1622"/>
        <v>50.763199999999998</v>
      </c>
      <c r="H599" s="147">
        <f t="shared" si="1623"/>
        <v>50.763199999999998</v>
      </c>
      <c r="I599" s="147">
        <f t="shared" si="1624"/>
        <v>49.990299999999998</v>
      </c>
      <c r="J599" s="156">
        <f t="shared" si="1625"/>
        <v>49.990299999999998</v>
      </c>
      <c r="K599" s="157">
        <f t="shared" si="1626"/>
        <v>100.06</v>
      </c>
      <c r="L599" s="151">
        <f t="shared" si="1720"/>
        <v>309</v>
      </c>
      <c r="M599" s="147">
        <f t="shared" si="1721"/>
        <v>11</v>
      </c>
      <c r="N599" s="147"/>
      <c r="O599" s="147">
        <f t="shared" si="1722"/>
        <v>0</v>
      </c>
      <c r="P599" s="147">
        <f t="shared" si="1723"/>
        <v>95</v>
      </c>
      <c r="Q599" s="147">
        <f t="shared" si="1724"/>
        <v>95</v>
      </c>
      <c r="R599" s="147">
        <f t="shared" si="1725"/>
        <v>281</v>
      </c>
      <c r="S599" s="147">
        <f t="shared" si="1726"/>
        <v>281</v>
      </c>
      <c r="T599" s="147">
        <f t="shared" si="1727"/>
        <v>570</v>
      </c>
      <c r="V599" s="146"/>
      <c r="W599" s="147"/>
      <c r="X599" s="147"/>
      <c r="Y599" s="147"/>
      <c r="Z599" s="147"/>
      <c r="AA599" s="147"/>
      <c r="AB599" s="147"/>
      <c r="AC599" s="147"/>
      <c r="AD599" s="148"/>
      <c r="AF599" s="155">
        <f t="shared" si="1613"/>
        <v>40700</v>
      </c>
      <c r="AG599" s="78">
        <v>107.40860000000001</v>
      </c>
      <c r="AH599" s="78">
        <v>56.49</v>
      </c>
      <c r="AI599" s="78"/>
      <c r="AJ599" s="78"/>
      <c r="AK599" s="78"/>
      <c r="AL599" s="78"/>
      <c r="AM599" s="78"/>
      <c r="AN599" s="78"/>
      <c r="AO599" s="78"/>
      <c r="AP599" s="78"/>
      <c r="AQ599" s="78"/>
      <c r="AR599" s="78"/>
      <c r="AS599" s="78"/>
      <c r="AT599" s="78"/>
      <c r="AU599" s="78"/>
      <c r="AV599" s="78"/>
      <c r="AW599" s="78"/>
      <c r="AX599" s="78">
        <v>4.6787000000000001</v>
      </c>
      <c r="AY599" s="78">
        <v>0.21110000000000001</v>
      </c>
      <c r="AZ599" s="78"/>
      <c r="BA599" s="78"/>
      <c r="BB599" s="78"/>
      <c r="BC599" s="78"/>
      <c r="BD599" s="78"/>
      <c r="BE599" s="78"/>
      <c r="BF599" s="78"/>
      <c r="BG599" s="78"/>
      <c r="BH599" s="78"/>
      <c r="BI599" s="78"/>
      <c r="BJ599" s="78"/>
      <c r="BK599" s="78"/>
      <c r="BL599" s="78"/>
      <c r="BM599" s="78"/>
      <c r="BN599" s="78">
        <v>50.763199999999998</v>
      </c>
      <c r="BO599" s="78"/>
      <c r="BP599" s="78"/>
      <c r="BQ599" s="78">
        <f t="shared" si="1744"/>
        <v>50.763199999999998</v>
      </c>
      <c r="BR599" s="78"/>
      <c r="BS599" s="78"/>
      <c r="BT599" s="78">
        <v>49.990299999999998</v>
      </c>
      <c r="BU599" s="78"/>
      <c r="BV599" s="78"/>
      <c r="BW599" s="49">
        <f t="shared" si="1628"/>
        <v>49.990299999999998</v>
      </c>
      <c r="BX599" s="49"/>
      <c r="BY599" s="49"/>
      <c r="BZ599" s="78"/>
      <c r="CA599" s="78"/>
      <c r="CB599" s="78">
        <v>100.06</v>
      </c>
      <c r="CC599" s="231">
        <f t="shared" si="1719"/>
        <v>40700</v>
      </c>
    </row>
    <row r="600" spans="1:81" s="3" customFormat="1" ht="15.75" thickBot="1" x14ac:dyDescent="0.3">
      <c r="B600" s="158">
        <v>40750</v>
      </c>
      <c r="C600" s="144">
        <f t="shared" si="1699"/>
        <v>93.714200000000005</v>
      </c>
      <c r="D600" s="144">
        <f t="shared" si="1604"/>
        <v>2.6466000000000003</v>
      </c>
      <c r="E600" s="144">
        <f t="shared" si="1621"/>
        <v>0</v>
      </c>
      <c r="F600" s="144">
        <f t="shared" si="1605"/>
        <v>0</v>
      </c>
      <c r="G600" s="144">
        <f t="shared" si="1622"/>
        <v>46.249299999999998</v>
      </c>
      <c r="H600" s="144">
        <f t="shared" si="1623"/>
        <v>46.249299999999998</v>
      </c>
      <c r="I600" s="144">
        <f t="shared" si="1624"/>
        <v>45.017499999999998</v>
      </c>
      <c r="J600" s="159">
        <f t="shared" si="1625"/>
        <v>45.017499999999998</v>
      </c>
      <c r="K600" s="160">
        <f t="shared" si="1626"/>
        <v>51.71</v>
      </c>
      <c r="L600" s="152">
        <f t="shared" si="1720"/>
        <v>239</v>
      </c>
      <c r="M600" s="144">
        <f t="shared" si="1721"/>
        <v>7</v>
      </c>
      <c r="N600" s="144"/>
      <c r="O600" s="144">
        <f t="shared" si="1722"/>
        <v>0</v>
      </c>
      <c r="P600" s="144">
        <f t="shared" si="1723"/>
        <v>90</v>
      </c>
      <c r="Q600" s="144">
        <f t="shared" si="1724"/>
        <v>90</v>
      </c>
      <c r="R600" s="144">
        <f t="shared" si="1725"/>
        <v>264</v>
      </c>
      <c r="S600" s="144">
        <f t="shared" si="1726"/>
        <v>264</v>
      </c>
      <c r="T600" s="144">
        <f t="shared" si="1727"/>
        <v>422</v>
      </c>
      <c r="V600" s="150">
        <f>L599+L600</f>
        <v>548</v>
      </c>
      <c r="W600" s="150">
        <f t="shared" ref="W600" si="1781">M599+M600</f>
        <v>18</v>
      </c>
      <c r="X600" s="150"/>
      <c r="Y600" s="150">
        <f t="shared" ref="Y600" si="1782">O599+O600</f>
        <v>0</v>
      </c>
      <c r="Z600" s="150">
        <f t="shared" ref="Z600" si="1783">P599+P600</f>
        <v>185</v>
      </c>
      <c r="AA600" s="150">
        <f t="shared" ref="AA600" si="1784">Q599+Q600</f>
        <v>185</v>
      </c>
      <c r="AB600" s="150">
        <f t="shared" ref="AB600" si="1785">R599+R600</f>
        <v>545</v>
      </c>
      <c r="AC600" s="150">
        <f t="shared" ref="AC600" si="1786">S599+S600</f>
        <v>545</v>
      </c>
      <c r="AD600" s="150">
        <f t="shared" ref="AD600" si="1787">T599+T600</f>
        <v>992</v>
      </c>
      <c r="AF600" s="158">
        <f t="shared" si="1613"/>
        <v>40750</v>
      </c>
      <c r="AG600" s="149">
        <v>38.359499999999997</v>
      </c>
      <c r="AH600" s="149">
        <v>55.354700000000001</v>
      </c>
      <c r="AI600" s="149"/>
      <c r="AJ600" s="149"/>
      <c r="AK600" s="149"/>
      <c r="AL600" s="149"/>
      <c r="AM600" s="149"/>
      <c r="AN600" s="149"/>
      <c r="AO600" s="149"/>
      <c r="AP600" s="149"/>
      <c r="AQ600" s="149"/>
      <c r="AR600" s="149"/>
      <c r="AS600" s="149"/>
      <c r="AT600" s="149"/>
      <c r="AU600" s="149"/>
      <c r="AV600" s="149"/>
      <c r="AW600" s="149"/>
      <c r="AX600" s="149">
        <v>2.3048000000000002</v>
      </c>
      <c r="AY600" s="149">
        <v>0.34179999999999999</v>
      </c>
      <c r="AZ600" s="149"/>
      <c r="BA600" s="149"/>
      <c r="BB600" s="149"/>
      <c r="BC600" s="149"/>
      <c r="BD600" s="149"/>
      <c r="BE600" s="149"/>
      <c r="BF600" s="149"/>
      <c r="BG600" s="149"/>
      <c r="BH600" s="149"/>
      <c r="BI600" s="149"/>
      <c r="BJ600" s="149"/>
      <c r="BK600" s="149"/>
      <c r="BL600" s="149"/>
      <c r="BM600" s="149"/>
      <c r="BN600" s="149">
        <v>46.249299999999998</v>
      </c>
      <c r="BO600" s="149"/>
      <c r="BP600" s="149"/>
      <c r="BQ600" s="149">
        <f t="shared" si="1744"/>
        <v>46.249299999999998</v>
      </c>
      <c r="BR600" s="149"/>
      <c r="BS600" s="149"/>
      <c r="BT600" s="149">
        <v>45.017499999999998</v>
      </c>
      <c r="BU600" s="149"/>
      <c r="BV600" s="149"/>
      <c r="BW600" s="149">
        <f>BT600</f>
        <v>45.017499999999998</v>
      </c>
      <c r="BX600" s="149"/>
      <c r="BY600" s="149"/>
      <c r="BZ600" s="149"/>
      <c r="CA600" s="149"/>
      <c r="CB600" s="149">
        <v>51.71</v>
      </c>
      <c r="CC600" s="231">
        <f t="shared" si="1719"/>
        <v>40750</v>
      </c>
    </row>
    <row r="601" spans="1:81" x14ac:dyDescent="0.25">
      <c r="B601" s="155">
        <v>40800</v>
      </c>
      <c r="C601" s="147">
        <f t="shared" si="1699"/>
        <v>87.4773</v>
      </c>
      <c r="D601" s="147">
        <f t="shared" si="1604"/>
        <v>0.2051</v>
      </c>
      <c r="E601" s="147">
        <f t="shared" si="1621"/>
        <v>0</v>
      </c>
      <c r="F601" s="147">
        <f t="shared" si="1605"/>
        <v>0</v>
      </c>
      <c r="G601" s="147">
        <f t="shared" si="1622"/>
        <v>42.4435</v>
      </c>
      <c r="H601" s="147">
        <f t="shared" si="1623"/>
        <v>42.4435</v>
      </c>
      <c r="I601" s="147">
        <f t="shared" si="1624"/>
        <v>118.593</v>
      </c>
      <c r="J601" s="156">
        <f t="shared" si="1625"/>
        <v>118.593</v>
      </c>
      <c r="K601" s="157">
        <f t="shared" si="1626"/>
        <v>44.91</v>
      </c>
      <c r="L601" s="151">
        <f t="shared" si="1720"/>
        <v>168</v>
      </c>
      <c r="M601" s="147">
        <f t="shared" si="1721"/>
        <v>3</v>
      </c>
      <c r="N601" s="147"/>
      <c r="O601" s="147">
        <f t="shared" si="1722"/>
        <v>0</v>
      </c>
      <c r="P601" s="147">
        <f t="shared" si="1723"/>
        <v>83</v>
      </c>
      <c r="Q601" s="147">
        <f t="shared" si="1724"/>
        <v>83</v>
      </c>
      <c r="R601" s="147">
        <f t="shared" si="1725"/>
        <v>455</v>
      </c>
      <c r="S601" s="147">
        <f t="shared" si="1726"/>
        <v>455</v>
      </c>
      <c r="T601" s="147">
        <f t="shared" si="1727"/>
        <v>269</v>
      </c>
      <c r="V601" s="146"/>
      <c r="W601" s="147"/>
      <c r="X601" s="147"/>
      <c r="Y601" s="147"/>
      <c r="Z601" s="147"/>
      <c r="AA601" s="147"/>
      <c r="AB601" s="147"/>
      <c r="AC601" s="147"/>
      <c r="AD601" s="148"/>
      <c r="AF601" s="155">
        <f t="shared" si="1613"/>
        <v>40800</v>
      </c>
      <c r="AG601" s="78">
        <v>87.4773</v>
      </c>
      <c r="AH601" s="78"/>
      <c r="AI601" s="78"/>
      <c r="AJ601" s="78"/>
      <c r="AK601" s="78"/>
      <c r="AL601" s="78"/>
      <c r="AM601" s="78"/>
      <c r="AN601" s="78"/>
      <c r="AO601" s="78"/>
      <c r="AP601" s="78"/>
      <c r="AQ601" s="78"/>
      <c r="AR601" s="78"/>
      <c r="AS601" s="78"/>
      <c r="AT601" s="78"/>
      <c r="AU601" s="78"/>
      <c r="AV601" s="78"/>
      <c r="AW601" s="78"/>
      <c r="AX601" s="78">
        <v>0.2051</v>
      </c>
      <c r="AY601" s="78"/>
      <c r="AZ601" s="78"/>
      <c r="BA601" s="78"/>
      <c r="BB601" s="78"/>
      <c r="BC601" s="78"/>
      <c r="BD601" s="78"/>
      <c r="BE601" s="78"/>
      <c r="BF601" s="78"/>
      <c r="BG601" s="78"/>
      <c r="BH601" s="78"/>
      <c r="BI601" s="78"/>
      <c r="BJ601" s="78"/>
      <c r="BK601" s="78"/>
      <c r="BL601" s="78"/>
      <c r="BM601" s="78"/>
      <c r="BN601" s="78">
        <v>42.4435</v>
      </c>
      <c r="BO601" s="78"/>
      <c r="BP601" s="78"/>
      <c r="BQ601" s="78">
        <f t="shared" si="1744"/>
        <v>42.4435</v>
      </c>
      <c r="BR601" s="78"/>
      <c r="BS601" s="78"/>
      <c r="BT601" s="78">
        <v>118.593</v>
      </c>
      <c r="BU601" s="78"/>
      <c r="BV601" s="78"/>
      <c r="BW601" s="49">
        <f t="shared" si="1628"/>
        <v>118.593</v>
      </c>
      <c r="BX601" s="49"/>
      <c r="BY601" s="49"/>
      <c r="BZ601" s="78"/>
      <c r="CA601" s="78"/>
      <c r="CB601" s="78">
        <v>44.91</v>
      </c>
      <c r="CC601" s="231">
        <f t="shared" si="1719"/>
        <v>40800</v>
      </c>
    </row>
    <row r="602" spans="1:81" s="3" customFormat="1" ht="15.75" thickBot="1" x14ac:dyDescent="0.3">
      <c r="B602" s="158">
        <v>40850</v>
      </c>
      <c r="C602" s="144">
        <f t="shared" si="1699"/>
        <v>95.361900000000006</v>
      </c>
      <c r="D602" s="144">
        <f t="shared" si="1604"/>
        <v>0</v>
      </c>
      <c r="E602" s="144">
        <f t="shared" si="1621"/>
        <v>0</v>
      </c>
      <c r="F602" s="144">
        <f t="shared" si="1605"/>
        <v>0</v>
      </c>
      <c r="G602" s="144">
        <f t="shared" si="1622"/>
        <v>42.441499999999998</v>
      </c>
      <c r="H602" s="144">
        <f t="shared" si="1623"/>
        <v>42.441499999999998</v>
      </c>
      <c r="I602" s="144">
        <f t="shared" si="1624"/>
        <v>41.023299999999999</v>
      </c>
      <c r="J602" s="159">
        <f t="shared" si="1625"/>
        <v>41.023299999999999</v>
      </c>
      <c r="K602" s="160">
        <f t="shared" si="1626"/>
        <v>46.71</v>
      </c>
      <c r="L602" s="152">
        <f t="shared" si="1720"/>
        <v>170</v>
      </c>
      <c r="M602" s="144">
        <f t="shared" si="1721"/>
        <v>1</v>
      </c>
      <c r="N602" s="144"/>
      <c r="O602" s="144">
        <f t="shared" si="1722"/>
        <v>0</v>
      </c>
      <c r="P602" s="144">
        <f t="shared" si="1723"/>
        <v>79</v>
      </c>
      <c r="Q602" s="144">
        <f t="shared" si="1724"/>
        <v>79</v>
      </c>
      <c r="R602" s="144">
        <f t="shared" si="1725"/>
        <v>444</v>
      </c>
      <c r="S602" s="144">
        <f t="shared" si="1726"/>
        <v>444</v>
      </c>
      <c r="T602" s="144">
        <f t="shared" si="1727"/>
        <v>255</v>
      </c>
      <c r="V602" s="150">
        <f>L601+L602</f>
        <v>338</v>
      </c>
      <c r="W602" s="150">
        <f t="shared" ref="W602" si="1788">M601+M602</f>
        <v>4</v>
      </c>
      <c r="X602" s="150"/>
      <c r="Y602" s="150">
        <f t="shared" ref="Y602" si="1789">O601+O602</f>
        <v>0</v>
      </c>
      <c r="Z602" s="150">
        <f t="shared" ref="Z602" si="1790">P601+P602</f>
        <v>162</v>
      </c>
      <c r="AA602" s="150">
        <f t="shared" ref="AA602" si="1791">Q601+Q602</f>
        <v>162</v>
      </c>
      <c r="AB602" s="150">
        <f t="shared" ref="AB602" si="1792">R601+R602</f>
        <v>899</v>
      </c>
      <c r="AC602" s="150">
        <f t="shared" ref="AC602" si="1793">S601+S602</f>
        <v>899</v>
      </c>
      <c r="AD602" s="150">
        <f t="shared" ref="AD602" si="1794">T601+T602</f>
        <v>524</v>
      </c>
      <c r="AF602" s="158">
        <f t="shared" si="1613"/>
        <v>40850</v>
      </c>
      <c r="AG602" s="149">
        <v>95.361900000000006</v>
      </c>
      <c r="AH602" s="149"/>
      <c r="AI602" s="149"/>
      <c r="AJ602" s="149"/>
      <c r="AK602" s="149"/>
      <c r="AL602" s="149"/>
      <c r="AM602" s="149"/>
      <c r="AN602" s="149"/>
      <c r="AO602" s="149"/>
      <c r="AP602" s="149"/>
      <c r="AQ602" s="149"/>
      <c r="AR602" s="149"/>
      <c r="AS602" s="149"/>
      <c r="AT602" s="149"/>
      <c r="AU602" s="149"/>
      <c r="AV602" s="149"/>
      <c r="AW602" s="149"/>
      <c r="AX602" s="149"/>
      <c r="AY602" s="149"/>
      <c r="AZ602" s="149"/>
      <c r="BA602" s="149"/>
      <c r="BB602" s="149"/>
      <c r="BC602" s="149"/>
      <c r="BD602" s="149"/>
      <c r="BE602" s="149"/>
      <c r="BF602" s="149"/>
      <c r="BG602" s="149"/>
      <c r="BH602" s="149"/>
      <c r="BI602" s="149"/>
      <c r="BJ602" s="149"/>
      <c r="BK602" s="149"/>
      <c r="BL602" s="149"/>
      <c r="BM602" s="149"/>
      <c r="BN602" s="149">
        <v>42.441499999999998</v>
      </c>
      <c r="BO602" s="149"/>
      <c r="BP602" s="149"/>
      <c r="BQ602" s="149">
        <f t="shared" si="1744"/>
        <v>42.441499999999998</v>
      </c>
      <c r="BR602" s="149"/>
      <c r="BS602" s="149"/>
      <c r="BT602" s="149">
        <v>41.023299999999999</v>
      </c>
      <c r="BU602" s="149"/>
      <c r="BV602" s="149"/>
      <c r="BW602" s="149">
        <f>BT602</f>
        <v>41.023299999999999</v>
      </c>
      <c r="BX602" s="149"/>
      <c r="BY602" s="149"/>
      <c r="BZ602" s="149"/>
      <c r="CA602" s="149"/>
      <c r="CB602" s="149">
        <v>46.71</v>
      </c>
      <c r="CC602" s="231">
        <f t="shared" si="1719"/>
        <v>40850</v>
      </c>
    </row>
    <row r="603" spans="1:81" x14ac:dyDescent="0.25">
      <c r="B603" s="155">
        <v>40900</v>
      </c>
      <c r="C603" s="147">
        <f t="shared" si="1699"/>
        <v>67.8078</v>
      </c>
      <c r="D603" s="147">
        <f t="shared" si="1604"/>
        <v>0.33260000000000001</v>
      </c>
      <c r="E603" s="147">
        <f t="shared" si="1621"/>
        <v>0</v>
      </c>
      <c r="F603" s="147">
        <f t="shared" si="1605"/>
        <v>0</v>
      </c>
      <c r="G603" s="147">
        <f t="shared" si="1622"/>
        <v>42.441499999999998</v>
      </c>
      <c r="H603" s="147">
        <f t="shared" si="1623"/>
        <v>42.441499999999998</v>
      </c>
      <c r="I603" s="147">
        <f t="shared" si="1624"/>
        <v>41.023200000000003</v>
      </c>
      <c r="J603" s="156">
        <f t="shared" si="1625"/>
        <v>41.023200000000003</v>
      </c>
      <c r="K603" s="157">
        <f t="shared" si="1626"/>
        <v>45.86</v>
      </c>
      <c r="L603" s="151">
        <f t="shared" si="1720"/>
        <v>152</v>
      </c>
      <c r="M603" s="147">
        <f t="shared" si="1721"/>
        <v>1</v>
      </c>
      <c r="N603" s="147"/>
      <c r="O603" s="147">
        <f t="shared" si="1722"/>
        <v>0</v>
      </c>
      <c r="P603" s="147">
        <f t="shared" si="1723"/>
        <v>79</v>
      </c>
      <c r="Q603" s="147">
        <f t="shared" si="1724"/>
        <v>79</v>
      </c>
      <c r="R603" s="147">
        <f t="shared" si="1725"/>
        <v>228</v>
      </c>
      <c r="S603" s="147">
        <f t="shared" si="1726"/>
        <v>228</v>
      </c>
      <c r="T603" s="147">
        <f t="shared" si="1727"/>
        <v>258</v>
      </c>
      <c r="V603" s="146"/>
      <c r="W603" s="147"/>
      <c r="X603" s="147"/>
      <c r="Y603" s="147"/>
      <c r="Z603" s="147"/>
      <c r="AA603" s="147"/>
      <c r="AB603" s="147"/>
      <c r="AC603" s="147"/>
      <c r="AD603" s="148"/>
      <c r="AF603" s="155">
        <f t="shared" si="1613"/>
        <v>40900</v>
      </c>
      <c r="AG603" s="78">
        <v>67.8078</v>
      </c>
      <c r="AH603" s="78"/>
      <c r="AI603" s="78"/>
      <c r="AJ603" s="78"/>
      <c r="AK603" s="78"/>
      <c r="AL603" s="78"/>
      <c r="AM603" s="78"/>
      <c r="AN603" s="78"/>
      <c r="AO603" s="78"/>
      <c r="AP603" s="78"/>
      <c r="AQ603" s="78"/>
      <c r="AR603" s="78"/>
      <c r="AS603" s="78"/>
      <c r="AT603" s="78"/>
      <c r="AU603" s="78"/>
      <c r="AV603" s="78"/>
      <c r="AW603" s="78"/>
      <c r="AX603" s="78">
        <v>0.33260000000000001</v>
      </c>
      <c r="AY603" s="78"/>
      <c r="AZ603" s="78"/>
      <c r="BA603" s="78"/>
      <c r="BB603" s="78"/>
      <c r="BC603" s="78"/>
      <c r="BD603" s="78"/>
      <c r="BE603" s="78"/>
      <c r="BF603" s="78"/>
      <c r="BG603" s="78"/>
      <c r="BH603" s="78"/>
      <c r="BI603" s="78"/>
      <c r="BJ603" s="78"/>
      <c r="BK603" s="78"/>
      <c r="BL603" s="78"/>
      <c r="BM603" s="78"/>
      <c r="BN603" s="78">
        <v>42.441499999999998</v>
      </c>
      <c r="BO603" s="78"/>
      <c r="BP603" s="78"/>
      <c r="BQ603" s="78">
        <f t="shared" si="1744"/>
        <v>42.441499999999998</v>
      </c>
      <c r="BR603" s="78"/>
      <c r="BS603" s="78"/>
      <c r="BT603" s="78">
        <v>41.023200000000003</v>
      </c>
      <c r="BU603" s="78"/>
      <c r="BV603" s="78"/>
      <c r="BW603" s="49">
        <f t="shared" si="1628"/>
        <v>41.023200000000003</v>
      </c>
      <c r="BX603" s="49"/>
      <c r="BY603" s="49"/>
      <c r="BZ603" s="78"/>
      <c r="CA603" s="78"/>
      <c r="CB603" s="78">
        <v>45.86</v>
      </c>
      <c r="CC603" s="231">
        <f t="shared" si="1719"/>
        <v>40900</v>
      </c>
    </row>
    <row r="604" spans="1:81" x14ac:dyDescent="0.25">
      <c r="B604" s="57">
        <v>40950</v>
      </c>
      <c r="C604" s="58">
        <f t="shared" si="1699"/>
        <v>55.590400000000002</v>
      </c>
      <c r="D604" s="58">
        <f t="shared" si="1604"/>
        <v>8.0399999999999999E-2</v>
      </c>
      <c r="E604" s="58">
        <f t="shared" si="1621"/>
        <v>0</v>
      </c>
      <c r="F604" s="58">
        <f t="shared" si="1605"/>
        <v>0</v>
      </c>
      <c r="G604" s="58">
        <f t="shared" si="1622"/>
        <v>42.441400000000002</v>
      </c>
      <c r="H604" s="58">
        <f t="shared" si="1623"/>
        <v>42.441400000000002</v>
      </c>
      <c r="I604" s="58">
        <f t="shared" si="1624"/>
        <v>41.0242</v>
      </c>
      <c r="J604" s="51">
        <f t="shared" si="1625"/>
        <v>41.0242</v>
      </c>
      <c r="K604" s="99">
        <f t="shared" si="1626"/>
        <v>25.03</v>
      </c>
      <c r="L604" s="105">
        <f t="shared" si="1720"/>
        <v>115</v>
      </c>
      <c r="M604" s="58">
        <f t="shared" si="1721"/>
        <v>1</v>
      </c>
      <c r="N604" s="58"/>
      <c r="O604" s="58">
        <f t="shared" si="1722"/>
        <v>0</v>
      </c>
      <c r="P604" s="58">
        <f t="shared" si="1723"/>
        <v>79</v>
      </c>
      <c r="Q604" s="58">
        <f t="shared" si="1724"/>
        <v>79</v>
      </c>
      <c r="R604" s="58">
        <f t="shared" si="1725"/>
        <v>228</v>
      </c>
      <c r="S604" s="58">
        <f t="shared" si="1726"/>
        <v>228</v>
      </c>
      <c r="T604" s="58">
        <f t="shared" si="1727"/>
        <v>197</v>
      </c>
      <c r="V604" s="137"/>
      <c r="W604" s="58"/>
      <c r="X604" s="58"/>
      <c r="Y604" s="58"/>
      <c r="Z604" s="58"/>
      <c r="AA604" s="58"/>
      <c r="AB604" s="58"/>
      <c r="AC604" s="58"/>
      <c r="AD604" s="138"/>
      <c r="AF604" s="57">
        <f t="shared" si="1613"/>
        <v>40950</v>
      </c>
      <c r="AG604" s="49">
        <v>55.590400000000002</v>
      </c>
      <c r="AH604" s="49"/>
      <c r="AI604" s="49"/>
      <c r="AJ604" s="49"/>
      <c r="AK604" s="49"/>
      <c r="AL604" s="49"/>
      <c r="AM604" s="49"/>
      <c r="AN604" s="49"/>
      <c r="AO604" s="49"/>
      <c r="AP604" s="49"/>
      <c r="AQ604" s="49"/>
      <c r="AR604" s="49"/>
      <c r="AS604" s="49"/>
      <c r="AT604" s="49"/>
      <c r="AU604" s="49"/>
      <c r="AV604" s="49"/>
      <c r="AW604" s="49"/>
      <c r="AX604" s="49">
        <v>8.0399999999999999E-2</v>
      </c>
      <c r="AY604" s="49"/>
      <c r="AZ604" s="49"/>
      <c r="BA604" s="49"/>
      <c r="BB604" s="49"/>
      <c r="BC604" s="49"/>
      <c r="BD604" s="49"/>
      <c r="BE604" s="49"/>
      <c r="BF604" s="49"/>
      <c r="BG604" s="49"/>
      <c r="BH604" s="49"/>
      <c r="BI604" s="49"/>
      <c r="BJ604" s="49"/>
      <c r="BK604" s="49"/>
      <c r="BL604" s="49"/>
      <c r="BM604" s="49"/>
      <c r="BN604" s="49">
        <v>42.441400000000002</v>
      </c>
      <c r="BO604" s="49"/>
      <c r="BP604" s="49"/>
      <c r="BQ604" s="49">
        <f t="shared" si="1744"/>
        <v>42.441400000000002</v>
      </c>
      <c r="BR604" s="49"/>
      <c r="BS604" s="49"/>
      <c r="BT604" s="49">
        <v>41.0242</v>
      </c>
      <c r="BU604" s="49"/>
      <c r="BV604" s="49"/>
      <c r="BW604" s="49">
        <f t="shared" si="1628"/>
        <v>41.0242</v>
      </c>
      <c r="BX604" s="49"/>
      <c r="BY604" s="49"/>
      <c r="BZ604" s="49"/>
      <c r="CA604" s="49"/>
      <c r="CB604" s="49">
        <v>25.03</v>
      </c>
      <c r="CC604" s="231">
        <f t="shared" si="1719"/>
        <v>40950</v>
      </c>
    </row>
    <row r="605" spans="1:81" s="3" customFormat="1" ht="15.75" thickBot="1" x14ac:dyDescent="0.3">
      <c r="B605" s="158">
        <v>41000</v>
      </c>
      <c r="C605" s="144">
        <f t="shared" si="1699"/>
        <v>55.384799999999998</v>
      </c>
      <c r="D605" s="144">
        <f t="shared" si="1604"/>
        <v>0</v>
      </c>
      <c r="E605" s="144">
        <f t="shared" si="1621"/>
        <v>0</v>
      </c>
      <c r="F605" s="144">
        <f t="shared" si="1605"/>
        <v>0</v>
      </c>
      <c r="G605" s="144">
        <f t="shared" si="1622"/>
        <v>42.4407</v>
      </c>
      <c r="H605" s="144">
        <f t="shared" si="1623"/>
        <v>42.4407</v>
      </c>
      <c r="I605" s="144">
        <f t="shared" si="1624"/>
        <v>41.023400000000002</v>
      </c>
      <c r="J605" s="159">
        <f t="shared" si="1625"/>
        <v>41.023400000000002</v>
      </c>
      <c r="K605" s="160">
        <f t="shared" si="1626"/>
        <v>21.37</v>
      </c>
      <c r="L605" s="152">
        <f t="shared" si="1720"/>
        <v>103</v>
      </c>
      <c r="M605" s="144">
        <f t="shared" si="1721"/>
        <v>1</v>
      </c>
      <c r="N605" s="144"/>
      <c r="O605" s="144">
        <f t="shared" si="1722"/>
        <v>0</v>
      </c>
      <c r="P605" s="144">
        <f t="shared" si="1723"/>
        <v>79</v>
      </c>
      <c r="Q605" s="144">
        <f t="shared" si="1724"/>
        <v>79</v>
      </c>
      <c r="R605" s="144">
        <f t="shared" si="1725"/>
        <v>228</v>
      </c>
      <c r="S605" s="144">
        <f t="shared" si="1726"/>
        <v>228</v>
      </c>
      <c r="T605" s="144">
        <f t="shared" si="1727"/>
        <v>129</v>
      </c>
      <c r="V605" s="150">
        <f>L603+L604+L605</f>
        <v>370</v>
      </c>
      <c r="W605" s="150">
        <f t="shared" ref="W605" si="1795">M603+M604+M605</f>
        <v>3</v>
      </c>
      <c r="X605" s="150"/>
      <c r="Y605" s="150">
        <f t="shared" ref="Y605" si="1796">O603+O604+O605</f>
        <v>0</v>
      </c>
      <c r="Z605" s="150">
        <f t="shared" ref="Z605" si="1797">P603+P604+P605</f>
        <v>237</v>
      </c>
      <c r="AA605" s="150">
        <f t="shared" ref="AA605" si="1798">Q603+Q604+Q605</f>
        <v>237</v>
      </c>
      <c r="AB605" s="150">
        <f t="shared" ref="AB605" si="1799">R603+R604+R605</f>
        <v>684</v>
      </c>
      <c r="AC605" s="150">
        <f t="shared" ref="AC605" si="1800">S603+S604+S605</f>
        <v>684</v>
      </c>
      <c r="AD605" s="150">
        <f t="shared" ref="AD605" si="1801">T603+T604+T605</f>
        <v>584</v>
      </c>
      <c r="AF605" s="158">
        <f t="shared" si="1613"/>
        <v>41000</v>
      </c>
      <c r="AG605" s="149">
        <v>55.384799999999998</v>
      </c>
      <c r="AH605" s="149"/>
      <c r="AI605" s="149"/>
      <c r="AJ605" s="149"/>
      <c r="AK605" s="149"/>
      <c r="AL605" s="149"/>
      <c r="AM605" s="149"/>
      <c r="AN605" s="149"/>
      <c r="AO605" s="149"/>
      <c r="AP605" s="149"/>
      <c r="AQ605" s="149"/>
      <c r="AR605" s="149"/>
      <c r="AS605" s="149"/>
      <c r="AT605" s="149"/>
      <c r="AU605" s="149"/>
      <c r="AV605" s="149"/>
      <c r="AW605" s="149"/>
      <c r="AX605" s="149"/>
      <c r="AY605" s="149"/>
      <c r="AZ605" s="149"/>
      <c r="BA605" s="149"/>
      <c r="BB605" s="149"/>
      <c r="BC605" s="149"/>
      <c r="BD605" s="149"/>
      <c r="BE605" s="149"/>
      <c r="BF605" s="149"/>
      <c r="BG605" s="149"/>
      <c r="BH605" s="149"/>
      <c r="BI605" s="149"/>
      <c r="BJ605" s="149"/>
      <c r="BK605" s="149"/>
      <c r="BL605" s="149"/>
      <c r="BM605" s="149"/>
      <c r="BN605" s="149">
        <v>42.4407</v>
      </c>
      <c r="BO605" s="149"/>
      <c r="BP605" s="149"/>
      <c r="BQ605" s="149">
        <f t="shared" si="1744"/>
        <v>42.4407</v>
      </c>
      <c r="BR605" s="149"/>
      <c r="BS605" s="149"/>
      <c r="BT605" s="149">
        <v>41.023400000000002</v>
      </c>
      <c r="BU605" s="149"/>
      <c r="BV605" s="149"/>
      <c r="BW605" s="149">
        <f>BT605</f>
        <v>41.023400000000002</v>
      </c>
      <c r="BX605" s="149"/>
      <c r="BY605" s="149"/>
      <c r="BZ605" s="149"/>
      <c r="CA605" s="149"/>
      <c r="CB605" s="149">
        <v>21.37</v>
      </c>
      <c r="CC605" s="231">
        <f t="shared" si="1719"/>
        <v>41000</v>
      </c>
    </row>
    <row r="606" spans="1:81" x14ac:dyDescent="0.25">
      <c r="B606" s="155">
        <v>41050</v>
      </c>
      <c r="C606" s="147">
        <f t="shared" si="1699"/>
        <v>58.502000000000002</v>
      </c>
      <c r="D606" s="147">
        <f t="shared" ref="D606:D660" si="1802">AX606+AY606+AZ606+BA606+BB606+BC606+BD606+BE606+BF606+BG606</f>
        <v>0</v>
      </c>
      <c r="E606" s="147">
        <f t="shared" si="1621"/>
        <v>0</v>
      </c>
      <c r="F606" s="147">
        <f t="shared" si="1605"/>
        <v>0</v>
      </c>
      <c r="G606" s="147">
        <f t="shared" si="1622"/>
        <v>42.438000000000002</v>
      </c>
      <c r="H606" s="147">
        <f t="shared" si="1623"/>
        <v>42.438000000000002</v>
      </c>
      <c r="I606" s="147">
        <f t="shared" si="1624"/>
        <v>41.020600000000002</v>
      </c>
      <c r="J606" s="156">
        <f t="shared" si="1625"/>
        <v>41.020600000000002</v>
      </c>
      <c r="K606" s="157">
        <f t="shared" si="1626"/>
        <v>21.07</v>
      </c>
      <c r="L606" s="151">
        <f t="shared" si="1720"/>
        <v>106</v>
      </c>
      <c r="M606" s="147">
        <f t="shared" si="1721"/>
        <v>0</v>
      </c>
      <c r="N606" s="147"/>
      <c r="O606" s="147">
        <f t="shared" si="1722"/>
        <v>0</v>
      </c>
      <c r="P606" s="147">
        <f t="shared" si="1723"/>
        <v>79</v>
      </c>
      <c r="Q606" s="147">
        <f t="shared" si="1724"/>
        <v>79</v>
      </c>
      <c r="R606" s="147">
        <f t="shared" si="1725"/>
        <v>228</v>
      </c>
      <c r="S606" s="147">
        <f t="shared" si="1726"/>
        <v>228</v>
      </c>
      <c r="T606" s="147">
        <f t="shared" si="1727"/>
        <v>118</v>
      </c>
      <c r="V606" s="146"/>
      <c r="W606" s="147"/>
      <c r="X606" s="147"/>
      <c r="Y606" s="147"/>
      <c r="Z606" s="147"/>
      <c r="AA606" s="147"/>
      <c r="AB606" s="147"/>
      <c r="AC606" s="147"/>
      <c r="AD606" s="148"/>
      <c r="AF606" s="155">
        <f t="shared" si="1613"/>
        <v>41050</v>
      </c>
      <c r="AG606" s="78">
        <v>58.502000000000002</v>
      </c>
      <c r="AH606" s="78"/>
      <c r="AI606" s="78"/>
      <c r="AJ606" s="78"/>
      <c r="AK606" s="78"/>
      <c r="AL606" s="78"/>
      <c r="AM606" s="78"/>
      <c r="AN606" s="78"/>
      <c r="AO606" s="78"/>
      <c r="AP606" s="78"/>
      <c r="AQ606" s="78"/>
      <c r="AR606" s="78"/>
      <c r="AS606" s="78"/>
      <c r="AT606" s="78"/>
      <c r="AU606" s="78"/>
      <c r="AV606" s="78"/>
      <c r="AW606" s="78"/>
      <c r="AX606" s="78"/>
      <c r="AY606" s="78"/>
      <c r="AZ606" s="78"/>
      <c r="BA606" s="78"/>
      <c r="BB606" s="78"/>
      <c r="BC606" s="78"/>
      <c r="BD606" s="78"/>
      <c r="BE606" s="78"/>
      <c r="BF606" s="78"/>
      <c r="BG606" s="78"/>
      <c r="BH606" s="78"/>
      <c r="BI606" s="78"/>
      <c r="BJ606" s="78"/>
      <c r="BK606" s="78"/>
      <c r="BL606" s="78"/>
      <c r="BM606" s="78"/>
      <c r="BN606" s="78">
        <v>42.438000000000002</v>
      </c>
      <c r="BO606" s="78"/>
      <c r="BP606" s="78"/>
      <c r="BQ606" s="78">
        <f t="shared" si="1744"/>
        <v>42.438000000000002</v>
      </c>
      <c r="BR606" s="78"/>
      <c r="BS606" s="78"/>
      <c r="BT606" s="78">
        <v>41.020600000000002</v>
      </c>
      <c r="BU606" s="78"/>
      <c r="BV606" s="78"/>
      <c r="BW606" s="49">
        <f t="shared" si="1628"/>
        <v>41.020600000000002</v>
      </c>
      <c r="BX606" s="49"/>
      <c r="BY606" s="49"/>
      <c r="BZ606" s="78"/>
      <c r="CA606" s="78"/>
      <c r="CB606" s="78">
        <v>21.07</v>
      </c>
      <c r="CC606" s="231">
        <f t="shared" si="1719"/>
        <v>41050</v>
      </c>
    </row>
    <row r="607" spans="1:81" x14ac:dyDescent="0.25">
      <c r="B607" s="57">
        <v>41100</v>
      </c>
      <c r="C607" s="58">
        <f t="shared" si="1699"/>
        <v>52.262900000000002</v>
      </c>
      <c r="D607" s="58">
        <f t="shared" si="1802"/>
        <v>0</v>
      </c>
      <c r="E607" s="58">
        <f t="shared" si="1621"/>
        <v>0</v>
      </c>
      <c r="F607" s="58">
        <f t="shared" ref="F607:F660" si="1803">BK607+BL607+BM607</f>
        <v>0</v>
      </c>
      <c r="G607" s="58">
        <f t="shared" si="1622"/>
        <v>42.4345</v>
      </c>
      <c r="H607" s="58">
        <f t="shared" si="1623"/>
        <v>42.4345</v>
      </c>
      <c r="I607" s="58">
        <f t="shared" si="1624"/>
        <v>41.016800000000003</v>
      </c>
      <c r="J607" s="51">
        <f t="shared" si="1625"/>
        <v>41.016800000000003</v>
      </c>
      <c r="K607" s="99">
        <f t="shared" si="1626"/>
        <v>20.149999999999999</v>
      </c>
      <c r="L607" s="105">
        <f t="shared" si="1720"/>
        <v>103</v>
      </c>
      <c r="M607" s="58">
        <f t="shared" si="1721"/>
        <v>0</v>
      </c>
      <c r="N607" s="58"/>
      <c r="O607" s="58">
        <f t="shared" si="1722"/>
        <v>0</v>
      </c>
      <c r="P607" s="58">
        <f t="shared" si="1723"/>
        <v>79</v>
      </c>
      <c r="Q607" s="58">
        <f t="shared" si="1724"/>
        <v>79</v>
      </c>
      <c r="R607" s="58">
        <f t="shared" si="1725"/>
        <v>228</v>
      </c>
      <c r="S607" s="58">
        <f t="shared" si="1726"/>
        <v>228</v>
      </c>
      <c r="T607" s="58">
        <f t="shared" si="1727"/>
        <v>115</v>
      </c>
      <c r="V607" s="137"/>
      <c r="W607" s="58"/>
      <c r="X607" s="58"/>
      <c r="Y607" s="58"/>
      <c r="Z607" s="58"/>
      <c r="AA607" s="58"/>
      <c r="AB607" s="58"/>
      <c r="AC607" s="58"/>
      <c r="AD607" s="138"/>
      <c r="AF607" s="57">
        <f t="shared" si="1613"/>
        <v>41100</v>
      </c>
      <c r="AG607" s="49">
        <v>52.262900000000002</v>
      </c>
      <c r="AH607" s="49"/>
      <c r="AI607" s="49"/>
      <c r="AJ607" s="49"/>
      <c r="AK607" s="49"/>
      <c r="AL607" s="49"/>
      <c r="AM607" s="49"/>
      <c r="AN607" s="49"/>
      <c r="AO607" s="49"/>
      <c r="AP607" s="49"/>
      <c r="AQ607" s="49"/>
      <c r="AR607" s="49"/>
      <c r="AS607" s="49"/>
      <c r="AT607" s="49"/>
      <c r="AU607" s="49"/>
      <c r="AV607" s="49"/>
      <c r="AW607" s="49"/>
      <c r="AX607" s="49"/>
      <c r="AY607" s="49"/>
      <c r="AZ607" s="49"/>
      <c r="BA607" s="49"/>
      <c r="BB607" s="49"/>
      <c r="BC607" s="49"/>
      <c r="BD607" s="49"/>
      <c r="BE607" s="49"/>
      <c r="BF607" s="49"/>
      <c r="BG607" s="49"/>
      <c r="BH607" s="49"/>
      <c r="BI607" s="49"/>
      <c r="BJ607" s="49"/>
      <c r="BK607" s="49"/>
      <c r="BL607" s="49"/>
      <c r="BM607" s="49"/>
      <c r="BN607" s="49">
        <v>42.4345</v>
      </c>
      <c r="BO607" s="49"/>
      <c r="BP607" s="49"/>
      <c r="BQ607" s="49">
        <f t="shared" si="1744"/>
        <v>42.4345</v>
      </c>
      <c r="BR607" s="49"/>
      <c r="BS607" s="49"/>
      <c r="BT607" s="49">
        <v>41.016800000000003</v>
      </c>
      <c r="BU607" s="49"/>
      <c r="BV607" s="49"/>
      <c r="BW607" s="49">
        <f t="shared" si="1628"/>
        <v>41.016800000000003</v>
      </c>
      <c r="BX607" s="49"/>
      <c r="BY607" s="49"/>
      <c r="BZ607" s="49"/>
      <c r="CA607" s="49"/>
      <c r="CB607" s="49">
        <v>20.149999999999999</v>
      </c>
      <c r="CC607" s="231">
        <f t="shared" si="1719"/>
        <v>41100</v>
      </c>
    </row>
    <row r="608" spans="1:81" s="3" customFormat="1" ht="15.75" thickBot="1" x14ac:dyDescent="0.3">
      <c r="B608" s="158">
        <v>41150</v>
      </c>
      <c r="C608" s="144">
        <f t="shared" si="1699"/>
        <v>42.508800000000001</v>
      </c>
      <c r="D608" s="144">
        <f t="shared" si="1802"/>
        <v>0.37409999999999999</v>
      </c>
      <c r="E608" s="144">
        <f t="shared" si="1621"/>
        <v>0</v>
      </c>
      <c r="F608" s="144">
        <f t="shared" si="1803"/>
        <v>0</v>
      </c>
      <c r="G608" s="144">
        <f t="shared" si="1622"/>
        <v>42.405999999999999</v>
      </c>
      <c r="H608" s="144">
        <f t="shared" si="1623"/>
        <v>42.405999999999999</v>
      </c>
      <c r="I608" s="144">
        <f t="shared" si="1624"/>
        <v>41.014400000000002</v>
      </c>
      <c r="J608" s="159">
        <f t="shared" si="1625"/>
        <v>41.014400000000002</v>
      </c>
      <c r="K608" s="160">
        <f t="shared" si="1626"/>
        <v>22.12</v>
      </c>
      <c r="L608" s="152">
        <f t="shared" si="1720"/>
        <v>88</v>
      </c>
      <c r="M608" s="144">
        <f t="shared" si="1721"/>
        <v>1</v>
      </c>
      <c r="N608" s="144"/>
      <c r="O608" s="144">
        <f t="shared" si="1722"/>
        <v>0</v>
      </c>
      <c r="P608" s="144">
        <f t="shared" si="1723"/>
        <v>79</v>
      </c>
      <c r="Q608" s="144">
        <f t="shared" si="1724"/>
        <v>79</v>
      </c>
      <c r="R608" s="144">
        <f t="shared" si="1725"/>
        <v>228</v>
      </c>
      <c r="S608" s="144">
        <f t="shared" si="1726"/>
        <v>228</v>
      </c>
      <c r="T608" s="144">
        <f t="shared" si="1727"/>
        <v>118</v>
      </c>
      <c r="V608" s="150">
        <f>L606+L607+L608</f>
        <v>297</v>
      </c>
      <c r="W608" s="150">
        <f t="shared" ref="W608" si="1804">M606+M607+M608</f>
        <v>1</v>
      </c>
      <c r="X608" s="150"/>
      <c r="Y608" s="150">
        <f t="shared" ref="Y608" si="1805">O606+O607+O608</f>
        <v>0</v>
      </c>
      <c r="Z608" s="150">
        <f t="shared" ref="Z608" si="1806">P606+P607+P608</f>
        <v>237</v>
      </c>
      <c r="AA608" s="150">
        <f t="shared" ref="AA608" si="1807">Q606+Q607+Q608</f>
        <v>237</v>
      </c>
      <c r="AB608" s="150">
        <f t="shared" ref="AB608" si="1808">R606+R607+R608</f>
        <v>684</v>
      </c>
      <c r="AC608" s="150">
        <f t="shared" ref="AC608" si="1809">S606+S607+S608</f>
        <v>684</v>
      </c>
      <c r="AD608" s="150">
        <f t="shared" ref="AD608" si="1810">T606+T607+T608</f>
        <v>351</v>
      </c>
      <c r="AF608" s="158">
        <f t="shared" si="1613"/>
        <v>41150</v>
      </c>
      <c r="AG608" s="149">
        <v>42.4345</v>
      </c>
      <c r="AH608" s="149">
        <v>3.0800000000000001E-2</v>
      </c>
      <c r="AI608" s="149">
        <v>4.3499999999999997E-2</v>
      </c>
      <c r="AJ608" s="149"/>
      <c r="AK608" s="149"/>
      <c r="AL608" s="149"/>
      <c r="AM608" s="149"/>
      <c r="AN608" s="149"/>
      <c r="AO608" s="149"/>
      <c r="AP608" s="149"/>
      <c r="AQ608" s="149"/>
      <c r="AR608" s="149"/>
      <c r="AS608" s="149"/>
      <c r="AT608" s="149"/>
      <c r="AU608" s="149"/>
      <c r="AV608" s="149"/>
      <c r="AW608" s="149"/>
      <c r="AX608" s="149">
        <v>0.24979999999999999</v>
      </c>
      <c r="AY608" s="149">
        <v>1.8800000000000001E-2</v>
      </c>
      <c r="AZ608" s="149">
        <v>0.1055</v>
      </c>
      <c r="BA608" s="149"/>
      <c r="BB608" s="149"/>
      <c r="BC608" s="149"/>
      <c r="BD608" s="149"/>
      <c r="BE608" s="149"/>
      <c r="BF608" s="149"/>
      <c r="BG608" s="149"/>
      <c r="BH608" s="149"/>
      <c r="BI608" s="149"/>
      <c r="BJ608" s="149"/>
      <c r="BK608" s="149"/>
      <c r="BL608" s="149"/>
      <c r="BM608" s="149"/>
      <c r="BN608" s="149">
        <v>42.405999999999999</v>
      </c>
      <c r="BO608" s="149"/>
      <c r="BP608" s="149"/>
      <c r="BQ608" s="149">
        <f t="shared" si="1744"/>
        <v>42.405999999999999</v>
      </c>
      <c r="BR608" s="149"/>
      <c r="BS608" s="149"/>
      <c r="BT608" s="149">
        <v>41.014400000000002</v>
      </c>
      <c r="BU608" s="149"/>
      <c r="BV608" s="149"/>
      <c r="BW608" s="149">
        <f>BT608</f>
        <v>41.014400000000002</v>
      </c>
      <c r="BX608" s="149"/>
      <c r="BY608" s="149"/>
      <c r="BZ608" s="149"/>
      <c r="CA608" s="149"/>
      <c r="CB608" s="149">
        <v>22.12</v>
      </c>
      <c r="CC608" s="231">
        <f t="shared" si="1719"/>
        <v>41150</v>
      </c>
    </row>
    <row r="609" spans="2:81" x14ac:dyDescent="0.25">
      <c r="B609" s="155">
        <v>41200</v>
      </c>
      <c r="C609" s="147">
        <f t="shared" si="1699"/>
        <v>53.904800000000002</v>
      </c>
      <c r="D609" s="147">
        <f t="shared" si="1802"/>
        <v>0</v>
      </c>
      <c r="E609" s="147">
        <f t="shared" si="1621"/>
        <v>0</v>
      </c>
      <c r="F609" s="147">
        <f t="shared" si="1803"/>
        <v>0</v>
      </c>
      <c r="G609" s="147">
        <f t="shared" si="1622"/>
        <v>42.433900000000001</v>
      </c>
      <c r="H609" s="147">
        <f t="shared" si="1623"/>
        <v>42.433900000000001</v>
      </c>
      <c r="I609" s="147">
        <f t="shared" si="1624"/>
        <v>41.015000000000001</v>
      </c>
      <c r="J609" s="156">
        <f t="shared" si="1625"/>
        <v>41.015000000000001</v>
      </c>
      <c r="K609" s="157">
        <f t="shared" si="1626"/>
        <v>25.68</v>
      </c>
      <c r="L609" s="151">
        <f t="shared" si="1720"/>
        <v>90</v>
      </c>
      <c r="M609" s="147">
        <f t="shared" si="1721"/>
        <v>1</v>
      </c>
      <c r="N609" s="147"/>
      <c r="O609" s="147">
        <f t="shared" si="1722"/>
        <v>0</v>
      </c>
      <c r="P609" s="147">
        <f t="shared" si="1723"/>
        <v>79</v>
      </c>
      <c r="Q609" s="147">
        <f t="shared" si="1724"/>
        <v>79</v>
      </c>
      <c r="R609" s="147">
        <f t="shared" si="1725"/>
        <v>228</v>
      </c>
      <c r="S609" s="147">
        <f t="shared" si="1726"/>
        <v>228</v>
      </c>
      <c r="T609" s="147">
        <f t="shared" si="1727"/>
        <v>133</v>
      </c>
      <c r="V609" s="146"/>
      <c r="W609" s="147"/>
      <c r="X609" s="147"/>
      <c r="Y609" s="147"/>
      <c r="Z609" s="147"/>
      <c r="AA609" s="147"/>
      <c r="AB609" s="147"/>
      <c r="AC609" s="147"/>
      <c r="AD609" s="148"/>
      <c r="AF609" s="155">
        <f t="shared" si="1613"/>
        <v>41200</v>
      </c>
      <c r="AG609" s="78">
        <v>53.904800000000002</v>
      </c>
      <c r="AH609" s="78"/>
      <c r="AI609" s="78"/>
      <c r="AJ609" s="78"/>
      <c r="AK609" s="78"/>
      <c r="AL609" s="78"/>
      <c r="AM609" s="78"/>
      <c r="AN609" s="78"/>
      <c r="AO609" s="78"/>
      <c r="AP609" s="78"/>
      <c r="AQ609" s="78"/>
      <c r="AR609" s="78"/>
      <c r="AS609" s="78"/>
      <c r="AT609" s="78"/>
      <c r="AU609" s="78"/>
      <c r="AV609" s="78"/>
      <c r="AW609" s="78"/>
      <c r="AX609" s="78"/>
      <c r="AY609" s="78"/>
      <c r="AZ609" s="78"/>
      <c r="BA609" s="78"/>
      <c r="BB609" s="78"/>
      <c r="BC609" s="78"/>
      <c r="BD609" s="78"/>
      <c r="BE609" s="78"/>
      <c r="BF609" s="78"/>
      <c r="BG609" s="78"/>
      <c r="BH609" s="78"/>
      <c r="BI609" s="78"/>
      <c r="BJ609" s="78"/>
      <c r="BK609" s="78"/>
      <c r="BL609" s="78"/>
      <c r="BM609" s="78"/>
      <c r="BN609" s="78">
        <v>42.433900000000001</v>
      </c>
      <c r="BO609" s="78"/>
      <c r="BP609" s="78"/>
      <c r="BQ609" s="78">
        <f t="shared" si="1744"/>
        <v>42.433900000000001</v>
      </c>
      <c r="BR609" s="78"/>
      <c r="BS609" s="78"/>
      <c r="BT609" s="78">
        <v>41.015000000000001</v>
      </c>
      <c r="BU609" s="78"/>
      <c r="BV609" s="78"/>
      <c r="BW609" s="49">
        <f t="shared" si="1628"/>
        <v>41.015000000000001</v>
      </c>
      <c r="BX609" s="49"/>
      <c r="BY609" s="49"/>
      <c r="BZ609" s="78"/>
      <c r="CA609" s="78"/>
      <c r="CB609" s="78">
        <v>25.68</v>
      </c>
      <c r="CC609" s="231">
        <f t="shared" si="1719"/>
        <v>41200</v>
      </c>
    </row>
    <row r="610" spans="2:81" x14ac:dyDescent="0.25">
      <c r="B610" s="57">
        <v>41250</v>
      </c>
      <c r="C610" s="58">
        <f t="shared" si="1699"/>
        <v>57.936500000000002</v>
      </c>
      <c r="D610" s="58">
        <f t="shared" si="1802"/>
        <v>0</v>
      </c>
      <c r="E610" s="58">
        <f t="shared" si="1621"/>
        <v>0</v>
      </c>
      <c r="F610" s="58">
        <f t="shared" si="1803"/>
        <v>0</v>
      </c>
      <c r="G610" s="58">
        <f t="shared" si="1622"/>
        <v>42.442700000000002</v>
      </c>
      <c r="H610" s="58">
        <f t="shared" si="1623"/>
        <v>42.442700000000002</v>
      </c>
      <c r="I610" s="58">
        <f t="shared" si="1624"/>
        <v>41.0246</v>
      </c>
      <c r="J610" s="51">
        <f t="shared" si="1625"/>
        <v>41.0246</v>
      </c>
      <c r="K610" s="99">
        <f t="shared" si="1626"/>
        <v>27.46</v>
      </c>
      <c r="L610" s="105">
        <f t="shared" si="1720"/>
        <v>104</v>
      </c>
      <c r="M610" s="58">
        <f t="shared" si="1721"/>
        <v>0</v>
      </c>
      <c r="N610" s="58"/>
      <c r="O610" s="58">
        <f t="shared" si="1722"/>
        <v>0</v>
      </c>
      <c r="P610" s="58">
        <f t="shared" si="1723"/>
        <v>79</v>
      </c>
      <c r="Q610" s="58">
        <f t="shared" si="1724"/>
        <v>79</v>
      </c>
      <c r="R610" s="58">
        <f t="shared" si="1725"/>
        <v>228</v>
      </c>
      <c r="S610" s="58">
        <f t="shared" si="1726"/>
        <v>228</v>
      </c>
      <c r="T610" s="58">
        <f t="shared" si="1727"/>
        <v>148</v>
      </c>
      <c r="V610" s="137"/>
      <c r="W610" s="58"/>
      <c r="X610" s="58"/>
      <c r="Y610" s="58"/>
      <c r="Z610" s="58"/>
      <c r="AA610" s="58"/>
      <c r="AB610" s="58"/>
      <c r="AC610" s="58"/>
      <c r="AD610" s="138"/>
      <c r="AF610" s="57">
        <f t="shared" si="1613"/>
        <v>41250</v>
      </c>
      <c r="AG610" s="49">
        <v>57.936500000000002</v>
      </c>
      <c r="AH610" s="49"/>
      <c r="AI610" s="49"/>
      <c r="AJ610" s="49"/>
      <c r="AK610" s="49"/>
      <c r="AL610" s="49"/>
      <c r="AM610" s="49"/>
      <c r="AN610" s="49"/>
      <c r="AO610" s="49"/>
      <c r="AP610" s="49"/>
      <c r="AQ610" s="49"/>
      <c r="AR610" s="49"/>
      <c r="AS610" s="49"/>
      <c r="AT610" s="49"/>
      <c r="AU610" s="49"/>
      <c r="AV610" s="49"/>
      <c r="AW610" s="49"/>
      <c r="AX610" s="49"/>
      <c r="AY610" s="49"/>
      <c r="AZ610" s="49"/>
      <c r="BA610" s="49"/>
      <c r="BB610" s="49"/>
      <c r="BC610" s="49"/>
      <c r="BD610" s="49"/>
      <c r="BE610" s="49"/>
      <c r="BF610" s="49"/>
      <c r="BG610" s="49"/>
      <c r="BH610" s="49"/>
      <c r="BI610" s="49"/>
      <c r="BJ610" s="49"/>
      <c r="BK610" s="49"/>
      <c r="BL610" s="49"/>
      <c r="BM610" s="49"/>
      <c r="BN610" s="49">
        <v>42.442700000000002</v>
      </c>
      <c r="BO610" s="49"/>
      <c r="BP610" s="49"/>
      <c r="BQ610" s="49">
        <f t="shared" si="1744"/>
        <v>42.442700000000002</v>
      </c>
      <c r="BR610" s="49"/>
      <c r="BS610" s="49"/>
      <c r="BT610" s="49">
        <v>41.0246</v>
      </c>
      <c r="BU610" s="49"/>
      <c r="BV610" s="49"/>
      <c r="BW610" s="49">
        <f t="shared" si="1628"/>
        <v>41.0246</v>
      </c>
      <c r="BX610" s="49"/>
      <c r="BY610" s="49"/>
      <c r="BZ610" s="49"/>
      <c r="CA610" s="49"/>
      <c r="CB610" s="49">
        <v>27.46</v>
      </c>
      <c r="CC610" s="231">
        <f t="shared" si="1719"/>
        <v>41250</v>
      </c>
    </row>
    <row r="611" spans="2:81" s="3" customFormat="1" ht="15.75" thickBot="1" x14ac:dyDescent="0.3">
      <c r="B611" s="158">
        <v>41300</v>
      </c>
      <c r="C611" s="144">
        <f t="shared" si="1699"/>
        <v>52.224899999999998</v>
      </c>
      <c r="D611" s="144">
        <f t="shared" si="1802"/>
        <v>0.35399999999999998</v>
      </c>
      <c r="E611" s="144">
        <f t="shared" ref="E611:E660" si="1811">BH611+BJ611+BI611</f>
        <v>0</v>
      </c>
      <c r="F611" s="144">
        <f t="shared" si="1803"/>
        <v>0</v>
      </c>
      <c r="G611" s="144">
        <f t="shared" ref="G611:G660" si="1812">BN611+BO611+BP611</f>
        <v>42.372700000000002</v>
      </c>
      <c r="H611" s="144">
        <f t="shared" ref="H611:H660" si="1813">BQ611+BR611+BS611</f>
        <v>42.372700000000002</v>
      </c>
      <c r="I611" s="144">
        <f t="shared" ref="I611:I660" si="1814">BT611+BU611+BV611</f>
        <v>41.0458</v>
      </c>
      <c r="J611" s="159">
        <f t="shared" ref="J611:J660" si="1815">BW611+BX611+BY611</f>
        <v>41.0458</v>
      </c>
      <c r="K611" s="160">
        <f t="shared" ref="K611:K660" si="1816">BZ611+CA611+CB611</f>
        <v>25.34</v>
      </c>
      <c r="L611" s="152">
        <f t="shared" si="1720"/>
        <v>103</v>
      </c>
      <c r="M611" s="144">
        <f t="shared" si="1721"/>
        <v>1</v>
      </c>
      <c r="N611" s="144"/>
      <c r="O611" s="144">
        <f t="shared" si="1722"/>
        <v>0</v>
      </c>
      <c r="P611" s="144">
        <f t="shared" si="1723"/>
        <v>79</v>
      </c>
      <c r="Q611" s="144">
        <f t="shared" si="1724"/>
        <v>79</v>
      </c>
      <c r="R611" s="144">
        <f t="shared" si="1725"/>
        <v>228</v>
      </c>
      <c r="S611" s="144">
        <f t="shared" si="1726"/>
        <v>228</v>
      </c>
      <c r="T611" s="144">
        <f t="shared" si="1727"/>
        <v>147</v>
      </c>
      <c r="V611" s="150">
        <f>L609+L610+L611</f>
        <v>297</v>
      </c>
      <c r="W611" s="150">
        <f t="shared" ref="W611" si="1817">M609+M610+M611</f>
        <v>2</v>
      </c>
      <c r="X611" s="150"/>
      <c r="Y611" s="150">
        <f t="shared" ref="Y611" si="1818">O609+O610+O611</f>
        <v>0</v>
      </c>
      <c r="Z611" s="150">
        <f t="shared" ref="Z611" si="1819">P609+P610+P611</f>
        <v>237</v>
      </c>
      <c r="AA611" s="150">
        <f t="shared" ref="AA611" si="1820">Q609+Q610+Q611</f>
        <v>237</v>
      </c>
      <c r="AB611" s="150">
        <f t="shared" ref="AB611" si="1821">R609+R610+R611</f>
        <v>684</v>
      </c>
      <c r="AC611" s="150">
        <f t="shared" ref="AC611" si="1822">S609+S610+S611</f>
        <v>684</v>
      </c>
      <c r="AD611" s="150">
        <f t="shared" ref="AD611" si="1823">T609+T610+T611</f>
        <v>428</v>
      </c>
      <c r="AF611" s="158">
        <f t="shared" si="1613"/>
        <v>41300</v>
      </c>
      <c r="AG611" s="149">
        <v>52.224899999999998</v>
      </c>
      <c r="AH611" s="149"/>
      <c r="AI611" s="149"/>
      <c r="AJ611" s="149"/>
      <c r="AK611" s="149"/>
      <c r="AL611" s="149"/>
      <c r="AM611" s="149"/>
      <c r="AN611" s="149"/>
      <c r="AO611" s="149"/>
      <c r="AP611" s="149"/>
      <c r="AQ611" s="149"/>
      <c r="AR611" s="149"/>
      <c r="AS611" s="149"/>
      <c r="AT611" s="149"/>
      <c r="AU611" s="149"/>
      <c r="AV611" s="149"/>
      <c r="AW611" s="149"/>
      <c r="AX611" s="149">
        <v>0.35399999999999998</v>
      </c>
      <c r="AY611" s="149"/>
      <c r="AZ611" s="149"/>
      <c r="BA611" s="149"/>
      <c r="BB611" s="149"/>
      <c r="BC611" s="149"/>
      <c r="BD611" s="149"/>
      <c r="BE611" s="149"/>
      <c r="BF611" s="149"/>
      <c r="BG611" s="149"/>
      <c r="BH611" s="149"/>
      <c r="BI611" s="149"/>
      <c r="BJ611" s="149"/>
      <c r="BK611" s="149"/>
      <c r="BL611" s="149"/>
      <c r="BM611" s="149"/>
      <c r="BN611" s="149">
        <v>42.372700000000002</v>
      </c>
      <c r="BO611" s="149"/>
      <c r="BP611" s="149"/>
      <c r="BQ611" s="149">
        <f t="shared" si="1744"/>
        <v>42.372700000000002</v>
      </c>
      <c r="BR611" s="149"/>
      <c r="BS611" s="149"/>
      <c r="BT611" s="149">
        <v>41.0458</v>
      </c>
      <c r="BU611" s="149"/>
      <c r="BV611" s="149"/>
      <c r="BW611" s="149">
        <f>BT611</f>
        <v>41.0458</v>
      </c>
      <c r="BX611" s="149"/>
      <c r="BY611" s="149"/>
      <c r="BZ611" s="149"/>
      <c r="CA611" s="149"/>
      <c r="CB611" s="149">
        <v>25.34</v>
      </c>
      <c r="CC611" s="231">
        <f t="shared" si="1719"/>
        <v>41300</v>
      </c>
    </row>
    <row r="612" spans="2:81" x14ac:dyDescent="0.25">
      <c r="B612" s="155">
        <v>41350</v>
      </c>
      <c r="C612" s="147">
        <f t="shared" si="1699"/>
        <v>59.383499999999998</v>
      </c>
      <c r="D612" s="147">
        <f t="shared" si="1802"/>
        <v>0.40200000000000002</v>
      </c>
      <c r="E612" s="147">
        <f t="shared" si="1811"/>
        <v>0</v>
      </c>
      <c r="F612" s="147">
        <f t="shared" si="1803"/>
        <v>0</v>
      </c>
      <c r="G612" s="147">
        <f t="shared" si="1812"/>
        <v>42.373100000000001</v>
      </c>
      <c r="H612" s="147">
        <f t="shared" si="1813"/>
        <v>42.373100000000001</v>
      </c>
      <c r="I612" s="147">
        <f t="shared" si="1814"/>
        <v>41.058399999999999</v>
      </c>
      <c r="J612" s="156">
        <f t="shared" si="1815"/>
        <v>41.058399999999999</v>
      </c>
      <c r="K612" s="157">
        <f t="shared" si="1816"/>
        <v>24.23</v>
      </c>
      <c r="L612" s="151">
        <f t="shared" si="1720"/>
        <v>104</v>
      </c>
      <c r="M612" s="147">
        <f t="shared" si="1721"/>
        <v>1</v>
      </c>
      <c r="N612" s="147"/>
      <c r="O612" s="147">
        <f t="shared" si="1722"/>
        <v>0</v>
      </c>
      <c r="P612" s="147">
        <f t="shared" si="1723"/>
        <v>79</v>
      </c>
      <c r="Q612" s="147">
        <f t="shared" si="1724"/>
        <v>79</v>
      </c>
      <c r="R612" s="147">
        <f t="shared" si="1725"/>
        <v>229</v>
      </c>
      <c r="S612" s="147">
        <f t="shared" si="1726"/>
        <v>229</v>
      </c>
      <c r="T612" s="147">
        <f t="shared" si="1727"/>
        <v>138</v>
      </c>
      <c r="V612" s="146"/>
      <c r="W612" s="147"/>
      <c r="X612" s="147"/>
      <c r="Y612" s="147"/>
      <c r="Z612" s="147"/>
      <c r="AA612" s="147"/>
      <c r="AB612" s="147"/>
      <c r="AC612" s="147"/>
      <c r="AD612" s="148"/>
      <c r="AF612" s="155">
        <f t="shared" si="1613"/>
        <v>41350</v>
      </c>
      <c r="AG612" s="78">
        <v>59.383499999999998</v>
      </c>
      <c r="AH612" s="78"/>
      <c r="AI612" s="78"/>
      <c r="AJ612" s="78"/>
      <c r="AK612" s="78"/>
      <c r="AL612" s="78"/>
      <c r="AM612" s="78"/>
      <c r="AN612" s="78"/>
      <c r="AO612" s="78"/>
      <c r="AP612" s="78"/>
      <c r="AQ612" s="78"/>
      <c r="AR612" s="78"/>
      <c r="AS612" s="78"/>
      <c r="AT612" s="78"/>
      <c r="AU612" s="78"/>
      <c r="AV612" s="78"/>
      <c r="AW612" s="78"/>
      <c r="AX612" s="78">
        <v>0.40200000000000002</v>
      </c>
      <c r="AY612" s="78"/>
      <c r="AZ612" s="78"/>
      <c r="BA612" s="78"/>
      <c r="BB612" s="78"/>
      <c r="BC612" s="78"/>
      <c r="BD612" s="78"/>
      <c r="BE612" s="78"/>
      <c r="BF612" s="78"/>
      <c r="BG612" s="78"/>
      <c r="BH612" s="78"/>
      <c r="BI612" s="78"/>
      <c r="BJ612" s="78"/>
      <c r="BK612" s="78"/>
      <c r="BL612" s="78"/>
      <c r="BM612" s="78"/>
      <c r="BN612" s="78">
        <v>42.373100000000001</v>
      </c>
      <c r="BO612" s="78"/>
      <c r="BP612" s="78"/>
      <c r="BQ612" s="78">
        <f t="shared" si="1744"/>
        <v>42.373100000000001</v>
      </c>
      <c r="BR612" s="78"/>
      <c r="BS612" s="78"/>
      <c r="BT612" s="78">
        <v>41.058399999999999</v>
      </c>
      <c r="BU612" s="78"/>
      <c r="BV612" s="78"/>
      <c r="BW612" s="49">
        <f t="shared" ref="BW612:BW660" si="1824">BT612</f>
        <v>41.058399999999999</v>
      </c>
      <c r="BX612" s="49"/>
      <c r="BY612" s="49"/>
      <c r="BZ612" s="78"/>
      <c r="CA612" s="78"/>
      <c r="CB612" s="78">
        <v>24.23</v>
      </c>
      <c r="CC612" s="231">
        <f t="shared" ref="CC612:CC643" si="1825">B612</f>
        <v>41350</v>
      </c>
    </row>
    <row r="613" spans="2:81" x14ac:dyDescent="0.25">
      <c r="B613" s="57">
        <v>41400</v>
      </c>
      <c r="C613" s="58">
        <f t="shared" si="1699"/>
        <v>67.218600000000009</v>
      </c>
      <c r="D613" s="58">
        <f t="shared" si="1802"/>
        <v>0.12520000000000001</v>
      </c>
      <c r="E613" s="58">
        <f t="shared" si="1811"/>
        <v>0</v>
      </c>
      <c r="F613" s="58">
        <f t="shared" si="1803"/>
        <v>0</v>
      </c>
      <c r="G613" s="58">
        <f t="shared" si="1812"/>
        <v>42.414999999999999</v>
      </c>
      <c r="H613" s="58">
        <f t="shared" si="1813"/>
        <v>42.414999999999999</v>
      </c>
      <c r="I613" s="58">
        <f t="shared" si="1814"/>
        <v>41.067399999999999</v>
      </c>
      <c r="J613" s="51">
        <f t="shared" si="1815"/>
        <v>41.067399999999999</v>
      </c>
      <c r="K613" s="99">
        <f t="shared" si="1816"/>
        <v>26.42</v>
      </c>
      <c r="L613" s="105">
        <f t="shared" si="1720"/>
        <v>118</v>
      </c>
      <c r="M613" s="58">
        <f t="shared" si="1721"/>
        <v>1</v>
      </c>
      <c r="N613" s="58"/>
      <c r="O613" s="58">
        <f t="shared" si="1722"/>
        <v>0</v>
      </c>
      <c r="P613" s="58">
        <f t="shared" si="1723"/>
        <v>79</v>
      </c>
      <c r="Q613" s="58">
        <f t="shared" si="1724"/>
        <v>79</v>
      </c>
      <c r="R613" s="58">
        <f t="shared" si="1725"/>
        <v>229</v>
      </c>
      <c r="S613" s="58">
        <f t="shared" si="1726"/>
        <v>229</v>
      </c>
      <c r="T613" s="58">
        <f t="shared" si="1727"/>
        <v>141</v>
      </c>
      <c r="V613" s="137"/>
      <c r="W613" s="58"/>
      <c r="X613" s="58"/>
      <c r="Y613" s="58"/>
      <c r="Z613" s="58"/>
      <c r="AA613" s="58"/>
      <c r="AB613" s="58"/>
      <c r="AC613" s="58"/>
      <c r="AD613" s="138"/>
      <c r="AF613" s="57">
        <f t="shared" ref="AF613:AF660" si="1826">B613</f>
        <v>41400</v>
      </c>
      <c r="AG613" s="49">
        <v>67.028000000000006</v>
      </c>
      <c r="AH613" s="49">
        <v>0.19059999999999999</v>
      </c>
      <c r="AI613" s="49"/>
      <c r="AJ613" s="49"/>
      <c r="AK613" s="49"/>
      <c r="AL613" s="49"/>
      <c r="AM613" s="49"/>
      <c r="AN613" s="49"/>
      <c r="AO613" s="49"/>
      <c r="AP613" s="49"/>
      <c r="AQ613" s="49"/>
      <c r="AR613" s="49"/>
      <c r="AS613" s="49"/>
      <c r="AT613" s="49"/>
      <c r="AU613" s="49"/>
      <c r="AV613" s="49"/>
      <c r="AW613" s="49"/>
      <c r="AX613" s="49">
        <v>0.12520000000000001</v>
      </c>
      <c r="AY613" s="49"/>
      <c r="AZ613" s="49"/>
      <c r="BA613" s="49"/>
      <c r="BB613" s="49"/>
      <c r="BC613" s="49"/>
      <c r="BD613" s="49"/>
      <c r="BE613" s="49"/>
      <c r="BF613" s="49"/>
      <c r="BG613" s="49"/>
      <c r="BH613" s="49"/>
      <c r="BI613" s="49"/>
      <c r="BJ613" s="49"/>
      <c r="BK613" s="49"/>
      <c r="BL613" s="49"/>
      <c r="BM613" s="49"/>
      <c r="BN613" s="49">
        <v>42.414999999999999</v>
      </c>
      <c r="BO613" s="49"/>
      <c r="BP613" s="49"/>
      <c r="BQ613" s="49">
        <f t="shared" si="1744"/>
        <v>42.414999999999999</v>
      </c>
      <c r="BR613" s="49"/>
      <c r="BS613" s="49"/>
      <c r="BT613" s="49">
        <v>41.067399999999999</v>
      </c>
      <c r="BU613" s="49"/>
      <c r="BV613" s="49"/>
      <c r="BW613" s="49">
        <f t="shared" si="1824"/>
        <v>41.067399999999999</v>
      </c>
      <c r="BX613" s="49"/>
      <c r="BY613" s="49"/>
      <c r="BZ613" s="49"/>
      <c r="CA613" s="49"/>
      <c r="CB613" s="49">
        <v>26.42</v>
      </c>
      <c r="CC613" s="231">
        <f t="shared" si="1825"/>
        <v>41400</v>
      </c>
    </row>
    <row r="614" spans="2:81" s="3" customFormat="1" ht="15.75" thickBot="1" x14ac:dyDescent="0.3">
      <c r="B614" s="158">
        <v>41450</v>
      </c>
      <c r="C614" s="144">
        <f t="shared" si="1699"/>
        <v>72.067999999999998</v>
      </c>
      <c r="D614" s="144">
        <f t="shared" si="1802"/>
        <v>0</v>
      </c>
      <c r="E614" s="144">
        <f t="shared" si="1811"/>
        <v>0</v>
      </c>
      <c r="F614" s="144">
        <f t="shared" si="1803"/>
        <v>0</v>
      </c>
      <c r="G614" s="144">
        <f t="shared" si="1812"/>
        <v>42.4741</v>
      </c>
      <c r="H614" s="144">
        <f t="shared" si="1813"/>
        <v>42.4741</v>
      </c>
      <c r="I614" s="144">
        <f t="shared" si="1814"/>
        <v>41.069200000000002</v>
      </c>
      <c r="J614" s="159">
        <f t="shared" si="1815"/>
        <v>41.069200000000002</v>
      </c>
      <c r="K614" s="160">
        <f t="shared" si="1816"/>
        <v>27.7</v>
      </c>
      <c r="L614" s="152">
        <f t="shared" si="1720"/>
        <v>129</v>
      </c>
      <c r="M614" s="144">
        <f t="shared" si="1721"/>
        <v>1</v>
      </c>
      <c r="N614" s="144"/>
      <c r="O614" s="144">
        <f t="shared" si="1722"/>
        <v>0</v>
      </c>
      <c r="P614" s="144">
        <f t="shared" si="1723"/>
        <v>79</v>
      </c>
      <c r="Q614" s="144">
        <f t="shared" si="1724"/>
        <v>79</v>
      </c>
      <c r="R614" s="144">
        <f t="shared" si="1725"/>
        <v>229</v>
      </c>
      <c r="S614" s="144">
        <f t="shared" si="1726"/>
        <v>229</v>
      </c>
      <c r="T614" s="144">
        <f t="shared" si="1727"/>
        <v>151</v>
      </c>
      <c r="V614" s="150">
        <f>L612+L613+L614</f>
        <v>351</v>
      </c>
      <c r="W614" s="150">
        <f t="shared" ref="W614" si="1827">M612+M613+M614</f>
        <v>3</v>
      </c>
      <c r="X614" s="150"/>
      <c r="Y614" s="150">
        <f t="shared" ref="Y614" si="1828">O612+O613+O614</f>
        <v>0</v>
      </c>
      <c r="Z614" s="150">
        <f t="shared" ref="Z614" si="1829">P612+P613+P614</f>
        <v>237</v>
      </c>
      <c r="AA614" s="150">
        <f t="shared" ref="AA614" si="1830">Q612+Q613+Q614</f>
        <v>237</v>
      </c>
      <c r="AB614" s="150">
        <f t="shared" ref="AB614" si="1831">R612+R613+R614</f>
        <v>687</v>
      </c>
      <c r="AC614" s="150">
        <f t="shared" ref="AC614" si="1832">S612+S613+S614</f>
        <v>687</v>
      </c>
      <c r="AD614" s="150">
        <f t="shared" ref="AD614" si="1833">T612+T613+T614</f>
        <v>430</v>
      </c>
      <c r="AF614" s="158">
        <f t="shared" si="1826"/>
        <v>41450</v>
      </c>
      <c r="AG614" s="149">
        <v>72.067999999999998</v>
      </c>
      <c r="AH614" s="149"/>
      <c r="AI614" s="149"/>
      <c r="AJ614" s="149"/>
      <c r="AK614" s="149"/>
      <c r="AL614" s="149"/>
      <c r="AM614" s="149"/>
      <c r="AN614" s="149"/>
      <c r="AO614" s="149"/>
      <c r="AP614" s="149"/>
      <c r="AQ614" s="149"/>
      <c r="AR614" s="149"/>
      <c r="AS614" s="149"/>
      <c r="AT614" s="149"/>
      <c r="AU614" s="149"/>
      <c r="AV614" s="149"/>
      <c r="AW614" s="149"/>
      <c r="AX614" s="149"/>
      <c r="AY614" s="149"/>
      <c r="AZ614" s="149"/>
      <c r="BA614" s="149"/>
      <c r="BB614" s="149"/>
      <c r="BC614" s="149"/>
      <c r="BD614" s="149"/>
      <c r="BE614" s="149"/>
      <c r="BF614" s="149"/>
      <c r="BG614" s="149"/>
      <c r="BH614" s="149"/>
      <c r="BI614" s="149"/>
      <c r="BJ614" s="149"/>
      <c r="BK614" s="149"/>
      <c r="BL614" s="149"/>
      <c r="BM614" s="149"/>
      <c r="BN614" s="149">
        <v>42.4741</v>
      </c>
      <c r="BO614" s="149"/>
      <c r="BP614" s="149"/>
      <c r="BQ614" s="149">
        <f t="shared" si="1744"/>
        <v>42.4741</v>
      </c>
      <c r="BR614" s="149"/>
      <c r="BS614" s="149"/>
      <c r="BT614" s="149">
        <v>41.069200000000002</v>
      </c>
      <c r="BU614" s="149"/>
      <c r="BV614" s="149"/>
      <c r="BW614" s="149">
        <f>BT614</f>
        <v>41.069200000000002</v>
      </c>
      <c r="BX614" s="149"/>
      <c r="BY614" s="149"/>
      <c r="BZ614" s="149"/>
      <c r="CA614" s="149"/>
      <c r="CB614" s="149">
        <v>27.7</v>
      </c>
      <c r="CC614" s="231">
        <f t="shared" si="1825"/>
        <v>41450</v>
      </c>
    </row>
    <row r="615" spans="2:81" x14ac:dyDescent="0.25">
      <c r="B615" s="155">
        <v>41500</v>
      </c>
      <c r="C615" s="147">
        <f t="shared" si="1699"/>
        <v>77.085899999999995</v>
      </c>
      <c r="D615" s="147">
        <f t="shared" si="1802"/>
        <v>0</v>
      </c>
      <c r="E615" s="147">
        <f t="shared" si="1811"/>
        <v>0</v>
      </c>
      <c r="F615" s="147">
        <f t="shared" si="1803"/>
        <v>0</v>
      </c>
      <c r="G615" s="147">
        <f t="shared" si="1812"/>
        <v>42.476399999999998</v>
      </c>
      <c r="H615" s="147">
        <f t="shared" si="1813"/>
        <v>42.476399999999998</v>
      </c>
      <c r="I615" s="147">
        <f t="shared" si="1814"/>
        <v>41.071599999999997</v>
      </c>
      <c r="J615" s="156">
        <f t="shared" si="1815"/>
        <v>41.071599999999997</v>
      </c>
      <c r="K615" s="157">
        <f t="shared" si="1816"/>
        <v>27.53</v>
      </c>
      <c r="L615" s="151">
        <f t="shared" si="1720"/>
        <v>139</v>
      </c>
      <c r="M615" s="147">
        <f t="shared" si="1721"/>
        <v>0</v>
      </c>
      <c r="N615" s="147"/>
      <c r="O615" s="147">
        <f t="shared" si="1722"/>
        <v>0</v>
      </c>
      <c r="P615" s="147">
        <f t="shared" si="1723"/>
        <v>79</v>
      </c>
      <c r="Q615" s="147">
        <f t="shared" si="1724"/>
        <v>79</v>
      </c>
      <c r="R615" s="147">
        <f t="shared" si="1725"/>
        <v>229</v>
      </c>
      <c r="S615" s="147">
        <f t="shared" si="1726"/>
        <v>229</v>
      </c>
      <c r="T615" s="147">
        <f t="shared" si="1727"/>
        <v>154</v>
      </c>
      <c r="V615" s="146"/>
      <c r="W615" s="147"/>
      <c r="X615" s="147"/>
      <c r="Y615" s="147"/>
      <c r="Z615" s="147"/>
      <c r="AA615" s="147"/>
      <c r="AB615" s="147"/>
      <c r="AC615" s="147"/>
      <c r="AD615" s="148"/>
      <c r="AF615" s="155">
        <f t="shared" si="1826"/>
        <v>41500</v>
      </c>
      <c r="AG615" s="78">
        <v>77.085899999999995</v>
      </c>
      <c r="AH615" s="78"/>
      <c r="AI615" s="78"/>
      <c r="AJ615" s="78"/>
      <c r="AK615" s="78"/>
      <c r="AL615" s="78"/>
      <c r="AM615" s="78"/>
      <c r="AN615" s="78"/>
      <c r="AO615" s="78"/>
      <c r="AP615" s="78"/>
      <c r="AQ615" s="78"/>
      <c r="AR615" s="78"/>
      <c r="AS615" s="78"/>
      <c r="AT615" s="78"/>
      <c r="AU615" s="78"/>
      <c r="AV615" s="78"/>
      <c r="AW615" s="78"/>
      <c r="AX615" s="78"/>
      <c r="AY615" s="78"/>
      <c r="AZ615" s="78"/>
      <c r="BA615" s="78"/>
      <c r="BB615" s="78"/>
      <c r="BC615" s="78"/>
      <c r="BD615" s="78"/>
      <c r="BE615" s="78"/>
      <c r="BF615" s="78"/>
      <c r="BG615" s="78"/>
      <c r="BH615" s="78"/>
      <c r="BI615" s="78"/>
      <c r="BJ615" s="78"/>
      <c r="BK615" s="78"/>
      <c r="BL615" s="78"/>
      <c r="BM615" s="78"/>
      <c r="BN615" s="78">
        <v>42.476399999999998</v>
      </c>
      <c r="BO615" s="78"/>
      <c r="BP615" s="78"/>
      <c r="BQ615" s="78">
        <f t="shared" si="1744"/>
        <v>42.476399999999998</v>
      </c>
      <c r="BR615" s="78"/>
      <c r="BS615" s="78"/>
      <c r="BT615" s="78">
        <v>41.071599999999997</v>
      </c>
      <c r="BU615" s="78"/>
      <c r="BV615" s="78"/>
      <c r="BW615" s="49">
        <f t="shared" si="1824"/>
        <v>41.071599999999997</v>
      </c>
      <c r="BX615" s="49"/>
      <c r="BY615" s="49"/>
      <c r="BZ615" s="78"/>
      <c r="CA615" s="78"/>
      <c r="CB615" s="78">
        <v>27.53</v>
      </c>
      <c r="CC615" s="231">
        <f t="shared" si="1825"/>
        <v>41500</v>
      </c>
    </row>
    <row r="616" spans="2:81" x14ac:dyDescent="0.25">
      <c r="B616" s="57">
        <v>41550</v>
      </c>
      <c r="C616" s="58">
        <f t="shared" si="1699"/>
        <v>69.818899999999999</v>
      </c>
      <c r="D616" s="58">
        <f t="shared" si="1802"/>
        <v>0</v>
      </c>
      <c r="E616" s="58">
        <f t="shared" si="1811"/>
        <v>0</v>
      </c>
      <c r="F616" s="58">
        <f t="shared" si="1803"/>
        <v>0</v>
      </c>
      <c r="G616" s="58">
        <f t="shared" si="1812"/>
        <v>46.512599999999999</v>
      </c>
      <c r="H616" s="58">
        <f t="shared" si="1813"/>
        <v>46.512599999999999</v>
      </c>
      <c r="I616" s="58">
        <f t="shared" si="1814"/>
        <v>42.909599999999998</v>
      </c>
      <c r="J616" s="51">
        <f t="shared" si="1815"/>
        <v>42.909599999999998</v>
      </c>
      <c r="K616" s="99">
        <f t="shared" si="1816"/>
        <v>25.81</v>
      </c>
      <c r="L616" s="105">
        <f t="shared" si="1720"/>
        <v>137</v>
      </c>
      <c r="M616" s="58">
        <f t="shared" si="1721"/>
        <v>0</v>
      </c>
      <c r="N616" s="58"/>
      <c r="O616" s="58">
        <f t="shared" si="1722"/>
        <v>0</v>
      </c>
      <c r="P616" s="58">
        <f t="shared" si="1723"/>
        <v>83</v>
      </c>
      <c r="Q616" s="58">
        <f t="shared" si="1724"/>
        <v>83</v>
      </c>
      <c r="R616" s="58">
        <f t="shared" si="1725"/>
        <v>234</v>
      </c>
      <c r="S616" s="58">
        <f t="shared" si="1726"/>
        <v>234</v>
      </c>
      <c r="T616" s="58">
        <f t="shared" si="1727"/>
        <v>149</v>
      </c>
      <c r="V616" s="137"/>
      <c r="W616" s="58"/>
      <c r="X616" s="58"/>
      <c r="Y616" s="58"/>
      <c r="Z616" s="58"/>
      <c r="AA616" s="58"/>
      <c r="AB616" s="58"/>
      <c r="AC616" s="58"/>
      <c r="AD616" s="138"/>
      <c r="AF616" s="57">
        <f t="shared" si="1826"/>
        <v>41550</v>
      </c>
      <c r="AG616" s="49">
        <v>69.818899999999999</v>
      </c>
      <c r="AH616" s="49"/>
      <c r="AI616" s="49"/>
      <c r="AJ616" s="49"/>
      <c r="AK616" s="49"/>
      <c r="AL616" s="49"/>
      <c r="AM616" s="49"/>
      <c r="AN616" s="49"/>
      <c r="AO616" s="49"/>
      <c r="AP616" s="49"/>
      <c r="AQ616" s="49"/>
      <c r="AR616" s="49"/>
      <c r="AS616" s="49"/>
      <c r="AT616" s="49"/>
      <c r="AU616" s="49"/>
      <c r="AV616" s="49"/>
      <c r="AW616" s="49"/>
      <c r="AX616" s="49"/>
      <c r="AY616" s="49"/>
      <c r="AZ616" s="49"/>
      <c r="BA616" s="49"/>
      <c r="BB616" s="49"/>
      <c r="BC616" s="49"/>
      <c r="BD616" s="49"/>
      <c r="BE616" s="49"/>
      <c r="BF616" s="49"/>
      <c r="BG616" s="49"/>
      <c r="BH616" s="49"/>
      <c r="BI616" s="49"/>
      <c r="BJ616" s="49"/>
      <c r="BK616" s="49"/>
      <c r="BL616" s="49"/>
      <c r="BM616" s="49"/>
      <c r="BN616" s="49">
        <v>46.512599999999999</v>
      </c>
      <c r="BO616" s="49"/>
      <c r="BP616" s="49"/>
      <c r="BQ616" s="49">
        <f t="shared" si="1744"/>
        <v>46.512599999999999</v>
      </c>
      <c r="BR616" s="49"/>
      <c r="BS616" s="49"/>
      <c r="BT616" s="49">
        <v>42.909599999999998</v>
      </c>
      <c r="BU616" s="49"/>
      <c r="BV616" s="49"/>
      <c r="BW616" s="49">
        <f t="shared" si="1824"/>
        <v>42.909599999999998</v>
      </c>
      <c r="BX616" s="49"/>
      <c r="BY616" s="49"/>
      <c r="BZ616" s="49"/>
      <c r="CA616" s="49"/>
      <c r="CB616" s="49">
        <v>25.81</v>
      </c>
      <c r="CC616" s="231">
        <f t="shared" si="1825"/>
        <v>41550</v>
      </c>
    </row>
    <row r="617" spans="2:81" s="3" customFormat="1" ht="15.75" thickBot="1" x14ac:dyDescent="0.3">
      <c r="B617" s="158">
        <v>41600</v>
      </c>
      <c r="C617" s="144">
        <f t="shared" si="1699"/>
        <v>59.904800000000002</v>
      </c>
      <c r="D617" s="144">
        <f t="shared" si="1802"/>
        <v>0.5988</v>
      </c>
      <c r="E617" s="144">
        <f t="shared" si="1811"/>
        <v>0</v>
      </c>
      <c r="F617" s="144">
        <f t="shared" si="1803"/>
        <v>0</v>
      </c>
      <c r="G617" s="144">
        <f t="shared" si="1812"/>
        <v>42.404200000000003</v>
      </c>
      <c r="H617" s="144">
        <f t="shared" si="1813"/>
        <v>42.404200000000003</v>
      </c>
      <c r="I617" s="144">
        <f t="shared" si="1814"/>
        <v>41.076599999999999</v>
      </c>
      <c r="J617" s="159">
        <f t="shared" si="1815"/>
        <v>41.076599999999999</v>
      </c>
      <c r="K617" s="160">
        <f t="shared" si="1816"/>
        <v>26.12</v>
      </c>
      <c r="L617" s="152">
        <f t="shared" si="1720"/>
        <v>121</v>
      </c>
      <c r="M617" s="144">
        <f t="shared" si="1721"/>
        <v>1</v>
      </c>
      <c r="N617" s="144"/>
      <c r="O617" s="144">
        <f t="shared" si="1722"/>
        <v>0</v>
      </c>
      <c r="P617" s="144">
        <f t="shared" si="1723"/>
        <v>83</v>
      </c>
      <c r="Q617" s="144">
        <f t="shared" si="1724"/>
        <v>83</v>
      </c>
      <c r="R617" s="144">
        <f t="shared" si="1725"/>
        <v>234</v>
      </c>
      <c r="S617" s="144">
        <f t="shared" si="1726"/>
        <v>234</v>
      </c>
      <c r="T617" s="144">
        <f t="shared" si="1727"/>
        <v>145</v>
      </c>
      <c r="V617" s="150">
        <f>L615+L616+L617</f>
        <v>397</v>
      </c>
      <c r="W617" s="150">
        <f t="shared" ref="W617" si="1834">M615+M616+M617</f>
        <v>1</v>
      </c>
      <c r="X617" s="150"/>
      <c r="Y617" s="150">
        <f t="shared" ref="Y617" si="1835">O615+O616+O617</f>
        <v>0</v>
      </c>
      <c r="Z617" s="150">
        <f t="shared" ref="Z617" si="1836">P615+P616+P617</f>
        <v>245</v>
      </c>
      <c r="AA617" s="150">
        <f t="shared" ref="AA617" si="1837">Q615+Q616+Q617</f>
        <v>245</v>
      </c>
      <c r="AB617" s="150">
        <f t="shared" ref="AB617" si="1838">R615+R616+R617</f>
        <v>697</v>
      </c>
      <c r="AC617" s="150">
        <f t="shared" ref="AC617" si="1839">S615+S616+S617</f>
        <v>697</v>
      </c>
      <c r="AD617" s="150">
        <f t="shared" ref="AD617" si="1840">T615+T616+T617</f>
        <v>448</v>
      </c>
      <c r="AF617" s="158">
        <f t="shared" si="1826"/>
        <v>41600</v>
      </c>
      <c r="AG617" s="149">
        <v>59.904800000000002</v>
      </c>
      <c r="AH617" s="149"/>
      <c r="AI617" s="149"/>
      <c r="AJ617" s="149"/>
      <c r="AK617" s="149"/>
      <c r="AL617" s="149"/>
      <c r="AM617" s="149"/>
      <c r="AN617" s="149"/>
      <c r="AO617" s="149"/>
      <c r="AP617" s="149"/>
      <c r="AQ617" s="149"/>
      <c r="AR617" s="149"/>
      <c r="AS617" s="149"/>
      <c r="AT617" s="149"/>
      <c r="AU617" s="149"/>
      <c r="AV617" s="149"/>
      <c r="AW617" s="149"/>
      <c r="AX617" s="149">
        <v>0.5988</v>
      </c>
      <c r="AY617" s="149"/>
      <c r="AZ617" s="149"/>
      <c r="BA617" s="149"/>
      <c r="BB617" s="149"/>
      <c r="BC617" s="149"/>
      <c r="BD617" s="149"/>
      <c r="BE617" s="149"/>
      <c r="BF617" s="149"/>
      <c r="BG617" s="149"/>
      <c r="BH617" s="149"/>
      <c r="BI617" s="149"/>
      <c r="BJ617" s="149"/>
      <c r="BK617" s="149"/>
      <c r="BL617" s="149"/>
      <c r="BM617" s="149"/>
      <c r="BN617" s="149">
        <v>42.404200000000003</v>
      </c>
      <c r="BO617" s="149"/>
      <c r="BP617" s="149"/>
      <c r="BQ617" s="149">
        <f t="shared" si="1744"/>
        <v>42.404200000000003</v>
      </c>
      <c r="BR617" s="149"/>
      <c r="BS617" s="149"/>
      <c r="BT617" s="149">
        <v>41.076599999999999</v>
      </c>
      <c r="BU617" s="149"/>
      <c r="BV617" s="149"/>
      <c r="BW617" s="149">
        <f>BT617</f>
        <v>41.076599999999999</v>
      </c>
      <c r="BX617" s="149"/>
      <c r="BY617" s="149"/>
      <c r="BZ617" s="149"/>
      <c r="CA617" s="149"/>
      <c r="CB617" s="149">
        <v>26.12</v>
      </c>
      <c r="CC617" s="231">
        <f t="shared" si="1825"/>
        <v>41600</v>
      </c>
    </row>
    <row r="618" spans="2:81" x14ac:dyDescent="0.25">
      <c r="B618" s="155">
        <v>41650</v>
      </c>
      <c r="C618" s="147">
        <f t="shared" si="1699"/>
        <v>60.378900000000002</v>
      </c>
      <c r="D618" s="147">
        <f t="shared" si="1802"/>
        <v>0.26500000000000001</v>
      </c>
      <c r="E618" s="147">
        <f t="shared" si="1811"/>
        <v>0</v>
      </c>
      <c r="F618" s="147">
        <f t="shared" si="1803"/>
        <v>0</v>
      </c>
      <c r="G618" s="147">
        <f t="shared" si="1812"/>
        <v>42.427999999999997</v>
      </c>
      <c r="H618" s="147">
        <f t="shared" si="1813"/>
        <v>42.427999999999997</v>
      </c>
      <c r="I618" s="147">
        <f t="shared" si="1814"/>
        <v>41.0792</v>
      </c>
      <c r="J618" s="156">
        <f t="shared" si="1815"/>
        <v>41.0792</v>
      </c>
      <c r="K618" s="157">
        <f t="shared" si="1816"/>
        <v>27.9</v>
      </c>
      <c r="L618" s="151">
        <f t="shared" si="1720"/>
        <v>112</v>
      </c>
      <c r="M618" s="147">
        <f t="shared" si="1721"/>
        <v>1</v>
      </c>
      <c r="N618" s="147"/>
      <c r="O618" s="147">
        <f t="shared" si="1722"/>
        <v>0</v>
      </c>
      <c r="P618" s="147">
        <f t="shared" si="1723"/>
        <v>79</v>
      </c>
      <c r="Q618" s="147">
        <f t="shared" si="1724"/>
        <v>79</v>
      </c>
      <c r="R618" s="147">
        <f t="shared" si="1725"/>
        <v>229</v>
      </c>
      <c r="S618" s="147">
        <f t="shared" si="1726"/>
        <v>229</v>
      </c>
      <c r="T618" s="147">
        <f t="shared" si="1727"/>
        <v>151</v>
      </c>
      <c r="V618" s="146"/>
      <c r="W618" s="147"/>
      <c r="X618" s="147"/>
      <c r="Y618" s="147"/>
      <c r="Z618" s="147"/>
      <c r="AA618" s="147"/>
      <c r="AB618" s="147"/>
      <c r="AC618" s="147"/>
      <c r="AD618" s="148"/>
      <c r="AF618" s="155">
        <f t="shared" si="1826"/>
        <v>41650</v>
      </c>
      <c r="AG618" s="78">
        <v>60.378900000000002</v>
      </c>
      <c r="AH618" s="78"/>
      <c r="AI618" s="78"/>
      <c r="AJ618" s="78"/>
      <c r="AK618" s="78"/>
      <c r="AL618" s="78"/>
      <c r="AM618" s="78"/>
      <c r="AN618" s="78"/>
      <c r="AO618" s="78"/>
      <c r="AP618" s="78"/>
      <c r="AQ618" s="78"/>
      <c r="AR618" s="78"/>
      <c r="AS618" s="78"/>
      <c r="AT618" s="78"/>
      <c r="AU618" s="78"/>
      <c r="AV618" s="78"/>
      <c r="AW618" s="78"/>
      <c r="AX618" s="78">
        <v>0.26500000000000001</v>
      </c>
      <c r="AY618" s="78"/>
      <c r="AZ618" s="78"/>
      <c r="BA618" s="78"/>
      <c r="BB618" s="78"/>
      <c r="BC618" s="78"/>
      <c r="BD618" s="78"/>
      <c r="BE618" s="78"/>
      <c r="BF618" s="78"/>
      <c r="BG618" s="78"/>
      <c r="BH618" s="78"/>
      <c r="BI618" s="78"/>
      <c r="BJ618" s="78"/>
      <c r="BK618" s="78"/>
      <c r="BL618" s="78"/>
      <c r="BM618" s="78"/>
      <c r="BN618" s="78">
        <v>42.427999999999997</v>
      </c>
      <c r="BO618" s="78"/>
      <c r="BP618" s="78"/>
      <c r="BQ618" s="78">
        <f t="shared" si="1744"/>
        <v>42.427999999999997</v>
      </c>
      <c r="BR618" s="78"/>
      <c r="BS618" s="78"/>
      <c r="BT618" s="78">
        <v>41.0792</v>
      </c>
      <c r="BU618" s="78"/>
      <c r="BV618" s="78"/>
      <c r="BW618" s="49">
        <f t="shared" si="1824"/>
        <v>41.0792</v>
      </c>
      <c r="BX618" s="49"/>
      <c r="BY618" s="49"/>
      <c r="BZ618" s="78"/>
      <c r="CA618" s="78"/>
      <c r="CB618" s="78">
        <v>27.9</v>
      </c>
      <c r="CC618" s="231">
        <f t="shared" si="1825"/>
        <v>41650</v>
      </c>
    </row>
    <row r="619" spans="2:81" x14ac:dyDescent="0.25">
      <c r="B619" s="57">
        <v>41700</v>
      </c>
      <c r="C619" s="58">
        <f t="shared" si="1699"/>
        <v>63.485799999999998</v>
      </c>
      <c r="D619" s="58">
        <f t="shared" si="1802"/>
        <v>0</v>
      </c>
      <c r="E619" s="58">
        <f t="shared" si="1811"/>
        <v>0</v>
      </c>
      <c r="F619" s="58">
        <f t="shared" si="1803"/>
        <v>0</v>
      </c>
      <c r="G619" s="58">
        <f t="shared" si="1812"/>
        <v>42.486400000000003</v>
      </c>
      <c r="H619" s="58">
        <f t="shared" si="1813"/>
        <v>42.486400000000003</v>
      </c>
      <c r="I619" s="58">
        <f t="shared" si="1814"/>
        <v>41.081800000000001</v>
      </c>
      <c r="J619" s="51">
        <f t="shared" si="1815"/>
        <v>41.081800000000001</v>
      </c>
      <c r="K619" s="99">
        <f t="shared" si="1816"/>
        <v>24.46</v>
      </c>
      <c r="L619" s="105">
        <f t="shared" si="1720"/>
        <v>115</v>
      </c>
      <c r="M619" s="58">
        <f t="shared" si="1721"/>
        <v>1</v>
      </c>
      <c r="N619" s="58"/>
      <c r="O619" s="58">
        <f t="shared" si="1722"/>
        <v>0</v>
      </c>
      <c r="P619" s="58">
        <f t="shared" si="1723"/>
        <v>79</v>
      </c>
      <c r="Q619" s="58">
        <f t="shared" si="1724"/>
        <v>79</v>
      </c>
      <c r="R619" s="58">
        <f t="shared" si="1725"/>
        <v>229</v>
      </c>
      <c r="S619" s="58">
        <f t="shared" si="1726"/>
        <v>229</v>
      </c>
      <c r="T619" s="58">
        <f t="shared" si="1727"/>
        <v>146</v>
      </c>
      <c r="V619" s="137"/>
      <c r="W619" s="58"/>
      <c r="X619" s="58"/>
      <c r="Y619" s="58"/>
      <c r="Z619" s="58"/>
      <c r="AA619" s="58"/>
      <c r="AB619" s="58"/>
      <c r="AC619" s="58"/>
      <c r="AD619" s="138"/>
      <c r="AF619" s="57">
        <f t="shared" si="1826"/>
        <v>41700</v>
      </c>
      <c r="AG619" s="49">
        <v>63.092700000000001</v>
      </c>
      <c r="AH619" s="49">
        <v>0.3931</v>
      </c>
      <c r="AI619" s="49"/>
      <c r="AJ619" s="49"/>
      <c r="AK619" s="49"/>
      <c r="AL619" s="49"/>
      <c r="AM619" s="49"/>
      <c r="AN619" s="49"/>
      <c r="AO619" s="49"/>
      <c r="AP619" s="49"/>
      <c r="AQ619" s="49"/>
      <c r="AR619" s="49"/>
      <c r="AS619" s="49"/>
      <c r="AT619" s="49"/>
      <c r="AU619" s="49"/>
      <c r="AV619" s="49"/>
      <c r="AW619" s="49"/>
      <c r="AX619" s="49"/>
      <c r="AY619" s="49"/>
      <c r="AZ619" s="49"/>
      <c r="BA619" s="49"/>
      <c r="BB619" s="49"/>
      <c r="BC619" s="49"/>
      <c r="BD619" s="49"/>
      <c r="BE619" s="49"/>
      <c r="BF619" s="49"/>
      <c r="BG619" s="49"/>
      <c r="BH619" s="49"/>
      <c r="BI619" s="49"/>
      <c r="BJ619" s="49"/>
      <c r="BK619" s="49"/>
      <c r="BL619" s="49"/>
      <c r="BM619" s="49"/>
      <c r="BN619" s="49">
        <v>42.486400000000003</v>
      </c>
      <c r="BO619" s="49"/>
      <c r="BP619" s="49"/>
      <c r="BQ619" s="49">
        <f t="shared" si="1744"/>
        <v>42.486400000000003</v>
      </c>
      <c r="BR619" s="49"/>
      <c r="BS619" s="49"/>
      <c r="BT619" s="49">
        <v>41.081800000000001</v>
      </c>
      <c r="BU619" s="49"/>
      <c r="BV619" s="49"/>
      <c r="BW619" s="49">
        <f t="shared" si="1824"/>
        <v>41.081800000000001</v>
      </c>
      <c r="BX619" s="49"/>
      <c r="BY619" s="49"/>
      <c r="BZ619" s="49"/>
      <c r="CA619" s="49"/>
      <c r="CB619" s="49">
        <v>24.46</v>
      </c>
      <c r="CC619" s="231">
        <f t="shared" si="1825"/>
        <v>41700</v>
      </c>
    </row>
    <row r="620" spans="2:81" x14ac:dyDescent="0.25">
      <c r="B620" s="57">
        <v>41750</v>
      </c>
      <c r="C620" s="58">
        <f t="shared" si="1699"/>
        <v>69.309100000000001</v>
      </c>
      <c r="D620" s="58">
        <f t="shared" si="1802"/>
        <v>0</v>
      </c>
      <c r="E620" s="58">
        <f t="shared" si="1811"/>
        <v>0</v>
      </c>
      <c r="F620" s="58">
        <f t="shared" si="1803"/>
        <v>0</v>
      </c>
      <c r="G620" s="58">
        <f t="shared" si="1812"/>
        <v>42.487099999999998</v>
      </c>
      <c r="H620" s="58">
        <f t="shared" si="1813"/>
        <v>42.487099999999998</v>
      </c>
      <c r="I620" s="58">
        <f t="shared" si="1814"/>
        <v>41.084499999999998</v>
      </c>
      <c r="J620" s="51">
        <f t="shared" si="1815"/>
        <v>41.084499999999998</v>
      </c>
      <c r="K620" s="99">
        <f t="shared" si="1816"/>
        <v>31.34</v>
      </c>
      <c r="L620" s="105">
        <f t="shared" si="1720"/>
        <v>123</v>
      </c>
      <c r="M620" s="58">
        <f t="shared" si="1721"/>
        <v>0</v>
      </c>
      <c r="N620" s="58"/>
      <c r="O620" s="58">
        <f t="shared" si="1722"/>
        <v>0</v>
      </c>
      <c r="P620" s="58">
        <f t="shared" si="1723"/>
        <v>79</v>
      </c>
      <c r="Q620" s="58">
        <f t="shared" si="1724"/>
        <v>79</v>
      </c>
      <c r="R620" s="58">
        <f t="shared" si="1725"/>
        <v>229</v>
      </c>
      <c r="S620" s="58">
        <f t="shared" si="1726"/>
        <v>229</v>
      </c>
      <c r="T620" s="58">
        <f t="shared" si="1727"/>
        <v>155</v>
      </c>
      <c r="V620" s="137"/>
      <c r="W620" s="58"/>
      <c r="X620" s="58"/>
      <c r="Y620" s="58"/>
      <c r="Z620" s="58"/>
      <c r="AA620" s="58"/>
      <c r="AB620" s="58"/>
      <c r="AC620" s="58"/>
      <c r="AD620" s="138"/>
      <c r="AF620" s="57">
        <f t="shared" si="1826"/>
        <v>41750</v>
      </c>
      <c r="AG620" s="49">
        <v>68.436099999999996</v>
      </c>
      <c r="AH620" s="49">
        <v>0.873</v>
      </c>
      <c r="AI620" s="49"/>
      <c r="AJ620" s="49"/>
      <c r="AK620" s="49"/>
      <c r="AL620" s="49"/>
      <c r="AM620" s="49"/>
      <c r="AN620" s="49"/>
      <c r="AO620" s="49"/>
      <c r="AP620" s="49"/>
      <c r="AQ620" s="49"/>
      <c r="AR620" s="49"/>
      <c r="AS620" s="49"/>
      <c r="AT620" s="49"/>
      <c r="AU620" s="49"/>
      <c r="AV620" s="49"/>
      <c r="AW620" s="49"/>
      <c r="AX620" s="49"/>
      <c r="AY620" s="49"/>
      <c r="AZ620" s="49"/>
      <c r="BA620" s="49"/>
      <c r="BB620" s="49"/>
      <c r="BC620" s="49"/>
      <c r="BD620" s="49"/>
      <c r="BE620" s="49"/>
      <c r="BF620" s="49"/>
      <c r="BG620" s="49"/>
      <c r="BH620" s="49"/>
      <c r="BI620" s="49"/>
      <c r="BJ620" s="49"/>
      <c r="BK620" s="49"/>
      <c r="BL620" s="49"/>
      <c r="BM620" s="49"/>
      <c r="BN620" s="49">
        <v>42.487099999999998</v>
      </c>
      <c r="BO620" s="49"/>
      <c r="BP620" s="49"/>
      <c r="BQ620" s="49">
        <f t="shared" si="1744"/>
        <v>42.487099999999998</v>
      </c>
      <c r="BR620" s="49"/>
      <c r="BS620" s="49"/>
      <c r="BT620" s="49">
        <v>41.084499999999998</v>
      </c>
      <c r="BU620" s="49"/>
      <c r="BV620" s="49"/>
      <c r="BW620" s="49">
        <f t="shared" si="1824"/>
        <v>41.084499999999998</v>
      </c>
      <c r="BX620" s="49"/>
      <c r="BY620" s="49"/>
      <c r="BZ620" s="49"/>
      <c r="CA620" s="49"/>
      <c r="CB620" s="49">
        <v>31.34</v>
      </c>
      <c r="CC620" s="231">
        <f t="shared" si="1825"/>
        <v>41750</v>
      </c>
    </row>
    <row r="621" spans="2:81" s="3" customFormat="1" ht="15.75" thickBot="1" x14ac:dyDescent="0.3">
      <c r="B621" s="158">
        <v>41800</v>
      </c>
      <c r="C621" s="144">
        <f t="shared" si="1699"/>
        <v>66.715100000000007</v>
      </c>
      <c r="D621" s="144">
        <f t="shared" si="1802"/>
        <v>0</v>
      </c>
      <c r="E621" s="144">
        <f t="shared" si="1811"/>
        <v>0</v>
      </c>
      <c r="F621" s="144">
        <f t="shared" si="1803"/>
        <v>0</v>
      </c>
      <c r="G621" s="144">
        <f t="shared" si="1812"/>
        <v>42.491599999999998</v>
      </c>
      <c r="H621" s="144">
        <f t="shared" si="1813"/>
        <v>42.491599999999998</v>
      </c>
      <c r="I621" s="144">
        <f t="shared" si="1814"/>
        <v>41.087200000000003</v>
      </c>
      <c r="J621" s="159">
        <f t="shared" si="1815"/>
        <v>41.087200000000003</v>
      </c>
      <c r="K621" s="160">
        <f t="shared" si="1816"/>
        <v>33.51</v>
      </c>
      <c r="L621" s="152">
        <f t="shared" si="1720"/>
        <v>126</v>
      </c>
      <c r="M621" s="144">
        <f t="shared" si="1721"/>
        <v>0</v>
      </c>
      <c r="N621" s="144"/>
      <c r="O621" s="144">
        <f t="shared" si="1722"/>
        <v>0</v>
      </c>
      <c r="P621" s="144">
        <f t="shared" si="1723"/>
        <v>79</v>
      </c>
      <c r="Q621" s="144">
        <f t="shared" si="1724"/>
        <v>79</v>
      </c>
      <c r="R621" s="144">
        <f t="shared" si="1725"/>
        <v>229</v>
      </c>
      <c r="S621" s="144">
        <f t="shared" si="1726"/>
        <v>229</v>
      </c>
      <c r="T621" s="144">
        <f t="shared" si="1727"/>
        <v>181</v>
      </c>
      <c r="V621" s="150">
        <f>L618+L619+L620+L621</f>
        <v>476</v>
      </c>
      <c r="W621" s="150">
        <f t="shared" ref="W621" si="1841">M618+M619+M620+M621</f>
        <v>2</v>
      </c>
      <c r="X621" s="150"/>
      <c r="Y621" s="150">
        <f t="shared" ref="Y621" si="1842">O618+O619+O620+O621</f>
        <v>0</v>
      </c>
      <c r="Z621" s="150">
        <f t="shared" ref="Z621" si="1843">P618+P619+P620+P621</f>
        <v>316</v>
      </c>
      <c r="AA621" s="150">
        <f t="shared" ref="AA621" si="1844">Q618+Q619+Q620+Q621</f>
        <v>316</v>
      </c>
      <c r="AB621" s="150">
        <f t="shared" ref="AB621" si="1845">R618+R619+R620+R621</f>
        <v>916</v>
      </c>
      <c r="AC621" s="150">
        <f t="shared" ref="AC621" si="1846">S618+S619+S620+S621</f>
        <v>916</v>
      </c>
      <c r="AD621" s="150">
        <f t="shared" ref="AD621" si="1847">T618+T619+T620+T621</f>
        <v>633</v>
      </c>
      <c r="AF621" s="158">
        <f t="shared" si="1826"/>
        <v>41800</v>
      </c>
      <c r="AG621" s="149">
        <v>66.715100000000007</v>
      </c>
      <c r="AH621" s="149"/>
      <c r="AI621" s="149"/>
      <c r="AJ621" s="149"/>
      <c r="AK621" s="149"/>
      <c r="AL621" s="149"/>
      <c r="AM621" s="149"/>
      <c r="AN621" s="149"/>
      <c r="AO621" s="149"/>
      <c r="AP621" s="149"/>
      <c r="AQ621" s="149"/>
      <c r="AR621" s="149"/>
      <c r="AS621" s="149"/>
      <c r="AT621" s="149"/>
      <c r="AU621" s="149"/>
      <c r="AV621" s="149"/>
      <c r="AW621" s="149"/>
      <c r="AX621" s="149"/>
      <c r="AY621" s="149"/>
      <c r="AZ621" s="149"/>
      <c r="BA621" s="149"/>
      <c r="BB621" s="149"/>
      <c r="BC621" s="149"/>
      <c r="BD621" s="149"/>
      <c r="BE621" s="149"/>
      <c r="BF621" s="149"/>
      <c r="BG621" s="149"/>
      <c r="BH621" s="149"/>
      <c r="BI621" s="149"/>
      <c r="BJ621" s="149"/>
      <c r="BK621" s="149"/>
      <c r="BL621" s="149"/>
      <c r="BM621" s="149"/>
      <c r="BN621" s="149">
        <v>42.491599999999998</v>
      </c>
      <c r="BO621" s="149"/>
      <c r="BP621" s="149"/>
      <c r="BQ621" s="149">
        <f t="shared" si="1744"/>
        <v>42.491599999999998</v>
      </c>
      <c r="BR621" s="149"/>
      <c r="BS621" s="149"/>
      <c r="BT621" s="149">
        <v>41.087200000000003</v>
      </c>
      <c r="BU621" s="149"/>
      <c r="BV621" s="149"/>
      <c r="BW621" s="149">
        <f>BT621</f>
        <v>41.087200000000003</v>
      </c>
      <c r="BX621" s="149"/>
      <c r="BY621" s="149"/>
      <c r="BZ621" s="149"/>
      <c r="CA621" s="149"/>
      <c r="CB621" s="149">
        <v>33.51</v>
      </c>
      <c r="CC621" s="231">
        <f t="shared" si="1825"/>
        <v>41800</v>
      </c>
    </row>
    <row r="622" spans="2:81" x14ac:dyDescent="0.25">
      <c r="B622" s="155">
        <v>41850</v>
      </c>
      <c r="C622" s="147">
        <f t="shared" si="1699"/>
        <v>74.931399999999996</v>
      </c>
      <c r="D622" s="147">
        <f t="shared" si="1802"/>
        <v>0</v>
      </c>
      <c r="E622" s="147">
        <f t="shared" si="1811"/>
        <v>0</v>
      </c>
      <c r="F622" s="147">
        <f t="shared" si="1803"/>
        <v>0</v>
      </c>
      <c r="G622" s="147">
        <f t="shared" si="1812"/>
        <v>42.494399999999999</v>
      </c>
      <c r="H622" s="147">
        <f t="shared" si="1813"/>
        <v>42.494399999999999</v>
      </c>
      <c r="I622" s="147">
        <f t="shared" si="1814"/>
        <v>41.090200000000003</v>
      </c>
      <c r="J622" s="156">
        <f t="shared" si="1815"/>
        <v>41.090200000000003</v>
      </c>
      <c r="K622" s="157">
        <f t="shared" si="1816"/>
        <v>33.700000000000003</v>
      </c>
      <c r="L622" s="151">
        <f t="shared" si="1720"/>
        <v>132</v>
      </c>
      <c r="M622" s="147">
        <f t="shared" si="1721"/>
        <v>0</v>
      </c>
      <c r="N622" s="147"/>
      <c r="O622" s="147">
        <f t="shared" si="1722"/>
        <v>0</v>
      </c>
      <c r="P622" s="147">
        <f t="shared" si="1723"/>
        <v>79</v>
      </c>
      <c r="Q622" s="147">
        <f t="shared" si="1724"/>
        <v>79</v>
      </c>
      <c r="R622" s="147">
        <f t="shared" si="1725"/>
        <v>229</v>
      </c>
      <c r="S622" s="147">
        <f t="shared" si="1726"/>
        <v>229</v>
      </c>
      <c r="T622" s="147">
        <f t="shared" si="1727"/>
        <v>187</v>
      </c>
      <c r="V622" s="146"/>
      <c r="W622" s="147"/>
      <c r="X622" s="147"/>
      <c r="Y622" s="147"/>
      <c r="Z622" s="147"/>
      <c r="AA622" s="147"/>
      <c r="AB622" s="147"/>
      <c r="AC622" s="147"/>
      <c r="AD622" s="148"/>
      <c r="AF622" s="155">
        <f t="shared" si="1826"/>
        <v>41850</v>
      </c>
      <c r="AG622" s="78">
        <v>74.931399999999996</v>
      </c>
      <c r="AH622" s="78"/>
      <c r="AI622" s="78"/>
      <c r="AJ622" s="78"/>
      <c r="AK622" s="78"/>
      <c r="AL622" s="78"/>
      <c r="AM622" s="78"/>
      <c r="AN622" s="78"/>
      <c r="AO622" s="78"/>
      <c r="AP622" s="78"/>
      <c r="AQ622" s="78"/>
      <c r="AR622" s="78"/>
      <c r="AS622" s="78"/>
      <c r="AT622" s="78"/>
      <c r="AU622" s="78"/>
      <c r="AV622" s="78"/>
      <c r="AW622" s="78"/>
      <c r="AX622" s="78"/>
      <c r="AY622" s="78"/>
      <c r="AZ622" s="78"/>
      <c r="BA622" s="78"/>
      <c r="BB622" s="78"/>
      <c r="BC622" s="78"/>
      <c r="BD622" s="78"/>
      <c r="BE622" s="78"/>
      <c r="BF622" s="78"/>
      <c r="BG622" s="78"/>
      <c r="BH622" s="78"/>
      <c r="BI622" s="78"/>
      <c r="BJ622" s="78"/>
      <c r="BK622" s="78"/>
      <c r="BL622" s="78"/>
      <c r="BM622" s="78"/>
      <c r="BN622" s="78">
        <v>42.494399999999999</v>
      </c>
      <c r="BO622" s="78"/>
      <c r="BP622" s="78"/>
      <c r="BQ622" s="78">
        <f t="shared" si="1744"/>
        <v>42.494399999999999</v>
      </c>
      <c r="BR622" s="78"/>
      <c r="BS622" s="78"/>
      <c r="BT622" s="78">
        <v>41.090200000000003</v>
      </c>
      <c r="BU622" s="78"/>
      <c r="BV622" s="78"/>
      <c r="BW622" s="49">
        <f t="shared" si="1824"/>
        <v>41.090200000000003</v>
      </c>
      <c r="BX622" s="49"/>
      <c r="BY622" s="49"/>
      <c r="BZ622" s="78"/>
      <c r="CA622" s="78"/>
      <c r="CB622" s="78">
        <v>33.700000000000003</v>
      </c>
      <c r="CC622" s="231">
        <f t="shared" si="1825"/>
        <v>41850</v>
      </c>
    </row>
    <row r="623" spans="2:81" x14ac:dyDescent="0.25">
      <c r="B623" s="57">
        <v>41900</v>
      </c>
      <c r="C623" s="58">
        <f t="shared" si="1699"/>
        <v>83.934399999999997</v>
      </c>
      <c r="D623" s="58">
        <f t="shared" si="1802"/>
        <v>0</v>
      </c>
      <c r="E623" s="58">
        <f t="shared" si="1811"/>
        <v>0</v>
      </c>
      <c r="F623" s="58">
        <f t="shared" si="1803"/>
        <v>0</v>
      </c>
      <c r="G623" s="58">
        <f t="shared" si="1812"/>
        <v>42.497300000000003</v>
      </c>
      <c r="H623" s="58">
        <f t="shared" si="1813"/>
        <v>42.497300000000003</v>
      </c>
      <c r="I623" s="58">
        <f t="shared" si="1814"/>
        <v>41.093299999999999</v>
      </c>
      <c r="J623" s="51">
        <f t="shared" si="1815"/>
        <v>41.093299999999999</v>
      </c>
      <c r="K623" s="99">
        <f t="shared" si="1816"/>
        <v>36.83</v>
      </c>
      <c r="L623" s="105">
        <f t="shared" si="1720"/>
        <v>148</v>
      </c>
      <c r="M623" s="58">
        <f t="shared" si="1721"/>
        <v>0</v>
      </c>
      <c r="N623" s="58"/>
      <c r="O623" s="58">
        <f t="shared" si="1722"/>
        <v>0</v>
      </c>
      <c r="P623" s="58">
        <f t="shared" si="1723"/>
        <v>79</v>
      </c>
      <c r="Q623" s="58">
        <f t="shared" si="1724"/>
        <v>79</v>
      </c>
      <c r="R623" s="58">
        <f t="shared" si="1725"/>
        <v>229</v>
      </c>
      <c r="S623" s="58">
        <f t="shared" si="1726"/>
        <v>229</v>
      </c>
      <c r="T623" s="58">
        <f t="shared" si="1727"/>
        <v>196</v>
      </c>
      <c r="V623" s="137"/>
      <c r="W623" s="58"/>
      <c r="X623" s="58"/>
      <c r="Y623" s="58"/>
      <c r="Z623" s="58"/>
      <c r="AA623" s="58"/>
      <c r="AB623" s="58"/>
      <c r="AC623" s="58"/>
      <c r="AD623" s="138"/>
      <c r="AF623" s="57">
        <f t="shared" si="1826"/>
        <v>41900</v>
      </c>
      <c r="AG623" s="49">
        <v>83.934399999999997</v>
      </c>
      <c r="AH623" s="49"/>
      <c r="AI623" s="49"/>
      <c r="AJ623" s="49"/>
      <c r="AK623" s="49"/>
      <c r="AL623" s="49"/>
      <c r="AM623" s="49"/>
      <c r="AN623" s="49"/>
      <c r="AO623" s="49"/>
      <c r="AP623" s="49"/>
      <c r="AQ623" s="49"/>
      <c r="AR623" s="49"/>
      <c r="AS623" s="49"/>
      <c r="AT623" s="49"/>
      <c r="AU623" s="49"/>
      <c r="AV623" s="49"/>
      <c r="AW623" s="49"/>
      <c r="AX623" s="49"/>
      <c r="AY623" s="49"/>
      <c r="AZ623" s="49"/>
      <c r="BA623" s="49"/>
      <c r="BB623" s="49"/>
      <c r="BC623" s="49"/>
      <c r="BD623" s="49"/>
      <c r="BE623" s="49"/>
      <c r="BF623" s="49"/>
      <c r="BG623" s="49"/>
      <c r="BH623" s="49"/>
      <c r="BI623" s="49"/>
      <c r="BJ623" s="49"/>
      <c r="BK623" s="49"/>
      <c r="BL623" s="49"/>
      <c r="BM623" s="49"/>
      <c r="BN623" s="49">
        <v>42.497300000000003</v>
      </c>
      <c r="BO623" s="49"/>
      <c r="BP623" s="49"/>
      <c r="BQ623" s="49">
        <f t="shared" si="1744"/>
        <v>42.497300000000003</v>
      </c>
      <c r="BR623" s="49"/>
      <c r="BS623" s="49"/>
      <c r="BT623" s="49">
        <v>41.093299999999999</v>
      </c>
      <c r="BU623" s="49"/>
      <c r="BV623" s="49"/>
      <c r="BW623" s="49">
        <f t="shared" si="1824"/>
        <v>41.093299999999999</v>
      </c>
      <c r="BX623" s="49"/>
      <c r="BY623" s="49"/>
      <c r="BZ623" s="49"/>
      <c r="CA623" s="49"/>
      <c r="CB623" s="49">
        <v>36.83</v>
      </c>
      <c r="CC623" s="231">
        <f t="shared" si="1825"/>
        <v>41900</v>
      </c>
    </row>
    <row r="624" spans="2:81" x14ac:dyDescent="0.25">
      <c r="B624" s="57">
        <v>41950</v>
      </c>
      <c r="C624" s="58">
        <f t="shared" si="1699"/>
        <v>79.568899999999999</v>
      </c>
      <c r="D624" s="58">
        <f t="shared" si="1802"/>
        <v>0</v>
      </c>
      <c r="E624" s="58">
        <f t="shared" si="1811"/>
        <v>0</v>
      </c>
      <c r="F624" s="58">
        <f t="shared" si="1803"/>
        <v>0</v>
      </c>
      <c r="G624" s="58">
        <f t="shared" si="1812"/>
        <v>42.500300000000003</v>
      </c>
      <c r="H624" s="58">
        <f t="shared" si="1813"/>
        <v>42.500300000000003</v>
      </c>
      <c r="I624" s="58">
        <f t="shared" si="1814"/>
        <v>41.096499999999999</v>
      </c>
      <c r="J624" s="51">
        <f t="shared" si="1815"/>
        <v>41.096499999999999</v>
      </c>
      <c r="K624" s="99">
        <f t="shared" si="1816"/>
        <v>37.21</v>
      </c>
      <c r="L624" s="105">
        <f t="shared" si="1720"/>
        <v>152</v>
      </c>
      <c r="M624" s="58">
        <f t="shared" si="1721"/>
        <v>0</v>
      </c>
      <c r="N624" s="58"/>
      <c r="O624" s="58">
        <f t="shared" si="1722"/>
        <v>0</v>
      </c>
      <c r="P624" s="58">
        <f t="shared" si="1723"/>
        <v>79</v>
      </c>
      <c r="Q624" s="58">
        <f t="shared" si="1724"/>
        <v>79</v>
      </c>
      <c r="R624" s="58">
        <f t="shared" si="1725"/>
        <v>229</v>
      </c>
      <c r="S624" s="58">
        <f t="shared" si="1726"/>
        <v>229</v>
      </c>
      <c r="T624" s="58">
        <f t="shared" si="1727"/>
        <v>206</v>
      </c>
      <c r="V624" s="137"/>
      <c r="W624" s="58"/>
      <c r="X624" s="58"/>
      <c r="Y624" s="58"/>
      <c r="Z624" s="58"/>
      <c r="AA624" s="58"/>
      <c r="AB624" s="58"/>
      <c r="AC624" s="58"/>
      <c r="AD624" s="138"/>
      <c r="AF624" s="57">
        <f t="shared" si="1826"/>
        <v>41950</v>
      </c>
      <c r="AG624" s="49">
        <v>79.568899999999999</v>
      </c>
      <c r="AH624" s="49"/>
      <c r="AI624" s="49"/>
      <c r="AJ624" s="49"/>
      <c r="AK624" s="49"/>
      <c r="AL624" s="49"/>
      <c r="AM624" s="49"/>
      <c r="AN624" s="49"/>
      <c r="AO624" s="49"/>
      <c r="AP624" s="49"/>
      <c r="AQ624" s="49"/>
      <c r="AR624" s="49"/>
      <c r="AS624" s="49"/>
      <c r="AT624" s="49"/>
      <c r="AU624" s="49"/>
      <c r="AV624" s="49"/>
      <c r="AW624" s="49"/>
      <c r="AX624" s="49"/>
      <c r="AY624" s="49"/>
      <c r="AZ624" s="49"/>
      <c r="BA624" s="49"/>
      <c r="BB624" s="49"/>
      <c r="BC624" s="49"/>
      <c r="BD624" s="49"/>
      <c r="BE624" s="49"/>
      <c r="BF624" s="49"/>
      <c r="BG624" s="49"/>
      <c r="BH624" s="49"/>
      <c r="BI624" s="49"/>
      <c r="BJ624" s="49"/>
      <c r="BK624" s="49"/>
      <c r="BL624" s="49"/>
      <c r="BM624" s="49"/>
      <c r="BN624" s="49">
        <v>42.500300000000003</v>
      </c>
      <c r="BO624" s="49"/>
      <c r="BP624" s="49"/>
      <c r="BQ624" s="49">
        <f t="shared" si="1744"/>
        <v>42.500300000000003</v>
      </c>
      <c r="BR624" s="49"/>
      <c r="BS624" s="49"/>
      <c r="BT624" s="49">
        <v>41.096499999999999</v>
      </c>
      <c r="BU624" s="49"/>
      <c r="BV624" s="49"/>
      <c r="BW624" s="49">
        <f t="shared" si="1824"/>
        <v>41.096499999999999</v>
      </c>
      <c r="BX624" s="49"/>
      <c r="BY624" s="49"/>
      <c r="BZ624" s="49"/>
      <c r="CA624" s="49"/>
      <c r="CB624" s="49">
        <v>37.21</v>
      </c>
      <c r="CC624" s="231">
        <f t="shared" si="1825"/>
        <v>41950</v>
      </c>
    </row>
    <row r="625" spans="2:81" s="3" customFormat="1" ht="15.75" thickBot="1" x14ac:dyDescent="0.3">
      <c r="B625" s="158">
        <v>42000</v>
      </c>
      <c r="C625" s="144">
        <f t="shared" si="1699"/>
        <v>65.132199999999997</v>
      </c>
      <c r="D625" s="144">
        <f t="shared" si="1802"/>
        <v>8.5732999999999997</v>
      </c>
      <c r="E625" s="144">
        <f t="shared" si="1811"/>
        <v>0</v>
      </c>
      <c r="F625" s="144">
        <f t="shared" si="1803"/>
        <v>0</v>
      </c>
      <c r="G625" s="144">
        <f t="shared" si="1812"/>
        <v>42.501800000000003</v>
      </c>
      <c r="H625" s="144">
        <f t="shared" si="1813"/>
        <v>42.501800000000003</v>
      </c>
      <c r="I625" s="144">
        <f t="shared" si="1814"/>
        <v>41.099800000000002</v>
      </c>
      <c r="J625" s="159">
        <f t="shared" si="1815"/>
        <v>41.099800000000002</v>
      </c>
      <c r="K625" s="160">
        <f t="shared" si="1816"/>
        <v>53.54</v>
      </c>
      <c r="L625" s="152">
        <f t="shared" si="1720"/>
        <v>134</v>
      </c>
      <c r="M625" s="144">
        <f t="shared" si="1721"/>
        <v>8</v>
      </c>
      <c r="N625" s="144"/>
      <c r="O625" s="144">
        <f t="shared" si="1722"/>
        <v>0</v>
      </c>
      <c r="P625" s="144">
        <f t="shared" si="1723"/>
        <v>79</v>
      </c>
      <c r="Q625" s="144">
        <f t="shared" si="1724"/>
        <v>79</v>
      </c>
      <c r="R625" s="144">
        <f t="shared" si="1725"/>
        <v>229</v>
      </c>
      <c r="S625" s="144">
        <f t="shared" si="1726"/>
        <v>229</v>
      </c>
      <c r="T625" s="144">
        <f t="shared" si="1727"/>
        <v>253</v>
      </c>
      <c r="V625" s="150">
        <f>L622+L623+L624+L625</f>
        <v>566</v>
      </c>
      <c r="W625" s="150">
        <f t="shared" ref="W625" si="1848">M622+M623+M624+M625</f>
        <v>8</v>
      </c>
      <c r="X625" s="150"/>
      <c r="Y625" s="150">
        <f t="shared" ref="Y625:AD625" si="1849">O622+O623+O624+O625</f>
        <v>0</v>
      </c>
      <c r="Z625" s="150">
        <f t="shared" si="1849"/>
        <v>316</v>
      </c>
      <c r="AA625" s="150">
        <f t="shared" si="1849"/>
        <v>316</v>
      </c>
      <c r="AB625" s="150">
        <f t="shared" si="1849"/>
        <v>916</v>
      </c>
      <c r="AC625" s="150">
        <f t="shared" si="1849"/>
        <v>916</v>
      </c>
      <c r="AD625" s="150">
        <f t="shared" si="1849"/>
        <v>842</v>
      </c>
      <c r="AF625" s="158">
        <f t="shared" si="1826"/>
        <v>42000</v>
      </c>
      <c r="AG625" s="149">
        <v>65.132199999999997</v>
      </c>
      <c r="AH625" s="149"/>
      <c r="AI625" s="149"/>
      <c r="AJ625" s="149"/>
      <c r="AK625" s="149"/>
      <c r="AL625" s="149"/>
      <c r="AM625" s="149"/>
      <c r="AN625" s="149"/>
      <c r="AO625" s="149"/>
      <c r="AP625" s="149"/>
      <c r="AQ625" s="149"/>
      <c r="AR625" s="149"/>
      <c r="AS625" s="149"/>
      <c r="AT625" s="149"/>
      <c r="AU625" s="149"/>
      <c r="AV625" s="149"/>
      <c r="AW625" s="149"/>
      <c r="AX625" s="149">
        <v>8.5732999999999997</v>
      </c>
      <c r="AY625" s="149"/>
      <c r="AZ625" s="149"/>
      <c r="BA625" s="149"/>
      <c r="BB625" s="149"/>
      <c r="BC625" s="149"/>
      <c r="BD625" s="149"/>
      <c r="BE625" s="149"/>
      <c r="BF625" s="149"/>
      <c r="BG625" s="149"/>
      <c r="BH625" s="149"/>
      <c r="BI625" s="149"/>
      <c r="BJ625" s="149"/>
      <c r="BK625" s="149"/>
      <c r="BL625" s="149"/>
      <c r="BM625" s="149"/>
      <c r="BN625" s="149">
        <v>42.501800000000003</v>
      </c>
      <c r="BO625" s="149"/>
      <c r="BP625" s="149"/>
      <c r="BQ625" s="149">
        <f t="shared" si="1744"/>
        <v>42.501800000000003</v>
      </c>
      <c r="BR625" s="149"/>
      <c r="BS625" s="149"/>
      <c r="BT625" s="149">
        <v>41.099800000000002</v>
      </c>
      <c r="BU625" s="149"/>
      <c r="BV625" s="149"/>
      <c r="BW625" s="149">
        <f>BT625</f>
        <v>41.099800000000002</v>
      </c>
      <c r="BX625" s="149"/>
      <c r="BY625" s="149"/>
      <c r="BZ625" s="149"/>
      <c r="CA625" s="149"/>
      <c r="CB625" s="149">
        <v>53.54</v>
      </c>
      <c r="CC625" s="231">
        <f t="shared" si="1825"/>
        <v>42000</v>
      </c>
    </row>
    <row r="626" spans="2:81" x14ac:dyDescent="0.25">
      <c r="B626" s="155">
        <v>42050</v>
      </c>
      <c r="C626" s="147">
        <f t="shared" si="1699"/>
        <v>54.183100000000003</v>
      </c>
      <c r="D626" s="147">
        <f t="shared" si="1802"/>
        <v>30.290800000000001</v>
      </c>
      <c r="E626" s="147">
        <f t="shared" si="1811"/>
        <v>0</v>
      </c>
      <c r="F626" s="147">
        <f t="shared" si="1803"/>
        <v>0</v>
      </c>
      <c r="G626" s="147">
        <f t="shared" si="1812"/>
        <v>42.066000000000003</v>
      </c>
      <c r="H626" s="147">
        <f t="shared" si="1813"/>
        <v>42.066000000000003</v>
      </c>
      <c r="I626" s="147">
        <f t="shared" si="1814"/>
        <v>41.103000000000002</v>
      </c>
      <c r="J626" s="156">
        <f t="shared" si="1815"/>
        <v>41.103000000000002</v>
      </c>
      <c r="K626" s="157">
        <f t="shared" si="1816"/>
        <v>49.49</v>
      </c>
      <c r="L626" s="151">
        <f t="shared" si="1720"/>
        <v>111</v>
      </c>
      <c r="M626" s="147">
        <f t="shared" si="1721"/>
        <v>36</v>
      </c>
      <c r="N626" s="147"/>
      <c r="O626" s="147">
        <f t="shared" si="1722"/>
        <v>0</v>
      </c>
      <c r="P626" s="147">
        <f t="shared" si="1723"/>
        <v>79</v>
      </c>
      <c r="Q626" s="147">
        <f t="shared" si="1724"/>
        <v>79</v>
      </c>
      <c r="R626" s="147">
        <f t="shared" si="1725"/>
        <v>229</v>
      </c>
      <c r="S626" s="147">
        <f t="shared" si="1726"/>
        <v>229</v>
      </c>
      <c r="T626" s="147">
        <f t="shared" si="1727"/>
        <v>287</v>
      </c>
      <c r="V626" s="146"/>
      <c r="W626" s="147"/>
      <c r="X626" s="147"/>
      <c r="Y626" s="147"/>
      <c r="Z626" s="147"/>
      <c r="AA626" s="147"/>
      <c r="AB626" s="147"/>
      <c r="AC626" s="147"/>
      <c r="AD626" s="148"/>
      <c r="AF626" s="155">
        <f t="shared" si="1826"/>
        <v>42050</v>
      </c>
      <c r="AG626" s="78">
        <v>54.183100000000003</v>
      </c>
      <c r="AH626" s="78"/>
      <c r="AI626" s="78"/>
      <c r="AJ626" s="78"/>
      <c r="AK626" s="78"/>
      <c r="AL626" s="78"/>
      <c r="AM626" s="78"/>
      <c r="AN626" s="78"/>
      <c r="AO626" s="78"/>
      <c r="AP626" s="78"/>
      <c r="AQ626" s="78"/>
      <c r="AR626" s="78"/>
      <c r="AS626" s="78"/>
      <c r="AT626" s="78"/>
      <c r="AU626" s="78"/>
      <c r="AV626" s="78"/>
      <c r="AW626" s="78"/>
      <c r="AX626" s="78">
        <v>30.290800000000001</v>
      </c>
      <c r="AY626" s="78"/>
      <c r="AZ626" s="78"/>
      <c r="BA626" s="78"/>
      <c r="BB626" s="78"/>
      <c r="BC626" s="78"/>
      <c r="BD626" s="78"/>
      <c r="BE626" s="78"/>
      <c r="BF626" s="78"/>
      <c r="BG626" s="78"/>
      <c r="BH626" s="78"/>
      <c r="BI626" s="78"/>
      <c r="BJ626" s="78"/>
      <c r="BK626" s="78"/>
      <c r="BL626" s="78"/>
      <c r="BM626" s="78"/>
      <c r="BN626" s="78">
        <v>42.066000000000003</v>
      </c>
      <c r="BO626" s="78"/>
      <c r="BP626" s="78"/>
      <c r="BQ626" s="78">
        <f t="shared" si="1744"/>
        <v>42.066000000000003</v>
      </c>
      <c r="BR626" s="78"/>
      <c r="BS626" s="78"/>
      <c r="BT626" s="78">
        <v>41.103000000000002</v>
      </c>
      <c r="BU626" s="78"/>
      <c r="BV626" s="78"/>
      <c r="BW626" s="49">
        <f t="shared" si="1824"/>
        <v>41.103000000000002</v>
      </c>
      <c r="BX626" s="49"/>
      <c r="BY626" s="49"/>
      <c r="BZ626" s="78"/>
      <c r="CA626" s="78"/>
      <c r="CB626" s="78">
        <v>49.49</v>
      </c>
      <c r="CC626" s="231">
        <f t="shared" si="1825"/>
        <v>42050</v>
      </c>
    </row>
    <row r="627" spans="2:81" x14ac:dyDescent="0.25">
      <c r="B627" s="57">
        <v>42100</v>
      </c>
      <c r="C627" s="58">
        <f t="shared" si="1699"/>
        <v>56.057600000000001</v>
      </c>
      <c r="D627" s="58">
        <f t="shared" si="1802"/>
        <v>20.9009</v>
      </c>
      <c r="E627" s="58">
        <f t="shared" si="1811"/>
        <v>0</v>
      </c>
      <c r="F627" s="58">
        <f t="shared" si="1803"/>
        <v>0</v>
      </c>
      <c r="G627" s="58">
        <f t="shared" si="1812"/>
        <v>41.8932</v>
      </c>
      <c r="H627" s="58">
        <f t="shared" si="1813"/>
        <v>41.8932</v>
      </c>
      <c r="I627" s="58">
        <f t="shared" si="1814"/>
        <v>41.106400000000001</v>
      </c>
      <c r="J627" s="51">
        <f t="shared" si="1815"/>
        <v>41.106400000000001</v>
      </c>
      <c r="K627" s="99">
        <f t="shared" si="1816"/>
        <v>43.4</v>
      </c>
      <c r="L627" s="105">
        <f t="shared" si="1720"/>
        <v>103</v>
      </c>
      <c r="M627" s="58">
        <f t="shared" si="1721"/>
        <v>48</v>
      </c>
      <c r="N627" s="58"/>
      <c r="O627" s="58">
        <f t="shared" si="1722"/>
        <v>0</v>
      </c>
      <c r="P627" s="58">
        <f t="shared" si="1723"/>
        <v>78</v>
      </c>
      <c r="Q627" s="58">
        <f t="shared" si="1724"/>
        <v>78</v>
      </c>
      <c r="R627" s="58">
        <f t="shared" si="1725"/>
        <v>229</v>
      </c>
      <c r="S627" s="58">
        <f t="shared" si="1726"/>
        <v>229</v>
      </c>
      <c r="T627" s="58">
        <f t="shared" si="1727"/>
        <v>259</v>
      </c>
      <c r="V627" s="137"/>
      <c r="W627" s="58"/>
      <c r="X627" s="58"/>
      <c r="Y627" s="58"/>
      <c r="Z627" s="58"/>
      <c r="AA627" s="58"/>
      <c r="AB627" s="58"/>
      <c r="AC627" s="58"/>
      <c r="AD627" s="138"/>
      <c r="AF627" s="57">
        <f t="shared" si="1826"/>
        <v>42100</v>
      </c>
      <c r="AG627" s="49">
        <v>56.057600000000001</v>
      </c>
      <c r="AH627" s="49"/>
      <c r="AI627" s="49"/>
      <c r="AJ627" s="49"/>
      <c r="AK627" s="49"/>
      <c r="AL627" s="49"/>
      <c r="AM627" s="49"/>
      <c r="AN627" s="49"/>
      <c r="AO627" s="49"/>
      <c r="AP627" s="49"/>
      <c r="AQ627" s="49"/>
      <c r="AR627" s="49"/>
      <c r="AS627" s="49"/>
      <c r="AT627" s="49"/>
      <c r="AU627" s="49"/>
      <c r="AV627" s="49"/>
      <c r="AW627" s="49"/>
      <c r="AX627" s="49">
        <v>20.9009</v>
      </c>
      <c r="AY627" s="49"/>
      <c r="AZ627" s="49"/>
      <c r="BA627" s="49"/>
      <c r="BB627" s="49"/>
      <c r="BC627" s="49"/>
      <c r="BD627" s="49"/>
      <c r="BE627" s="49"/>
      <c r="BF627" s="49"/>
      <c r="BG627" s="49"/>
      <c r="BH627" s="49"/>
      <c r="BI627" s="49"/>
      <c r="BJ627" s="49"/>
      <c r="BK627" s="49"/>
      <c r="BL627" s="49"/>
      <c r="BM627" s="49"/>
      <c r="BN627" s="49">
        <v>41.8932</v>
      </c>
      <c r="BO627" s="49"/>
      <c r="BP627" s="49"/>
      <c r="BQ627" s="49">
        <f t="shared" si="1744"/>
        <v>41.8932</v>
      </c>
      <c r="BR627" s="49"/>
      <c r="BS627" s="49"/>
      <c r="BT627" s="49">
        <v>41.106400000000001</v>
      </c>
      <c r="BU627" s="49"/>
      <c r="BV627" s="49"/>
      <c r="BW627" s="49">
        <f t="shared" si="1824"/>
        <v>41.106400000000001</v>
      </c>
      <c r="BX627" s="49"/>
      <c r="BY627" s="49"/>
      <c r="BZ627" s="49"/>
      <c r="CA627" s="49"/>
      <c r="CB627" s="49">
        <v>43.4</v>
      </c>
      <c r="CC627" s="231">
        <f t="shared" si="1825"/>
        <v>42100</v>
      </c>
    </row>
    <row r="628" spans="2:81" s="3" customFormat="1" ht="15.75" thickBot="1" x14ac:dyDescent="0.3">
      <c r="B628" s="158">
        <v>42150</v>
      </c>
      <c r="C628" s="144">
        <f t="shared" si="1699"/>
        <v>60.755200000000002</v>
      </c>
      <c r="D628" s="144">
        <f t="shared" si="1802"/>
        <v>7.3592000000000004</v>
      </c>
      <c r="E628" s="144">
        <f t="shared" si="1811"/>
        <v>0</v>
      </c>
      <c r="F628" s="144">
        <f t="shared" si="1803"/>
        <v>0</v>
      </c>
      <c r="G628" s="144">
        <f t="shared" si="1812"/>
        <v>42.039200000000001</v>
      </c>
      <c r="H628" s="144">
        <f t="shared" si="1813"/>
        <v>42.039200000000001</v>
      </c>
      <c r="I628" s="144">
        <f t="shared" si="1814"/>
        <v>41.107100000000003</v>
      </c>
      <c r="J628" s="159">
        <f t="shared" si="1815"/>
        <v>41.107100000000003</v>
      </c>
      <c r="K628" s="160">
        <f t="shared" si="1816"/>
        <v>30.16</v>
      </c>
      <c r="L628" s="152">
        <f t="shared" si="1720"/>
        <v>109</v>
      </c>
      <c r="M628" s="144">
        <f t="shared" si="1721"/>
        <v>27</v>
      </c>
      <c r="N628" s="144"/>
      <c r="O628" s="144">
        <f t="shared" si="1722"/>
        <v>0</v>
      </c>
      <c r="P628" s="144">
        <f t="shared" si="1723"/>
        <v>78</v>
      </c>
      <c r="Q628" s="144">
        <f t="shared" si="1724"/>
        <v>78</v>
      </c>
      <c r="R628" s="144">
        <f t="shared" si="1725"/>
        <v>229</v>
      </c>
      <c r="S628" s="144">
        <f t="shared" si="1726"/>
        <v>229</v>
      </c>
      <c r="T628" s="144">
        <f t="shared" si="1727"/>
        <v>205</v>
      </c>
      <c r="V628" s="150">
        <f>L626+L627+L628</f>
        <v>323</v>
      </c>
      <c r="W628" s="150">
        <f t="shared" ref="W628" si="1850">M626+M627+M628</f>
        <v>111</v>
      </c>
      <c r="X628" s="150"/>
      <c r="Y628" s="150">
        <f t="shared" ref="Y628" si="1851">O626+O627+O628</f>
        <v>0</v>
      </c>
      <c r="Z628" s="150">
        <f t="shared" ref="Z628" si="1852">P626+P627+P628</f>
        <v>235</v>
      </c>
      <c r="AA628" s="150">
        <f t="shared" ref="AA628" si="1853">Q626+Q627+Q628</f>
        <v>235</v>
      </c>
      <c r="AB628" s="150">
        <f t="shared" ref="AB628" si="1854">R626+R627+R628</f>
        <v>687</v>
      </c>
      <c r="AC628" s="150">
        <f t="shared" ref="AC628" si="1855">S626+S627+S628</f>
        <v>687</v>
      </c>
      <c r="AD628" s="150">
        <f t="shared" ref="AD628" si="1856">T626+T627+T628</f>
        <v>751</v>
      </c>
      <c r="AF628" s="158">
        <f t="shared" si="1826"/>
        <v>42150</v>
      </c>
      <c r="AG628" s="149">
        <v>60.755200000000002</v>
      </c>
      <c r="AH628" s="149"/>
      <c r="AI628" s="149"/>
      <c r="AJ628" s="149"/>
      <c r="AK628" s="149"/>
      <c r="AL628" s="149"/>
      <c r="AM628" s="149"/>
      <c r="AN628" s="149"/>
      <c r="AO628" s="149"/>
      <c r="AP628" s="149"/>
      <c r="AQ628" s="149"/>
      <c r="AR628" s="149"/>
      <c r="AS628" s="149"/>
      <c r="AT628" s="149"/>
      <c r="AU628" s="149"/>
      <c r="AV628" s="149"/>
      <c r="AW628" s="149"/>
      <c r="AX628" s="149">
        <v>7.3592000000000004</v>
      </c>
      <c r="AY628" s="149"/>
      <c r="AZ628" s="149"/>
      <c r="BA628" s="149"/>
      <c r="BB628" s="149"/>
      <c r="BC628" s="149"/>
      <c r="BD628" s="149"/>
      <c r="BE628" s="149"/>
      <c r="BF628" s="149"/>
      <c r="BG628" s="149"/>
      <c r="BH628" s="149"/>
      <c r="BI628" s="149"/>
      <c r="BJ628" s="149"/>
      <c r="BK628" s="149"/>
      <c r="BL628" s="149"/>
      <c r="BM628" s="149"/>
      <c r="BN628" s="149">
        <v>42.039200000000001</v>
      </c>
      <c r="BO628" s="149"/>
      <c r="BP628" s="149"/>
      <c r="BQ628" s="149">
        <f t="shared" si="1744"/>
        <v>42.039200000000001</v>
      </c>
      <c r="BR628" s="149"/>
      <c r="BS628" s="149"/>
      <c r="BT628" s="149">
        <v>41.107100000000003</v>
      </c>
      <c r="BU628" s="149"/>
      <c r="BV628" s="149"/>
      <c r="BW628" s="149">
        <f>BT628</f>
        <v>41.107100000000003</v>
      </c>
      <c r="BX628" s="149"/>
      <c r="BY628" s="149"/>
      <c r="BZ628" s="149"/>
      <c r="CA628" s="149"/>
      <c r="CB628" s="149">
        <v>30.16</v>
      </c>
      <c r="CC628" s="231">
        <f t="shared" si="1825"/>
        <v>42150</v>
      </c>
    </row>
    <row r="629" spans="2:81" x14ac:dyDescent="0.25">
      <c r="B629" s="155">
        <v>42200</v>
      </c>
      <c r="C629" s="147">
        <f t="shared" si="1699"/>
        <v>78.164500000000004</v>
      </c>
      <c r="D629" s="147">
        <f t="shared" si="1802"/>
        <v>1.1871</v>
      </c>
      <c r="E629" s="147">
        <f t="shared" si="1811"/>
        <v>0</v>
      </c>
      <c r="F629" s="147">
        <f t="shared" si="1803"/>
        <v>0</v>
      </c>
      <c r="G629" s="147">
        <f t="shared" si="1812"/>
        <v>42.371600000000001</v>
      </c>
      <c r="H629" s="147">
        <f t="shared" si="1813"/>
        <v>42.371600000000001</v>
      </c>
      <c r="I629" s="147">
        <f t="shared" si="1814"/>
        <v>41.101100000000002</v>
      </c>
      <c r="J629" s="156">
        <f t="shared" si="1815"/>
        <v>41.101100000000002</v>
      </c>
      <c r="K629" s="157">
        <f t="shared" si="1816"/>
        <v>24.12</v>
      </c>
      <c r="L629" s="151">
        <f t="shared" si="1720"/>
        <v>129</v>
      </c>
      <c r="M629" s="147">
        <f t="shared" si="1721"/>
        <v>8</v>
      </c>
      <c r="N629" s="147"/>
      <c r="O629" s="147">
        <f t="shared" si="1722"/>
        <v>0</v>
      </c>
      <c r="P629" s="147">
        <f t="shared" si="1723"/>
        <v>79</v>
      </c>
      <c r="Q629" s="147">
        <f t="shared" si="1724"/>
        <v>79</v>
      </c>
      <c r="R629" s="147">
        <f t="shared" si="1725"/>
        <v>229</v>
      </c>
      <c r="S629" s="147">
        <f t="shared" si="1726"/>
        <v>229</v>
      </c>
      <c r="T629" s="147">
        <f t="shared" si="1727"/>
        <v>151</v>
      </c>
      <c r="V629" s="146"/>
      <c r="W629" s="147"/>
      <c r="X629" s="147"/>
      <c r="Y629" s="147"/>
      <c r="Z629" s="147"/>
      <c r="AA629" s="147"/>
      <c r="AB629" s="147"/>
      <c r="AC629" s="147"/>
      <c r="AD629" s="148"/>
      <c r="AF629" s="155">
        <f t="shared" si="1826"/>
        <v>42200</v>
      </c>
      <c r="AG629" s="78">
        <v>78.164500000000004</v>
      </c>
      <c r="AH629" s="78"/>
      <c r="AI629" s="78"/>
      <c r="AJ629" s="78"/>
      <c r="AK629" s="78"/>
      <c r="AL629" s="78"/>
      <c r="AM629" s="78"/>
      <c r="AN629" s="78"/>
      <c r="AO629" s="78"/>
      <c r="AP629" s="78"/>
      <c r="AQ629" s="78"/>
      <c r="AR629" s="78"/>
      <c r="AS629" s="78"/>
      <c r="AT629" s="78"/>
      <c r="AU629" s="78"/>
      <c r="AV629" s="78"/>
      <c r="AW629" s="78"/>
      <c r="AX629" s="78">
        <v>1.1871</v>
      </c>
      <c r="AY629" s="78"/>
      <c r="AZ629" s="78"/>
      <c r="BA629" s="78"/>
      <c r="BB629" s="78"/>
      <c r="BC629" s="78"/>
      <c r="BD629" s="78"/>
      <c r="BE629" s="78"/>
      <c r="BF629" s="78"/>
      <c r="BG629" s="78"/>
      <c r="BH629" s="78"/>
      <c r="BI629" s="78"/>
      <c r="BJ629" s="78"/>
      <c r="BK629" s="78"/>
      <c r="BL629" s="78"/>
      <c r="BM629" s="78"/>
      <c r="BN629" s="78">
        <v>42.371600000000001</v>
      </c>
      <c r="BO629" s="78"/>
      <c r="BP629" s="78"/>
      <c r="BQ629" s="78">
        <f t="shared" si="1744"/>
        <v>42.371600000000001</v>
      </c>
      <c r="BR629" s="78"/>
      <c r="BS629" s="78"/>
      <c r="BT629" s="78">
        <v>41.101100000000002</v>
      </c>
      <c r="BU629" s="78"/>
      <c r="BV629" s="78"/>
      <c r="BW629" s="49">
        <f t="shared" si="1824"/>
        <v>41.101100000000002</v>
      </c>
      <c r="BX629" s="49"/>
      <c r="BY629" s="49"/>
      <c r="BZ629" s="78"/>
      <c r="CA629" s="78"/>
      <c r="CB629" s="78">
        <v>24.12</v>
      </c>
      <c r="CC629" s="231">
        <f t="shared" si="1825"/>
        <v>42200</v>
      </c>
    </row>
    <row r="630" spans="2:81" x14ac:dyDescent="0.25">
      <c r="B630" s="57">
        <v>42250</v>
      </c>
      <c r="C630" s="58">
        <f t="shared" si="1699"/>
        <v>80.061999999999998</v>
      </c>
      <c r="D630" s="58">
        <f t="shared" si="1802"/>
        <v>5.7599999999999998E-2</v>
      </c>
      <c r="E630" s="58">
        <f t="shared" si="1811"/>
        <v>0</v>
      </c>
      <c r="F630" s="58">
        <f t="shared" si="1803"/>
        <v>0</v>
      </c>
      <c r="G630" s="58">
        <f t="shared" si="1812"/>
        <v>42.492699999999999</v>
      </c>
      <c r="H630" s="58">
        <f t="shared" si="1813"/>
        <v>42.492699999999999</v>
      </c>
      <c r="I630" s="58">
        <f t="shared" si="1814"/>
        <v>41.088900000000002</v>
      </c>
      <c r="J630" s="51">
        <f t="shared" si="1815"/>
        <v>41.088900000000002</v>
      </c>
      <c r="K630" s="99">
        <f t="shared" si="1816"/>
        <v>20.399999999999999</v>
      </c>
      <c r="L630" s="105">
        <f t="shared" si="1720"/>
        <v>147</v>
      </c>
      <c r="M630" s="58">
        <f t="shared" si="1721"/>
        <v>2</v>
      </c>
      <c r="N630" s="58"/>
      <c r="O630" s="58">
        <f t="shared" si="1722"/>
        <v>0</v>
      </c>
      <c r="P630" s="58">
        <f t="shared" si="1723"/>
        <v>79</v>
      </c>
      <c r="Q630" s="58">
        <f t="shared" si="1724"/>
        <v>79</v>
      </c>
      <c r="R630" s="58">
        <f t="shared" si="1725"/>
        <v>229</v>
      </c>
      <c r="S630" s="58">
        <f t="shared" si="1726"/>
        <v>229</v>
      </c>
      <c r="T630" s="58">
        <f t="shared" si="1727"/>
        <v>124</v>
      </c>
      <c r="V630" s="137"/>
      <c r="W630" s="58"/>
      <c r="X630" s="58"/>
      <c r="Y630" s="58"/>
      <c r="Z630" s="58"/>
      <c r="AA630" s="58"/>
      <c r="AB630" s="58"/>
      <c r="AC630" s="58"/>
      <c r="AD630" s="138"/>
      <c r="AF630" s="57">
        <f t="shared" si="1826"/>
        <v>42250</v>
      </c>
      <c r="AG630" s="49">
        <v>80.061999999999998</v>
      </c>
      <c r="AH630" s="49"/>
      <c r="AI630" s="49"/>
      <c r="AJ630" s="49"/>
      <c r="AK630" s="49"/>
      <c r="AL630" s="49"/>
      <c r="AM630" s="49"/>
      <c r="AN630" s="49"/>
      <c r="AO630" s="49"/>
      <c r="AP630" s="49"/>
      <c r="AQ630" s="49"/>
      <c r="AR630" s="49"/>
      <c r="AS630" s="49"/>
      <c r="AT630" s="49"/>
      <c r="AU630" s="49"/>
      <c r="AV630" s="49"/>
      <c r="AW630" s="49"/>
      <c r="AX630" s="49">
        <v>5.7599999999999998E-2</v>
      </c>
      <c r="AY630" s="49"/>
      <c r="AZ630" s="49"/>
      <c r="BA630" s="49"/>
      <c r="BB630" s="49"/>
      <c r="BC630" s="49"/>
      <c r="BD630" s="49"/>
      <c r="BE630" s="49"/>
      <c r="BF630" s="49"/>
      <c r="BG630" s="49"/>
      <c r="BH630" s="49"/>
      <c r="BI630" s="49"/>
      <c r="BJ630" s="49"/>
      <c r="BK630" s="49"/>
      <c r="BL630" s="49"/>
      <c r="BM630" s="49"/>
      <c r="BN630" s="49">
        <v>42.492699999999999</v>
      </c>
      <c r="BO630" s="49"/>
      <c r="BP630" s="49"/>
      <c r="BQ630" s="49">
        <f t="shared" si="1744"/>
        <v>42.492699999999999</v>
      </c>
      <c r="BR630" s="49"/>
      <c r="BS630" s="49"/>
      <c r="BT630" s="49">
        <v>41.088900000000002</v>
      </c>
      <c r="BU630" s="49"/>
      <c r="BV630" s="49"/>
      <c r="BW630" s="49">
        <f t="shared" si="1824"/>
        <v>41.088900000000002</v>
      </c>
      <c r="BX630" s="49"/>
      <c r="BY630" s="49"/>
      <c r="BZ630" s="49"/>
      <c r="CA630" s="49"/>
      <c r="CB630" s="49">
        <v>20.399999999999999</v>
      </c>
      <c r="CC630" s="231">
        <f t="shared" si="1825"/>
        <v>42250</v>
      </c>
    </row>
    <row r="631" spans="2:81" s="3" customFormat="1" ht="15.75" thickBot="1" x14ac:dyDescent="0.3">
      <c r="B631" s="158">
        <v>42300</v>
      </c>
      <c r="C631" s="144">
        <f t="shared" si="1699"/>
        <v>83.9358</v>
      </c>
      <c r="D631" s="144">
        <f t="shared" si="1802"/>
        <v>0.72870000000000001</v>
      </c>
      <c r="E631" s="144">
        <f t="shared" si="1811"/>
        <v>0</v>
      </c>
      <c r="F631" s="144">
        <f t="shared" si="1803"/>
        <v>0</v>
      </c>
      <c r="G631" s="144">
        <f t="shared" si="1812"/>
        <v>42.470799999999997</v>
      </c>
      <c r="H631" s="144">
        <f t="shared" si="1813"/>
        <v>42.470799999999997</v>
      </c>
      <c r="I631" s="144">
        <f t="shared" si="1814"/>
        <v>41.072600000000001</v>
      </c>
      <c r="J631" s="159">
        <f t="shared" si="1815"/>
        <v>41.072600000000001</v>
      </c>
      <c r="K631" s="160">
        <f t="shared" si="1816"/>
        <v>21.7</v>
      </c>
      <c r="L631" s="152">
        <f t="shared" si="1720"/>
        <v>152</v>
      </c>
      <c r="M631" s="144">
        <f t="shared" si="1721"/>
        <v>1</v>
      </c>
      <c r="N631" s="144"/>
      <c r="O631" s="144">
        <f t="shared" si="1722"/>
        <v>0</v>
      </c>
      <c r="P631" s="144">
        <f t="shared" si="1723"/>
        <v>79</v>
      </c>
      <c r="Q631" s="144">
        <f t="shared" si="1724"/>
        <v>79</v>
      </c>
      <c r="R631" s="144">
        <f t="shared" si="1725"/>
        <v>229</v>
      </c>
      <c r="S631" s="144">
        <f t="shared" si="1726"/>
        <v>229</v>
      </c>
      <c r="T631" s="144">
        <f t="shared" si="1727"/>
        <v>117</v>
      </c>
      <c r="V631" s="150">
        <f>L629+L630+L631</f>
        <v>428</v>
      </c>
      <c r="W631" s="150">
        <f t="shared" ref="W631" si="1857">M629+M630+M631</f>
        <v>11</v>
      </c>
      <c r="X631" s="150"/>
      <c r="Y631" s="150">
        <f t="shared" ref="Y631" si="1858">O629+O630+O631</f>
        <v>0</v>
      </c>
      <c r="Z631" s="150">
        <f t="shared" ref="Z631" si="1859">P629+P630+P631</f>
        <v>237</v>
      </c>
      <c r="AA631" s="150">
        <f t="shared" ref="AA631" si="1860">Q629+Q630+Q631</f>
        <v>237</v>
      </c>
      <c r="AB631" s="150">
        <f t="shared" ref="AB631" si="1861">R629+R630+R631</f>
        <v>687</v>
      </c>
      <c r="AC631" s="150">
        <f t="shared" ref="AC631" si="1862">S629+S630+S631</f>
        <v>687</v>
      </c>
      <c r="AD631" s="150">
        <f t="shared" ref="AD631" si="1863">T629+T630+T631</f>
        <v>392</v>
      </c>
      <c r="AF631" s="158">
        <f t="shared" si="1826"/>
        <v>42300</v>
      </c>
      <c r="AG631" s="149">
        <v>83.9358</v>
      </c>
      <c r="AH631" s="149"/>
      <c r="AI631" s="149"/>
      <c r="AJ631" s="149"/>
      <c r="AK631" s="149"/>
      <c r="AL631" s="149"/>
      <c r="AM631" s="149"/>
      <c r="AN631" s="149"/>
      <c r="AO631" s="149"/>
      <c r="AP631" s="149"/>
      <c r="AQ631" s="149"/>
      <c r="AR631" s="149"/>
      <c r="AS631" s="149"/>
      <c r="AT631" s="149"/>
      <c r="AU631" s="149"/>
      <c r="AV631" s="149"/>
      <c r="AW631" s="149"/>
      <c r="AX631" s="149">
        <v>0.72870000000000001</v>
      </c>
      <c r="AY631" s="149"/>
      <c r="AZ631" s="149"/>
      <c r="BA631" s="149"/>
      <c r="BB631" s="149"/>
      <c r="BC631" s="149"/>
      <c r="BD631" s="149"/>
      <c r="BE631" s="149"/>
      <c r="BF631" s="149"/>
      <c r="BG631" s="149"/>
      <c r="BH631" s="149"/>
      <c r="BI631" s="149"/>
      <c r="BJ631" s="149"/>
      <c r="BK631" s="149"/>
      <c r="BL631" s="149"/>
      <c r="BM631" s="149"/>
      <c r="BN631" s="149">
        <v>42.470799999999997</v>
      </c>
      <c r="BO631" s="149"/>
      <c r="BP631" s="149"/>
      <c r="BQ631" s="149">
        <f t="shared" si="1744"/>
        <v>42.470799999999997</v>
      </c>
      <c r="BR631" s="149"/>
      <c r="BS631" s="149"/>
      <c r="BT631" s="149">
        <v>41.072600000000001</v>
      </c>
      <c r="BU631" s="149"/>
      <c r="BV631" s="149"/>
      <c r="BW631" s="149">
        <f>BT631</f>
        <v>41.072600000000001</v>
      </c>
      <c r="BX631" s="149"/>
      <c r="BY631" s="149"/>
      <c r="BZ631" s="149"/>
      <c r="CA631" s="149"/>
      <c r="CB631" s="149">
        <v>21.7</v>
      </c>
      <c r="CC631" s="231">
        <f t="shared" si="1825"/>
        <v>42300</v>
      </c>
    </row>
    <row r="632" spans="2:81" x14ac:dyDescent="0.25">
      <c r="B632" s="155">
        <v>42350</v>
      </c>
      <c r="C632" s="147">
        <f t="shared" si="1699"/>
        <v>75.946799999999996</v>
      </c>
      <c r="D632" s="147">
        <f t="shared" si="1802"/>
        <v>2.4098999999999999</v>
      </c>
      <c r="E632" s="147">
        <f t="shared" si="1811"/>
        <v>0</v>
      </c>
      <c r="F632" s="147">
        <f t="shared" si="1803"/>
        <v>0</v>
      </c>
      <c r="G632" s="147">
        <f t="shared" si="1812"/>
        <v>42.206499999999998</v>
      </c>
      <c r="H632" s="147">
        <f t="shared" si="1813"/>
        <v>42.206499999999998</v>
      </c>
      <c r="I632" s="147">
        <f t="shared" si="1814"/>
        <v>41.054900000000004</v>
      </c>
      <c r="J632" s="156">
        <f t="shared" si="1815"/>
        <v>41.054900000000004</v>
      </c>
      <c r="K632" s="157">
        <f t="shared" si="1816"/>
        <v>22.28</v>
      </c>
      <c r="L632" s="151">
        <f t="shared" si="1720"/>
        <v>149</v>
      </c>
      <c r="M632" s="147">
        <f t="shared" si="1721"/>
        <v>3</v>
      </c>
      <c r="N632" s="147"/>
      <c r="O632" s="147">
        <f t="shared" si="1722"/>
        <v>0</v>
      </c>
      <c r="P632" s="147">
        <f t="shared" si="1723"/>
        <v>79</v>
      </c>
      <c r="Q632" s="147">
        <f t="shared" si="1724"/>
        <v>79</v>
      </c>
      <c r="R632" s="147">
        <f t="shared" si="1725"/>
        <v>229</v>
      </c>
      <c r="S632" s="147">
        <f t="shared" si="1726"/>
        <v>229</v>
      </c>
      <c r="T632" s="147">
        <f t="shared" si="1727"/>
        <v>123</v>
      </c>
      <c r="V632" s="146"/>
      <c r="W632" s="147"/>
      <c r="X632" s="147"/>
      <c r="Y632" s="147"/>
      <c r="Z632" s="147"/>
      <c r="AA632" s="147"/>
      <c r="AB632" s="147"/>
      <c r="AC632" s="147"/>
      <c r="AD632" s="148"/>
      <c r="AF632" s="155">
        <f t="shared" si="1826"/>
        <v>42350</v>
      </c>
      <c r="AG632" s="78">
        <v>75.946799999999996</v>
      </c>
      <c r="AH632" s="78"/>
      <c r="AI632" s="78"/>
      <c r="AJ632" s="78"/>
      <c r="AK632" s="78"/>
      <c r="AL632" s="78"/>
      <c r="AM632" s="78"/>
      <c r="AN632" s="78"/>
      <c r="AO632" s="78"/>
      <c r="AP632" s="78"/>
      <c r="AQ632" s="78"/>
      <c r="AR632" s="78"/>
      <c r="AS632" s="78"/>
      <c r="AT632" s="78"/>
      <c r="AU632" s="78"/>
      <c r="AV632" s="78"/>
      <c r="AW632" s="78"/>
      <c r="AX632" s="78">
        <v>2.4098999999999999</v>
      </c>
      <c r="AY632" s="78"/>
      <c r="AZ632" s="78"/>
      <c r="BA632" s="78"/>
      <c r="BB632" s="78"/>
      <c r="BC632" s="78"/>
      <c r="BD632" s="78"/>
      <c r="BE632" s="78"/>
      <c r="BF632" s="78"/>
      <c r="BG632" s="78"/>
      <c r="BH632" s="78"/>
      <c r="BI632" s="78"/>
      <c r="BJ632" s="78"/>
      <c r="BK632" s="78"/>
      <c r="BL632" s="78"/>
      <c r="BM632" s="78"/>
      <c r="BN632" s="78">
        <v>42.206499999999998</v>
      </c>
      <c r="BO632" s="78"/>
      <c r="BP632" s="78"/>
      <c r="BQ632" s="78">
        <f t="shared" si="1744"/>
        <v>42.206499999999998</v>
      </c>
      <c r="BR632" s="78"/>
      <c r="BS632" s="78"/>
      <c r="BT632" s="78">
        <v>41.054900000000004</v>
      </c>
      <c r="BU632" s="78"/>
      <c r="BV632" s="78"/>
      <c r="BW632" s="49">
        <f t="shared" si="1824"/>
        <v>41.054900000000004</v>
      </c>
      <c r="BX632" s="49"/>
      <c r="BY632" s="49"/>
      <c r="BZ632" s="78"/>
      <c r="CA632" s="78"/>
      <c r="CB632" s="78">
        <v>22.28</v>
      </c>
      <c r="CC632" s="231">
        <f t="shared" si="1825"/>
        <v>42350</v>
      </c>
    </row>
    <row r="633" spans="2:81" x14ac:dyDescent="0.25">
      <c r="B633" s="57">
        <v>42400</v>
      </c>
      <c r="C633" s="58">
        <f t="shared" ref="C633:C660" si="1864">AG633+AH633+AI633+AJ633+AK633+AL633+AM633+AN633+AO633+AP633+AQ633+AR633+AS633+AT633+AU633+AV633+AW633</f>
        <v>79.258899999999997</v>
      </c>
      <c r="D633" s="58">
        <f t="shared" si="1802"/>
        <v>1.6648000000000001</v>
      </c>
      <c r="E633" s="58">
        <f t="shared" si="1811"/>
        <v>0</v>
      </c>
      <c r="F633" s="58">
        <f t="shared" si="1803"/>
        <v>0</v>
      </c>
      <c r="G633" s="58">
        <f t="shared" si="1812"/>
        <v>42.365499999999997</v>
      </c>
      <c r="H633" s="58">
        <f t="shared" si="1813"/>
        <v>42.365499999999997</v>
      </c>
      <c r="I633" s="58">
        <f t="shared" si="1814"/>
        <v>41.040300000000002</v>
      </c>
      <c r="J633" s="51">
        <f t="shared" si="1815"/>
        <v>41.040300000000002</v>
      </c>
      <c r="K633" s="99">
        <f t="shared" si="1816"/>
        <v>24.44</v>
      </c>
      <c r="L633" s="105">
        <f t="shared" si="1720"/>
        <v>144</v>
      </c>
      <c r="M633" s="58">
        <f t="shared" si="1721"/>
        <v>4</v>
      </c>
      <c r="N633" s="58"/>
      <c r="O633" s="58">
        <f t="shared" si="1722"/>
        <v>0</v>
      </c>
      <c r="P633" s="58">
        <f t="shared" si="1723"/>
        <v>79</v>
      </c>
      <c r="Q633" s="58">
        <f t="shared" si="1724"/>
        <v>79</v>
      </c>
      <c r="R633" s="58">
        <f t="shared" si="1725"/>
        <v>229</v>
      </c>
      <c r="S633" s="58">
        <f t="shared" si="1726"/>
        <v>229</v>
      </c>
      <c r="T633" s="58">
        <f t="shared" si="1727"/>
        <v>130</v>
      </c>
      <c r="V633" s="137"/>
      <c r="W633" s="58"/>
      <c r="X633" s="58"/>
      <c r="Y633" s="58"/>
      <c r="Z633" s="58"/>
      <c r="AA633" s="58"/>
      <c r="AB633" s="58"/>
      <c r="AC633" s="58"/>
      <c r="AD633" s="138"/>
      <c r="AF633" s="57">
        <f t="shared" si="1826"/>
        <v>42400</v>
      </c>
      <c r="AG633" s="49">
        <v>79.258899999999997</v>
      </c>
      <c r="AH633" s="49"/>
      <c r="AI633" s="49"/>
      <c r="AJ633" s="49"/>
      <c r="AK633" s="49"/>
      <c r="AL633" s="49"/>
      <c r="AM633" s="49"/>
      <c r="AN633" s="49"/>
      <c r="AO633" s="49"/>
      <c r="AP633" s="49"/>
      <c r="AQ633" s="49"/>
      <c r="AR633" s="49"/>
      <c r="AS633" s="49"/>
      <c r="AT633" s="49"/>
      <c r="AU633" s="49"/>
      <c r="AV633" s="49"/>
      <c r="AW633" s="49"/>
      <c r="AX633" s="49">
        <v>0.69879999999999998</v>
      </c>
      <c r="AY633" s="49">
        <v>0.96599999999999997</v>
      </c>
      <c r="AZ633" s="49"/>
      <c r="BA633" s="49"/>
      <c r="BB633" s="49"/>
      <c r="BC633" s="49"/>
      <c r="BD633" s="49"/>
      <c r="BE633" s="49"/>
      <c r="BF633" s="49"/>
      <c r="BG633" s="49"/>
      <c r="BH633" s="49"/>
      <c r="BI633" s="49"/>
      <c r="BJ633" s="49"/>
      <c r="BK633" s="49"/>
      <c r="BL633" s="49"/>
      <c r="BM633" s="49"/>
      <c r="BN633" s="49">
        <v>42.365499999999997</v>
      </c>
      <c r="BO633" s="49"/>
      <c r="BP633" s="49"/>
      <c r="BQ633" s="49">
        <f t="shared" si="1744"/>
        <v>42.365499999999997</v>
      </c>
      <c r="BR633" s="49"/>
      <c r="BS633" s="49"/>
      <c r="BT633" s="49">
        <v>41.040300000000002</v>
      </c>
      <c r="BU633" s="49"/>
      <c r="BV633" s="49"/>
      <c r="BW633" s="49">
        <f t="shared" si="1824"/>
        <v>41.040300000000002</v>
      </c>
      <c r="BX633" s="49"/>
      <c r="BY633" s="49"/>
      <c r="BZ633" s="49"/>
      <c r="CA633" s="49"/>
      <c r="CB633" s="49">
        <v>24.44</v>
      </c>
      <c r="CC633" s="231">
        <f t="shared" si="1825"/>
        <v>42400</v>
      </c>
    </row>
    <row r="634" spans="2:81" s="3" customFormat="1" ht="15.75" thickBot="1" x14ac:dyDescent="0.3">
      <c r="B634" s="158">
        <v>42450</v>
      </c>
      <c r="C634" s="144">
        <f t="shared" si="1864"/>
        <v>106.2696</v>
      </c>
      <c r="D634" s="144">
        <f t="shared" si="1802"/>
        <v>1.8269</v>
      </c>
      <c r="E634" s="144">
        <f t="shared" si="1811"/>
        <v>0</v>
      </c>
      <c r="F634" s="144">
        <f t="shared" si="1803"/>
        <v>0</v>
      </c>
      <c r="G634" s="144">
        <f t="shared" si="1812"/>
        <v>42.434699999999999</v>
      </c>
      <c r="H634" s="144">
        <f t="shared" si="1813"/>
        <v>42.434699999999999</v>
      </c>
      <c r="I634" s="144">
        <f t="shared" si="1814"/>
        <v>41.024999999999999</v>
      </c>
      <c r="J634" s="159">
        <f t="shared" si="1815"/>
        <v>41.024999999999999</v>
      </c>
      <c r="K634" s="160">
        <f t="shared" si="1816"/>
        <v>44.29</v>
      </c>
      <c r="L634" s="152">
        <f t="shared" si="1720"/>
        <v>172</v>
      </c>
      <c r="M634" s="144">
        <f t="shared" si="1721"/>
        <v>4</v>
      </c>
      <c r="N634" s="144"/>
      <c r="O634" s="144">
        <f t="shared" si="1722"/>
        <v>0</v>
      </c>
      <c r="P634" s="144">
        <f t="shared" si="1723"/>
        <v>79</v>
      </c>
      <c r="Q634" s="144">
        <f t="shared" si="1724"/>
        <v>79</v>
      </c>
      <c r="R634" s="144">
        <f t="shared" si="1725"/>
        <v>228</v>
      </c>
      <c r="S634" s="144">
        <f t="shared" si="1726"/>
        <v>228</v>
      </c>
      <c r="T634" s="144">
        <f t="shared" si="1727"/>
        <v>191</v>
      </c>
      <c r="V634" s="150">
        <f>L632+L633+L634</f>
        <v>465</v>
      </c>
      <c r="W634" s="150">
        <f t="shared" ref="W634" si="1865">M632+M633+M634</f>
        <v>11</v>
      </c>
      <c r="X634" s="150"/>
      <c r="Y634" s="150">
        <f t="shared" ref="Y634" si="1866">O632+O633+O634</f>
        <v>0</v>
      </c>
      <c r="Z634" s="150">
        <f t="shared" ref="Z634" si="1867">P632+P633+P634</f>
        <v>237</v>
      </c>
      <c r="AA634" s="150">
        <f t="shared" ref="AA634" si="1868">Q632+Q633+Q634</f>
        <v>237</v>
      </c>
      <c r="AB634" s="150">
        <f t="shared" ref="AB634" si="1869">R632+R633+R634</f>
        <v>686</v>
      </c>
      <c r="AC634" s="150">
        <f t="shared" ref="AC634" si="1870">S632+S633+S634</f>
        <v>686</v>
      </c>
      <c r="AD634" s="150">
        <f t="shared" ref="AD634" si="1871">T632+T633+T634</f>
        <v>444</v>
      </c>
      <c r="AF634" s="158">
        <f t="shared" si="1826"/>
        <v>42450</v>
      </c>
      <c r="AG634" s="149">
        <v>106.2696</v>
      </c>
      <c r="AH634" s="149"/>
      <c r="AI634" s="149"/>
      <c r="AJ634" s="149"/>
      <c r="AK634" s="149"/>
      <c r="AL634" s="149"/>
      <c r="AM634" s="149"/>
      <c r="AN634" s="149"/>
      <c r="AO634" s="149"/>
      <c r="AP634" s="149"/>
      <c r="AQ634" s="149"/>
      <c r="AR634" s="149"/>
      <c r="AS634" s="149"/>
      <c r="AT634" s="149"/>
      <c r="AU634" s="149"/>
      <c r="AV634" s="149"/>
      <c r="AW634" s="149"/>
      <c r="AX634" s="149">
        <v>1.8269</v>
      </c>
      <c r="AY634" s="149"/>
      <c r="AZ634" s="149"/>
      <c r="BA634" s="149"/>
      <c r="BB634" s="149"/>
      <c r="BC634" s="149"/>
      <c r="BD634" s="149"/>
      <c r="BE634" s="149"/>
      <c r="BF634" s="149"/>
      <c r="BG634" s="149"/>
      <c r="BH634" s="149"/>
      <c r="BI634" s="149"/>
      <c r="BJ634" s="149"/>
      <c r="BK634" s="149"/>
      <c r="BL634" s="149"/>
      <c r="BM634" s="149"/>
      <c r="BN634" s="149">
        <v>42.434699999999999</v>
      </c>
      <c r="BO634" s="149"/>
      <c r="BP634" s="149"/>
      <c r="BQ634" s="149">
        <f t="shared" si="1744"/>
        <v>42.434699999999999</v>
      </c>
      <c r="BR634" s="149"/>
      <c r="BS634" s="149"/>
      <c r="BT634" s="149">
        <v>41.024999999999999</v>
      </c>
      <c r="BU634" s="149"/>
      <c r="BV634" s="149"/>
      <c r="BW634" s="149">
        <f>BT634</f>
        <v>41.024999999999999</v>
      </c>
      <c r="BX634" s="149"/>
      <c r="BY634" s="149"/>
      <c r="BZ634" s="149"/>
      <c r="CA634" s="149"/>
      <c r="CB634" s="149">
        <v>44.29</v>
      </c>
      <c r="CC634" s="231">
        <f t="shared" si="1825"/>
        <v>42450</v>
      </c>
    </row>
    <row r="635" spans="2:81" x14ac:dyDescent="0.25">
      <c r="B635" s="155">
        <v>42500</v>
      </c>
      <c r="C635" s="147">
        <f t="shared" si="1864"/>
        <v>92.632300000000001</v>
      </c>
      <c r="D635" s="147">
        <f t="shared" si="1802"/>
        <v>0.76770000000000005</v>
      </c>
      <c r="E635" s="147">
        <f t="shared" si="1811"/>
        <v>0</v>
      </c>
      <c r="F635" s="147">
        <f t="shared" si="1803"/>
        <v>0</v>
      </c>
      <c r="G635" s="147">
        <f t="shared" si="1812"/>
        <v>42.432099999999998</v>
      </c>
      <c r="H635" s="147">
        <f t="shared" si="1813"/>
        <v>42.432099999999998</v>
      </c>
      <c r="I635" s="147">
        <f t="shared" si="1814"/>
        <v>41.017299999999999</v>
      </c>
      <c r="J635" s="156">
        <f t="shared" si="1815"/>
        <v>41.017299999999999</v>
      </c>
      <c r="K635" s="157">
        <f t="shared" si="1816"/>
        <v>43.31</v>
      </c>
      <c r="L635" s="151">
        <f t="shared" si="1720"/>
        <v>185</v>
      </c>
      <c r="M635" s="147">
        <f t="shared" si="1721"/>
        <v>3</v>
      </c>
      <c r="N635" s="147"/>
      <c r="O635" s="147">
        <f t="shared" si="1722"/>
        <v>0</v>
      </c>
      <c r="P635" s="147">
        <f t="shared" si="1723"/>
        <v>79</v>
      </c>
      <c r="Q635" s="147">
        <f t="shared" si="1724"/>
        <v>79</v>
      </c>
      <c r="R635" s="147">
        <f t="shared" si="1725"/>
        <v>228</v>
      </c>
      <c r="S635" s="147">
        <f t="shared" si="1726"/>
        <v>228</v>
      </c>
      <c r="T635" s="147">
        <f t="shared" si="1727"/>
        <v>244</v>
      </c>
      <c r="V635" s="146"/>
      <c r="W635" s="147"/>
      <c r="X635" s="147"/>
      <c r="Y635" s="147"/>
      <c r="Z635" s="147"/>
      <c r="AA635" s="147"/>
      <c r="AB635" s="147"/>
      <c r="AC635" s="147"/>
      <c r="AD635" s="148"/>
      <c r="AF635" s="155">
        <f t="shared" si="1826"/>
        <v>42500</v>
      </c>
      <c r="AG635" s="78">
        <v>92.632300000000001</v>
      </c>
      <c r="AH635" s="78"/>
      <c r="AI635" s="78"/>
      <c r="AJ635" s="78"/>
      <c r="AK635" s="78"/>
      <c r="AL635" s="78"/>
      <c r="AM635" s="78"/>
      <c r="AN635" s="78"/>
      <c r="AO635" s="78"/>
      <c r="AP635" s="78"/>
      <c r="AQ635" s="78"/>
      <c r="AR635" s="78"/>
      <c r="AS635" s="78"/>
      <c r="AT635" s="78"/>
      <c r="AU635" s="78"/>
      <c r="AV635" s="78"/>
      <c r="AW635" s="78"/>
      <c r="AX635" s="78">
        <v>0.76770000000000005</v>
      </c>
      <c r="AY635" s="78"/>
      <c r="AZ635" s="78"/>
      <c r="BA635" s="78"/>
      <c r="BB635" s="78"/>
      <c r="BC635" s="78"/>
      <c r="BD635" s="78"/>
      <c r="BE635" s="78"/>
      <c r="BF635" s="78"/>
      <c r="BG635" s="78"/>
      <c r="BH635" s="78"/>
      <c r="BI635" s="78"/>
      <c r="BJ635" s="78"/>
      <c r="BK635" s="78"/>
      <c r="BL635" s="78"/>
      <c r="BM635" s="78"/>
      <c r="BN635" s="78">
        <v>42.432099999999998</v>
      </c>
      <c r="BO635" s="78"/>
      <c r="BP635" s="78"/>
      <c r="BQ635" s="78">
        <f t="shared" si="1744"/>
        <v>42.432099999999998</v>
      </c>
      <c r="BR635" s="78"/>
      <c r="BS635" s="78"/>
      <c r="BT635" s="78">
        <v>41.017299999999999</v>
      </c>
      <c r="BU635" s="78"/>
      <c r="BV635" s="78"/>
      <c r="BW635" s="49">
        <f t="shared" si="1824"/>
        <v>41.017299999999999</v>
      </c>
      <c r="BX635" s="49"/>
      <c r="BY635" s="49"/>
      <c r="BZ635" s="78"/>
      <c r="CA635" s="78"/>
      <c r="CB635" s="78">
        <v>43.31</v>
      </c>
      <c r="CC635" s="231">
        <f t="shared" si="1825"/>
        <v>42500</v>
      </c>
    </row>
    <row r="636" spans="2:81" x14ac:dyDescent="0.25">
      <c r="B636" s="57">
        <v>42550</v>
      </c>
      <c r="C636" s="58">
        <f t="shared" si="1864"/>
        <v>77.130799999999994</v>
      </c>
      <c r="D636" s="58">
        <f t="shared" si="1802"/>
        <v>4.8567999999999998</v>
      </c>
      <c r="E636" s="58">
        <f t="shared" si="1811"/>
        <v>0</v>
      </c>
      <c r="F636" s="58">
        <f t="shared" si="1803"/>
        <v>0</v>
      </c>
      <c r="G636" s="58">
        <f t="shared" si="1812"/>
        <v>42.432099999999998</v>
      </c>
      <c r="H636" s="58">
        <f t="shared" si="1813"/>
        <v>42.432099999999998</v>
      </c>
      <c r="I636" s="58">
        <f t="shared" si="1814"/>
        <v>41.0124</v>
      </c>
      <c r="J636" s="51">
        <f t="shared" si="1815"/>
        <v>41.0124</v>
      </c>
      <c r="K636" s="99">
        <f t="shared" si="1816"/>
        <v>46.94</v>
      </c>
      <c r="L636" s="105">
        <f t="shared" si="1720"/>
        <v>158</v>
      </c>
      <c r="M636" s="58">
        <f t="shared" si="1721"/>
        <v>6</v>
      </c>
      <c r="N636" s="58"/>
      <c r="O636" s="58">
        <f t="shared" si="1722"/>
        <v>0</v>
      </c>
      <c r="P636" s="58">
        <f t="shared" si="1723"/>
        <v>79</v>
      </c>
      <c r="Q636" s="58">
        <f t="shared" si="1724"/>
        <v>79</v>
      </c>
      <c r="R636" s="58">
        <f t="shared" si="1725"/>
        <v>228</v>
      </c>
      <c r="S636" s="58">
        <f t="shared" si="1726"/>
        <v>228</v>
      </c>
      <c r="T636" s="58">
        <f t="shared" si="1727"/>
        <v>251</v>
      </c>
      <c r="V636" s="137"/>
      <c r="W636" s="58"/>
      <c r="X636" s="58"/>
      <c r="Y636" s="58"/>
      <c r="Z636" s="58"/>
      <c r="AA636" s="58"/>
      <c r="AB636" s="58"/>
      <c r="AC636" s="58"/>
      <c r="AD636" s="138"/>
      <c r="AF636" s="57">
        <f t="shared" si="1826"/>
        <v>42550</v>
      </c>
      <c r="AG636" s="49">
        <v>77.130799999999994</v>
      </c>
      <c r="AH636" s="49"/>
      <c r="AI636" s="49"/>
      <c r="AJ636" s="49"/>
      <c r="AK636" s="49"/>
      <c r="AL636" s="49"/>
      <c r="AM636" s="49"/>
      <c r="AN636" s="49"/>
      <c r="AO636" s="49"/>
      <c r="AP636" s="49"/>
      <c r="AQ636" s="49"/>
      <c r="AR636" s="49"/>
      <c r="AS636" s="49"/>
      <c r="AT636" s="49"/>
      <c r="AU636" s="49"/>
      <c r="AV636" s="49"/>
      <c r="AW636" s="49"/>
      <c r="AX636" s="49">
        <v>3.2957000000000001</v>
      </c>
      <c r="AY636" s="49">
        <v>1.5610999999999999</v>
      </c>
      <c r="AZ636" s="49"/>
      <c r="BA636" s="49"/>
      <c r="BB636" s="49"/>
      <c r="BC636" s="49"/>
      <c r="BD636" s="49"/>
      <c r="BE636" s="49"/>
      <c r="BF636" s="49"/>
      <c r="BG636" s="49"/>
      <c r="BH636" s="49"/>
      <c r="BI636" s="49"/>
      <c r="BJ636" s="49"/>
      <c r="BK636" s="49"/>
      <c r="BL636" s="49"/>
      <c r="BM636" s="49"/>
      <c r="BN636" s="49">
        <v>42.432099999999998</v>
      </c>
      <c r="BO636" s="49"/>
      <c r="BP636" s="49"/>
      <c r="BQ636" s="49">
        <f t="shared" si="1744"/>
        <v>42.432099999999998</v>
      </c>
      <c r="BR636" s="49"/>
      <c r="BS636" s="49"/>
      <c r="BT636" s="49">
        <v>41.0124</v>
      </c>
      <c r="BU636" s="49"/>
      <c r="BV636" s="49"/>
      <c r="BW636" s="49">
        <f t="shared" si="1824"/>
        <v>41.0124</v>
      </c>
      <c r="BX636" s="49"/>
      <c r="BY636" s="49"/>
      <c r="BZ636" s="49"/>
      <c r="CA636" s="49"/>
      <c r="CB636" s="49">
        <v>46.94</v>
      </c>
      <c r="CC636" s="231">
        <f t="shared" si="1825"/>
        <v>42550</v>
      </c>
    </row>
    <row r="637" spans="2:81" s="3" customFormat="1" ht="15.75" thickBot="1" x14ac:dyDescent="0.3">
      <c r="B637" s="158">
        <v>42600</v>
      </c>
      <c r="C637" s="144">
        <f t="shared" si="1864"/>
        <v>61.011800000000001</v>
      </c>
      <c r="D637" s="144">
        <f t="shared" si="1802"/>
        <v>1.5478000000000001</v>
      </c>
      <c r="E637" s="144">
        <f t="shared" si="1811"/>
        <v>0</v>
      </c>
      <c r="F637" s="144">
        <f t="shared" si="1803"/>
        <v>0</v>
      </c>
      <c r="G637" s="144">
        <f t="shared" si="1812"/>
        <v>42.432099999999998</v>
      </c>
      <c r="H637" s="144">
        <f t="shared" si="1813"/>
        <v>42.432099999999998</v>
      </c>
      <c r="I637" s="144">
        <f t="shared" si="1814"/>
        <v>41.012099999999997</v>
      </c>
      <c r="J637" s="159">
        <f t="shared" si="1815"/>
        <v>41.012099999999997</v>
      </c>
      <c r="K637" s="160">
        <f t="shared" si="1816"/>
        <v>24.73</v>
      </c>
      <c r="L637" s="152">
        <f t="shared" si="1720"/>
        <v>128</v>
      </c>
      <c r="M637" s="144">
        <f t="shared" si="1721"/>
        <v>6</v>
      </c>
      <c r="N637" s="144"/>
      <c r="O637" s="144">
        <f t="shared" si="1722"/>
        <v>0</v>
      </c>
      <c r="P637" s="144">
        <f t="shared" si="1723"/>
        <v>79</v>
      </c>
      <c r="Q637" s="144">
        <f t="shared" si="1724"/>
        <v>79</v>
      </c>
      <c r="R637" s="144">
        <f t="shared" si="1725"/>
        <v>228</v>
      </c>
      <c r="S637" s="144">
        <f t="shared" si="1726"/>
        <v>228</v>
      </c>
      <c r="T637" s="144">
        <f t="shared" si="1727"/>
        <v>200</v>
      </c>
      <c r="V637" s="150">
        <f>L635+L636+L637</f>
        <v>471</v>
      </c>
      <c r="W637" s="150">
        <f t="shared" ref="W637" si="1872">M635+M636+M637</f>
        <v>15</v>
      </c>
      <c r="X637" s="150"/>
      <c r="Y637" s="150">
        <f t="shared" ref="Y637" si="1873">O635+O636+O637</f>
        <v>0</v>
      </c>
      <c r="Z637" s="150">
        <f t="shared" ref="Z637" si="1874">P635+P636+P637</f>
        <v>237</v>
      </c>
      <c r="AA637" s="150">
        <f t="shared" ref="AA637" si="1875">Q635+Q636+Q637</f>
        <v>237</v>
      </c>
      <c r="AB637" s="150">
        <f t="shared" ref="AB637" si="1876">R635+R636+R637</f>
        <v>684</v>
      </c>
      <c r="AC637" s="150">
        <f t="shared" ref="AC637" si="1877">S635+S636+S637</f>
        <v>684</v>
      </c>
      <c r="AD637" s="150">
        <f t="shared" ref="AD637" si="1878">T635+T636+T637</f>
        <v>695</v>
      </c>
      <c r="AF637" s="158">
        <f t="shared" si="1826"/>
        <v>42600</v>
      </c>
      <c r="AG637" s="149">
        <v>61.011800000000001</v>
      </c>
      <c r="AH637" s="149"/>
      <c r="AI637" s="149"/>
      <c r="AJ637" s="149"/>
      <c r="AK637" s="149"/>
      <c r="AL637" s="149"/>
      <c r="AM637" s="149"/>
      <c r="AN637" s="149"/>
      <c r="AO637" s="149"/>
      <c r="AP637" s="149"/>
      <c r="AQ637" s="149"/>
      <c r="AR637" s="149"/>
      <c r="AS637" s="149"/>
      <c r="AT637" s="149"/>
      <c r="AU637" s="149"/>
      <c r="AV637" s="149"/>
      <c r="AW637" s="149"/>
      <c r="AX637" s="149">
        <v>1.5478000000000001</v>
      </c>
      <c r="AY637" s="149"/>
      <c r="AZ637" s="149"/>
      <c r="BA637" s="149"/>
      <c r="BB637" s="149"/>
      <c r="BC637" s="149"/>
      <c r="BD637" s="149"/>
      <c r="BE637" s="149"/>
      <c r="BF637" s="149"/>
      <c r="BG637" s="149"/>
      <c r="BH637" s="149"/>
      <c r="BI637" s="149"/>
      <c r="BJ637" s="149"/>
      <c r="BK637" s="149"/>
      <c r="BL637" s="149"/>
      <c r="BM637" s="149"/>
      <c r="BN637" s="149">
        <v>42.432099999999998</v>
      </c>
      <c r="BO637" s="149"/>
      <c r="BP637" s="149"/>
      <c r="BQ637" s="149">
        <f t="shared" si="1744"/>
        <v>42.432099999999998</v>
      </c>
      <c r="BR637" s="149"/>
      <c r="BS637" s="149"/>
      <c r="BT637" s="149">
        <v>41.012099999999997</v>
      </c>
      <c r="BU637" s="149"/>
      <c r="BV637" s="149"/>
      <c r="BW637" s="149">
        <f>BT637</f>
        <v>41.012099999999997</v>
      </c>
      <c r="BX637" s="149"/>
      <c r="BY637" s="149"/>
      <c r="BZ637" s="149"/>
      <c r="CA637" s="149"/>
      <c r="CB637" s="149">
        <v>24.73</v>
      </c>
      <c r="CC637" s="231">
        <f t="shared" si="1825"/>
        <v>42600</v>
      </c>
    </row>
    <row r="638" spans="2:81" x14ac:dyDescent="0.25">
      <c r="B638" s="155">
        <v>42650</v>
      </c>
      <c r="C638" s="147">
        <f t="shared" si="1864"/>
        <v>50.7806</v>
      </c>
      <c r="D638" s="147">
        <f t="shared" si="1802"/>
        <v>1.9899</v>
      </c>
      <c r="E638" s="147">
        <f t="shared" si="1811"/>
        <v>0</v>
      </c>
      <c r="F638" s="147">
        <f t="shared" si="1803"/>
        <v>0</v>
      </c>
      <c r="G638" s="147">
        <f t="shared" si="1812"/>
        <v>42.218499999999999</v>
      </c>
      <c r="H638" s="147">
        <f t="shared" si="1813"/>
        <v>42.218499999999999</v>
      </c>
      <c r="I638" s="147">
        <f t="shared" si="1814"/>
        <v>41.016800000000003</v>
      </c>
      <c r="J638" s="156">
        <f t="shared" si="1815"/>
        <v>41.016800000000003</v>
      </c>
      <c r="K638" s="157">
        <f t="shared" si="1816"/>
        <v>20.73</v>
      </c>
      <c r="L638" s="151">
        <f t="shared" si="1720"/>
        <v>104</v>
      </c>
      <c r="M638" s="147">
        <f t="shared" si="1721"/>
        <v>4</v>
      </c>
      <c r="N638" s="147"/>
      <c r="O638" s="147">
        <f t="shared" si="1722"/>
        <v>0</v>
      </c>
      <c r="P638" s="147">
        <f t="shared" si="1723"/>
        <v>79</v>
      </c>
      <c r="Q638" s="147">
        <f t="shared" si="1724"/>
        <v>79</v>
      </c>
      <c r="R638" s="147">
        <f t="shared" si="1725"/>
        <v>228</v>
      </c>
      <c r="S638" s="147">
        <f t="shared" si="1726"/>
        <v>228</v>
      </c>
      <c r="T638" s="147">
        <f t="shared" si="1727"/>
        <v>127</v>
      </c>
      <c r="V638" s="146"/>
      <c r="W638" s="147"/>
      <c r="X638" s="147"/>
      <c r="Y638" s="147"/>
      <c r="Z638" s="147"/>
      <c r="AA638" s="147"/>
      <c r="AB638" s="147"/>
      <c r="AC638" s="147"/>
      <c r="AD638" s="148"/>
      <c r="AF638" s="155">
        <f t="shared" si="1826"/>
        <v>42650</v>
      </c>
      <c r="AG638" s="78">
        <v>50.7806</v>
      </c>
      <c r="AH638" s="78"/>
      <c r="AI638" s="78"/>
      <c r="AJ638" s="78"/>
      <c r="AK638" s="78"/>
      <c r="AL638" s="78"/>
      <c r="AM638" s="78"/>
      <c r="AN638" s="78"/>
      <c r="AO638" s="78"/>
      <c r="AP638" s="78"/>
      <c r="AQ638" s="78"/>
      <c r="AR638" s="78"/>
      <c r="AS638" s="78"/>
      <c r="AT638" s="78"/>
      <c r="AU638" s="78"/>
      <c r="AV638" s="78"/>
      <c r="AW638" s="78"/>
      <c r="AX638" s="78">
        <v>1.744</v>
      </c>
      <c r="AY638" s="78">
        <v>0.24590000000000001</v>
      </c>
      <c r="AZ638" s="78"/>
      <c r="BA638" s="78"/>
      <c r="BB638" s="78"/>
      <c r="BC638" s="78"/>
      <c r="BD638" s="78"/>
      <c r="BE638" s="78"/>
      <c r="BF638" s="78"/>
      <c r="BG638" s="78"/>
      <c r="BH638" s="78"/>
      <c r="BI638" s="78"/>
      <c r="BJ638" s="78"/>
      <c r="BK638" s="78"/>
      <c r="BL638" s="78"/>
      <c r="BM638" s="78"/>
      <c r="BN638" s="78">
        <v>42.218499999999999</v>
      </c>
      <c r="BO638" s="78"/>
      <c r="BP638" s="78"/>
      <c r="BQ638" s="78">
        <f t="shared" si="1744"/>
        <v>42.218499999999999</v>
      </c>
      <c r="BR638" s="78"/>
      <c r="BS638" s="78"/>
      <c r="BT638" s="78">
        <v>41.016800000000003</v>
      </c>
      <c r="BU638" s="78"/>
      <c r="BV638" s="78"/>
      <c r="BW638" s="49">
        <f t="shared" si="1824"/>
        <v>41.016800000000003</v>
      </c>
      <c r="BX638" s="49"/>
      <c r="BY638" s="49"/>
      <c r="BZ638" s="78"/>
      <c r="CA638" s="78"/>
      <c r="CB638" s="78">
        <v>20.73</v>
      </c>
      <c r="CC638" s="231">
        <f t="shared" si="1825"/>
        <v>42650</v>
      </c>
    </row>
    <row r="639" spans="2:81" x14ac:dyDescent="0.25">
      <c r="B639" s="57">
        <v>42700</v>
      </c>
      <c r="C639" s="58">
        <f t="shared" si="1864"/>
        <v>52.722900000000003</v>
      </c>
      <c r="D639" s="58">
        <f t="shared" si="1802"/>
        <v>0.4657</v>
      </c>
      <c r="E639" s="58">
        <f t="shared" si="1811"/>
        <v>0</v>
      </c>
      <c r="F639" s="58">
        <f t="shared" si="1803"/>
        <v>0</v>
      </c>
      <c r="G639" s="58">
        <f t="shared" si="1812"/>
        <v>42.403399999999998</v>
      </c>
      <c r="H639" s="58">
        <f t="shared" si="1813"/>
        <v>42.403399999999998</v>
      </c>
      <c r="I639" s="58">
        <f t="shared" si="1814"/>
        <v>41.022300000000001</v>
      </c>
      <c r="J639" s="51">
        <f t="shared" si="1815"/>
        <v>41.022300000000001</v>
      </c>
      <c r="K639" s="99">
        <f t="shared" si="1816"/>
        <v>19.78</v>
      </c>
      <c r="L639" s="105">
        <f t="shared" si="1720"/>
        <v>96</v>
      </c>
      <c r="M639" s="58">
        <f t="shared" si="1721"/>
        <v>3</v>
      </c>
      <c r="N639" s="58"/>
      <c r="O639" s="58">
        <f t="shared" si="1722"/>
        <v>0</v>
      </c>
      <c r="P639" s="58">
        <f t="shared" si="1723"/>
        <v>79</v>
      </c>
      <c r="Q639" s="58">
        <f t="shared" si="1724"/>
        <v>79</v>
      </c>
      <c r="R639" s="58">
        <f t="shared" si="1725"/>
        <v>228</v>
      </c>
      <c r="S639" s="58">
        <f t="shared" si="1726"/>
        <v>228</v>
      </c>
      <c r="T639" s="58">
        <f t="shared" si="1727"/>
        <v>113</v>
      </c>
      <c r="V639" s="137"/>
      <c r="W639" s="58"/>
      <c r="X639" s="58"/>
      <c r="Y639" s="58"/>
      <c r="Z639" s="58"/>
      <c r="AA639" s="58"/>
      <c r="AB639" s="58"/>
      <c r="AC639" s="58"/>
      <c r="AD639" s="138"/>
      <c r="AF639" s="57">
        <f t="shared" si="1826"/>
        <v>42700</v>
      </c>
      <c r="AG639" s="49">
        <v>52.722900000000003</v>
      </c>
      <c r="AH639" s="49"/>
      <c r="AI639" s="49"/>
      <c r="AJ639" s="49"/>
      <c r="AK639" s="49"/>
      <c r="AL639" s="49"/>
      <c r="AM639" s="49"/>
      <c r="AN639" s="49"/>
      <c r="AO639" s="49"/>
      <c r="AP639" s="49"/>
      <c r="AQ639" s="49"/>
      <c r="AR639" s="49"/>
      <c r="AS639" s="49"/>
      <c r="AT639" s="49"/>
      <c r="AU639" s="49"/>
      <c r="AV639" s="49"/>
      <c r="AW639" s="49"/>
      <c r="AX639" s="49">
        <v>0.4657</v>
      </c>
      <c r="AY639" s="49"/>
      <c r="AZ639" s="49"/>
      <c r="BA639" s="49"/>
      <c r="BB639" s="49"/>
      <c r="BC639" s="49"/>
      <c r="BD639" s="49"/>
      <c r="BE639" s="49"/>
      <c r="BF639" s="49"/>
      <c r="BG639" s="49"/>
      <c r="BH639" s="49"/>
      <c r="BI639" s="49"/>
      <c r="BJ639" s="49"/>
      <c r="BK639" s="49"/>
      <c r="BL639" s="49"/>
      <c r="BM639" s="49"/>
      <c r="BN639" s="49">
        <v>42.403399999999998</v>
      </c>
      <c r="BO639" s="49"/>
      <c r="BP639" s="49"/>
      <c r="BQ639" s="49">
        <f t="shared" si="1744"/>
        <v>42.403399999999998</v>
      </c>
      <c r="BR639" s="49"/>
      <c r="BS639" s="49"/>
      <c r="BT639" s="49">
        <v>41.022300000000001</v>
      </c>
      <c r="BU639" s="49"/>
      <c r="BV639" s="49"/>
      <c r="BW639" s="49">
        <f t="shared" si="1824"/>
        <v>41.022300000000001</v>
      </c>
      <c r="BX639" s="49"/>
      <c r="BY639" s="49"/>
      <c r="BZ639" s="49"/>
      <c r="CA639" s="49"/>
      <c r="CB639" s="49">
        <v>19.78</v>
      </c>
      <c r="CC639" s="231">
        <f t="shared" si="1825"/>
        <v>42700</v>
      </c>
    </row>
    <row r="640" spans="2:81" s="3" customFormat="1" ht="15.75" thickBot="1" x14ac:dyDescent="0.3">
      <c r="B640" s="158">
        <v>42750</v>
      </c>
      <c r="C640" s="144">
        <f t="shared" si="1864"/>
        <v>46.246800000000007</v>
      </c>
      <c r="D640" s="144">
        <f t="shared" si="1802"/>
        <v>8.077</v>
      </c>
      <c r="E640" s="144">
        <f t="shared" si="1811"/>
        <v>0</v>
      </c>
      <c r="F640" s="144">
        <f t="shared" si="1803"/>
        <v>0</v>
      </c>
      <c r="G640" s="144">
        <f t="shared" si="1812"/>
        <v>48.363100000000003</v>
      </c>
      <c r="H640" s="144">
        <f t="shared" si="1813"/>
        <v>48.363100000000003</v>
      </c>
      <c r="I640" s="144">
        <f t="shared" si="1814"/>
        <v>46.5319</v>
      </c>
      <c r="J640" s="159">
        <f t="shared" si="1815"/>
        <v>46.5319</v>
      </c>
      <c r="K640" s="160">
        <f t="shared" si="1816"/>
        <v>36.909999999999997</v>
      </c>
      <c r="L640" s="152">
        <f t="shared" si="1720"/>
        <v>92</v>
      </c>
      <c r="M640" s="144">
        <f t="shared" si="1721"/>
        <v>8</v>
      </c>
      <c r="N640" s="144"/>
      <c r="O640" s="144">
        <f t="shared" si="1722"/>
        <v>0</v>
      </c>
      <c r="P640" s="144">
        <f t="shared" si="1723"/>
        <v>85</v>
      </c>
      <c r="Q640" s="144">
        <f t="shared" si="1724"/>
        <v>85</v>
      </c>
      <c r="R640" s="144">
        <f t="shared" si="1725"/>
        <v>244</v>
      </c>
      <c r="S640" s="144">
        <f t="shared" si="1726"/>
        <v>244</v>
      </c>
      <c r="T640" s="144">
        <f t="shared" si="1727"/>
        <v>158</v>
      </c>
      <c r="V640" s="150">
        <f>L638+L639+L640</f>
        <v>292</v>
      </c>
      <c r="W640" s="150">
        <f t="shared" ref="W640" si="1879">M638+M639+M640</f>
        <v>15</v>
      </c>
      <c r="X640" s="150"/>
      <c r="Y640" s="150">
        <f t="shared" ref="Y640" si="1880">O638+O639+O640</f>
        <v>0</v>
      </c>
      <c r="Z640" s="150">
        <f t="shared" ref="Z640" si="1881">P638+P639+P640</f>
        <v>243</v>
      </c>
      <c r="AA640" s="150">
        <f t="shared" ref="AA640" si="1882">Q638+Q639+Q640</f>
        <v>243</v>
      </c>
      <c r="AB640" s="150">
        <f t="shared" ref="AB640" si="1883">R638+R639+R640</f>
        <v>700</v>
      </c>
      <c r="AC640" s="150">
        <f t="shared" ref="AC640" si="1884">S638+S639+S640</f>
        <v>700</v>
      </c>
      <c r="AD640" s="150">
        <f t="shared" ref="AD640" si="1885">T638+T639+T640</f>
        <v>398</v>
      </c>
      <c r="AF640" s="158">
        <f t="shared" si="1826"/>
        <v>42750</v>
      </c>
      <c r="AG640" s="149">
        <v>42.748600000000003</v>
      </c>
      <c r="AH640" s="149">
        <v>1.3028999999999999</v>
      </c>
      <c r="AI640" s="149">
        <v>2.1208</v>
      </c>
      <c r="AJ640" s="149">
        <v>7.4499999999999997E-2</v>
      </c>
      <c r="AK640" s="149"/>
      <c r="AL640" s="149"/>
      <c r="AM640" s="149"/>
      <c r="AN640" s="149"/>
      <c r="AO640" s="149"/>
      <c r="AP640" s="149"/>
      <c r="AQ640" s="149"/>
      <c r="AR640" s="149"/>
      <c r="AS640" s="149"/>
      <c r="AT640" s="149"/>
      <c r="AU640" s="149"/>
      <c r="AV640" s="149"/>
      <c r="AW640" s="149"/>
      <c r="AX640" s="149">
        <v>4.3041999999999998</v>
      </c>
      <c r="AY640" s="149">
        <v>0.187</v>
      </c>
      <c r="AZ640" s="149">
        <v>3.5857999999999999</v>
      </c>
      <c r="BA640" s="149"/>
      <c r="BB640" s="149"/>
      <c r="BC640" s="149"/>
      <c r="BD640" s="149"/>
      <c r="BE640" s="149"/>
      <c r="BF640" s="149"/>
      <c r="BG640" s="149"/>
      <c r="BH640" s="149"/>
      <c r="BI640" s="149"/>
      <c r="BJ640" s="149"/>
      <c r="BK640" s="149"/>
      <c r="BL640" s="149"/>
      <c r="BM640" s="149"/>
      <c r="BN640" s="149">
        <v>42.108400000000003</v>
      </c>
      <c r="BO640" s="149">
        <v>6.2546999999999997</v>
      </c>
      <c r="BP640" s="149"/>
      <c r="BQ640" s="149">
        <f t="shared" si="1744"/>
        <v>42.108400000000003</v>
      </c>
      <c r="BR640" s="149">
        <f>BO640</f>
        <v>6.2546999999999997</v>
      </c>
      <c r="BS640" s="149"/>
      <c r="BT640" s="149">
        <v>41.027999999999999</v>
      </c>
      <c r="BU640" s="149">
        <v>5.5038999999999998</v>
      </c>
      <c r="BV640" s="149"/>
      <c r="BW640" s="149">
        <f>BT640</f>
        <v>41.027999999999999</v>
      </c>
      <c r="BX640" s="149">
        <f>BU640</f>
        <v>5.5038999999999998</v>
      </c>
      <c r="BY640" s="149"/>
      <c r="BZ640" s="149"/>
      <c r="CA640" s="149"/>
      <c r="CB640" s="149">
        <v>36.909999999999997</v>
      </c>
      <c r="CC640" s="231">
        <f t="shared" si="1825"/>
        <v>42750</v>
      </c>
    </row>
    <row r="641" spans="2:81" x14ac:dyDescent="0.25">
      <c r="B641" s="155">
        <v>42800</v>
      </c>
      <c r="C641" s="147">
        <f t="shared" si="1864"/>
        <v>188.64349999999999</v>
      </c>
      <c r="D641" s="147">
        <f t="shared" si="1802"/>
        <v>178.64869999999999</v>
      </c>
      <c r="E641" s="147">
        <f t="shared" si="1811"/>
        <v>0</v>
      </c>
      <c r="F641" s="147">
        <f t="shared" si="1803"/>
        <v>0</v>
      </c>
      <c r="G641" s="147">
        <f t="shared" si="1812"/>
        <v>47.8748</v>
      </c>
      <c r="H641" s="147">
        <f t="shared" si="1813"/>
        <v>47.8748</v>
      </c>
      <c r="I641" s="147">
        <f t="shared" si="1814"/>
        <v>46.543800000000005</v>
      </c>
      <c r="J641" s="156">
        <f t="shared" si="1815"/>
        <v>46.543800000000005</v>
      </c>
      <c r="K641" s="157">
        <f t="shared" si="1816"/>
        <v>63.51</v>
      </c>
      <c r="L641" s="151">
        <f t="shared" si="1720"/>
        <v>218</v>
      </c>
      <c r="M641" s="147">
        <f t="shared" si="1721"/>
        <v>173</v>
      </c>
      <c r="N641" s="147"/>
      <c r="O641" s="147">
        <f t="shared" si="1722"/>
        <v>0</v>
      </c>
      <c r="P641" s="147">
        <f t="shared" si="1723"/>
        <v>90</v>
      </c>
      <c r="Q641" s="147">
        <f t="shared" si="1724"/>
        <v>90</v>
      </c>
      <c r="R641" s="147">
        <f t="shared" si="1725"/>
        <v>259</v>
      </c>
      <c r="S641" s="147">
        <f t="shared" si="1726"/>
        <v>259</v>
      </c>
      <c r="T641" s="147">
        <f t="shared" si="1727"/>
        <v>279</v>
      </c>
      <c r="V641" s="146"/>
      <c r="W641" s="147"/>
      <c r="X641" s="147"/>
      <c r="Y641" s="147"/>
      <c r="Z641" s="147"/>
      <c r="AA641" s="147"/>
      <c r="AB641" s="147"/>
      <c r="AC641" s="147"/>
      <c r="AD641" s="148"/>
      <c r="AF641" s="155">
        <f t="shared" si="1826"/>
        <v>42800</v>
      </c>
      <c r="AG641" s="185">
        <v>151.7826</v>
      </c>
      <c r="AH641" s="78">
        <v>33.3352</v>
      </c>
      <c r="AI641" s="78">
        <v>1.4842</v>
      </c>
      <c r="AJ641" s="78">
        <v>2.0415000000000001</v>
      </c>
      <c r="AK641" s="78"/>
      <c r="AL641" s="78"/>
      <c r="AM641" s="78"/>
      <c r="AN641" s="78"/>
      <c r="AO641" s="78"/>
      <c r="AP641" s="78"/>
      <c r="AQ641" s="78"/>
      <c r="AR641" s="78"/>
      <c r="AS641" s="78"/>
      <c r="AT641" s="78"/>
      <c r="AU641" s="78"/>
      <c r="AV641" s="78"/>
      <c r="AW641" s="78"/>
      <c r="AX641" s="185">
        <v>151.7826</v>
      </c>
      <c r="AY641" s="78">
        <v>21.2011</v>
      </c>
      <c r="AZ641" s="78">
        <v>1.7096</v>
      </c>
      <c r="BA641" s="78">
        <v>3.9554</v>
      </c>
      <c r="BB641" s="78"/>
      <c r="BC641" s="78"/>
      <c r="BD641" s="78"/>
      <c r="BE641" s="78"/>
      <c r="BF641" s="78"/>
      <c r="BG641" s="78"/>
      <c r="BH641" s="78"/>
      <c r="BI641" s="78"/>
      <c r="BJ641" s="78"/>
      <c r="BK641" s="78"/>
      <c r="BL641" s="78"/>
      <c r="BM641" s="78"/>
      <c r="BN641" s="78">
        <v>41.620100000000001</v>
      </c>
      <c r="BO641" s="78">
        <v>6.2546999999999997</v>
      </c>
      <c r="BP641" s="78"/>
      <c r="BQ641" s="78">
        <f t="shared" si="1744"/>
        <v>41.620100000000001</v>
      </c>
      <c r="BR641" s="78">
        <f t="shared" ref="BR641:BR650" si="1886">BO641</f>
        <v>6.2546999999999997</v>
      </c>
      <c r="BS641" s="78"/>
      <c r="BT641" s="78">
        <v>41.039900000000003</v>
      </c>
      <c r="BU641" s="78">
        <v>5.5038999999999998</v>
      </c>
      <c r="BV641" s="78"/>
      <c r="BW641" s="49">
        <f t="shared" si="1824"/>
        <v>41.039900000000003</v>
      </c>
      <c r="BX641" s="49">
        <f t="shared" ref="BX641:BX650" si="1887">BU641</f>
        <v>5.5038999999999998</v>
      </c>
      <c r="BY641" s="49"/>
      <c r="BZ641" s="78"/>
      <c r="CA641" s="78"/>
      <c r="CB641" s="78">
        <v>63.51</v>
      </c>
      <c r="CC641" s="231">
        <f t="shared" si="1825"/>
        <v>42800</v>
      </c>
    </row>
    <row r="642" spans="2:81" x14ac:dyDescent="0.25">
      <c r="B642" s="57">
        <v>42850</v>
      </c>
      <c r="C642" s="58">
        <f t="shared" si="1864"/>
        <v>421.7441</v>
      </c>
      <c r="D642" s="58">
        <f t="shared" si="1802"/>
        <v>442.9975</v>
      </c>
      <c r="E642" s="58">
        <f t="shared" si="1811"/>
        <v>0</v>
      </c>
      <c r="F642" s="58">
        <f t="shared" si="1803"/>
        <v>0</v>
      </c>
      <c r="G642" s="58">
        <f t="shared" si="1812"/>
        <v>47.914999999999999</v>
      </c>
      <c r="H642" s="58">
        <f t="shared" si="1813"/>
        <v>47.914999999999999</v>
      </c>
      <c r="I642" s="58">
        <f t="shared" si="1814"/>
        <v>51.4694</v>
      </c>
      <c r="J642" s="51">
        <f t="shared" si="1815"/>
        <v>51.4694</v>
      </c>
      <c r="K642" s="99">
        <f t="shared" si="1816"/>
        <v>85.5</v>
      </c>
      <c r="L642" s="105">
        <f t="shared" si="1720"/>
        <v>566</v>
      </c>
      <c r="M642" s="58">
        <f t="shared" si="1721"/>
        <v>576</v>
      </c>
      <c r="N642" s="58"/>
      <c r="O642" s="58">
        <f t="shared" si="1722"/>
        <v>0</v>
      </c>
      <c r="P642" s="58">
        <f t="shared" si="1723"/>
        <v>89</v>
      </c>
      <c r="Q642" s="58">
        <f t="shared" si="1724"/>
        <v>89</v>
      </c>
      <c r="R642" s="58">
        <f t="shared" si="1725"/>
        <v>273</v>
      </c>
      <c r="S642" s="58">
        <f t="shared" si="1726"/>
        <v>273</v>
      </c>
      <c r="T642" s="58">
        <f t="shared" si="1727"/>
        <v>414</v>
      </c>
      <c r="V642" s="137"/>
      <c r="W642" s="58"/>
      <c r="X642" s="58"/>
      <c r="Y642" s="58"/>
      <c r="Z642" s="58"/>
      <c r="AA642" s="58"/>
      <c r="AB642" s="58"/>
      <c r="AC642" s="58"/>
      <c r="AD642" s="138"/>
      <c r="AF642" s="57">
        <f t="shared" si="1826"/>
        <v>42850</v>
      </c>
      <c r="AG642" s="115">
        <v>385.64420000000001</v>
      </c>
      <c r="AH642" s="49">
        <v>31.6998</v>
      </c>
      <c r="AI642" s="49">
        <v>2.1147999999999998</v>
      </c>
      <c r="AJ642" s="49">
        <v>2.2852999999999999</v>
      </c>
      <c r="AK642" s="49"/>
      <c r="AL642" s="49"/>
      <c r="AM642" s="49"/>
      <c r="AN642" s="49"/>
      <c r="AO642" s="49"/>
      <c r="AP642" s="49"/>
      <c r="AQ642" s="49"/>
      <c r="AR642" s="49"/>
      <c r="AS642" s="49"/>
      <c r="AT642" s="49"/>
      <c r="AU642" s="49"/>
      <c r="AV642" s="49"/>
      <c r="AW642" s="49"/>
      <c r="AX642" s="115">
        <v>385.64420000000001</v>
      </c>
      <c r="AY642" s="49">
        <v>51.215499999999999</v>
      </c>
      <c r="AZ642" s="49">
        <v>1.7152000000000001</v>
      </c>
      <c r="BA642" s="49">
        <v>4.4226000000000001</v>
      </c>
      <c r="BB642" s="49"/>
      <c r="BC642" s="49"/>
      <c r="BD642" s="49"/>
      <c r="BE642" s="49"/>
      <c r="BF642" s="49"/>
      <c r="BG642" s="49"/>
      <c r="BH642" s="49"/>
      <c r="BI642" s="49"/>
      <c r="BJ642" s="49"/>
      <c r="BK642" s="49"/>
      <c r="BL642" s="49"/>
      <c r="BM642" s="49"/>
      <c r="BN642" s="49">
        <v>41.660299999999999</v>
      </c>
      <c r="BO642" s="49">
        <v>6.2546999999999997</v>
      </c>
      <c r="BP642" s="49"/>
      <c r="BQ642" s="49">
        <f t="shared" si="1744"/>
        <v>41.660299999999999</v>
      </c>
      <c r="BR642" s="49">
        <f t="shared" si="1886"/>
        <v>6.2546999999999997</v>
      </c>
      <c r="BS642" s="49"/>
      <c r="BT642" s="49">
        <v>41.044899999999998</v>
      </c>
      <c r="BU642" s="49">
        <v>10.4245</v>
      </c>
      <c r="BV642" s="49"/>
      <c r="BW642" s="49">
        <f t="shared" si="1824"/>
        <v>41.044899999999998</v>
      </c>
      <c r="BX642" s="49">
        <f t="shared" si="1887"/>
        <v>10.4245</v>
      </c>
      <c r="BY642" s="49"/>
      <c r="BZ642" s="49"/>
      <c r="CA642" s="49"/>
      <c r="CB642" s="49">
        <v>85.5</v>
      </c>
      <c r="CC642" s="231">
        <f t="shared" si="1825"/>
        <v>42850</v>
      </c>
    </row>
    <row r="643" spans="2:81" s="3" customFormat="1" ht="15.75" thickBot="1" x14ac:dyDescent="0.3">
      <c r="B643" s="158">
        <v>42900</v>
      </c>
      <c r="C643" s="144">
        <f t="shared" si="1864"/>
        <v>454.00920000000002</v>
      </c>
      <c r="D643" s="144">
        <f t="shared" si="1802"/>
        <v>529.32209999999998</v>
      </c>
      <c r="E643" s="144">
        <f t="shared" si="1811"/>
        <v>0</v>
      </c>
      <c r="F643" s="144">
        <f t="shared" si="1803"/>
        <v>0</v>
      </c>
      <c r="G643" s="144">
        <f t="shared" si="1812"/>
        <v>47.789200000000001</v>
      </c>
      <c r="H643" s="144">
        <f t="shared" si="1813"/>
        <v>47.789200000000001</v>
      </c>
      <c r="I643" s="144">
        <f t="shared" si="1814"/>
        <v>46.553800000000003</v>
      </c>
      <c r="J643" s="159">
        <f t="shared" si="1815"/>
        <v>46.553800000000003</v>
      </c>
      <c r="K643" s="160">
        <f t="shared" si="1816"/>
        <v>113.86</v>
      </c>
      <c r="L643" s="152">
        <f t="shared" si="1720"/>
        <v>811</v>
      </c>
      <c r="M643" s="144">
        <f t="shared" si="1721"/>
        <v>901</v>
      </c>
      <c r="N643" s="144"/>
      <c r="O643" s="144">
        <f t="shared" si="1722"/>
        <v>0</v>
      </c>
      <c r="P643" s="144">
        <f t="shared" si="1723"/>
        <v>89</v>
      </c>
      <c r="Q643" s="144">
        <f t="shared" si="1724"/>
        <v>89</v>
      </c>
      <c r="R643" s="144">
        <f t="shared" si="1725"/>
        <v>273</v>
      </c>
      <c r="S643" s="144">
        <f t="shared" si="1726"/>
        <v>273</v>
      </c>
      <c r="T643" s="144">
        <f t="shared" si="1727"/>
        <v>554</v>
      </c>
      <c r="V643" s="150">
        <f>L641+L642+L643</f>
        <v>1595</v>
      </c>
      <c r="W643" s="150">
        <f t="shared" ref="W643" si="1888">M641+M642+M643</f>
        <v>1650</v>
      </c>
      <c r="X643" s="150"/>
      <c r="Y643" s="150">
        <f t="shared" ref="Y643" si="1889">O641+O642+O643</f>
        <v>0</v>
      </c>
      <c r="Z643" s="150">
        <f t="shared" ref="Z643" si="1890">P641+P642+P643</f>
        <v>268</v>
      </c>
      <c r="AA643" s="150">
        <f t="shared" ref="AA643" si="1891">Q641+Q642+Q643</f>
        <v>268</v>
      </c>
      <c r="AB643" s="150">
        <f t="shared" ref="AB643" si="1892">R641+R642+R643</f>
        <v>805</v>
      </c>
      <c r="AC643" s="150">
        <f t="shared" ref="AC643" si="1893">S641+S642+S643</f>
        <v>805</v>
      </c>
      <c r="AD643" s="150">
        <f t="shared" ref="AD643" si="1894">T641+T642+T643</f>
        <v>1247</v>
      </c>
      <c r="AF643" s="158">
        <f t="shared" si="1826"/>
        <v>42900</v>
      </c>
      <c r="AG643" s="186">
        <v>423.459</v>
      </c>
      <c r="AH643" s="149">
        <v>27.068100000000001</v>
      </c>
      <c r="AI643" s="149">
        <v>1.6647000000000001</v>
      </c>
      <c r="AJ643" s="149">
        <v>1.8173999999999999</v>
      </c>
      <c r="AK643" s="149"/>
      <c r="AL643" s="149"/>
      <c r="AM643" s="149"/>
      <c r="AN643" s="149"/>
      <c r="AO643" s="149"/>
      <c r="AP643" s="149"/>
      <c r="AQ643" s="149"/>
      <c r="AR643" s="149"/>
      <c r="AS643" s="149"/>
      <c r="AT643" s="149"/>
      <c r="AU643" s="149"/>
      <c r="AV643" s="149"/>
      <c r="AW643" s="149"/>
      <c r="AX643" s="186">
        <v>423.459</v>
      </c>
      <c r="AY643" s="149">
        <v>97.747200000000007</v>
      </c>
      <c r="AZ643" s="149">
        <v>2.4683000000000002</v>
      </c>
      <c r="BA643" s="149">
        <v>5.6475999999999997</v>
      </c>
      <c r="BB643" s="149"/>
      <c r="BC643" s="149"/>
      <c r="BD643" s="149"/>
      <c r="BE643" s="149"/>
      <c r="BF643" s="149"/>
      <c r="BG643" s="149"/>
      <c r="BH643" s="149"/>
      <c r="BI643" s="149"/>
      <c r="BJ643" s="149"/>
      <c r="BK643" s="149"/>
      <c r="BL643" s="149"/>
      <c r="BM643" s="149"/>
      <c r="BN643" s="149">
        <v>41.534500000000001</v>
      </c>
      <c r="BO643" s="149">
        <v>6.2546999999999997</v>
      </c>
      <c r="BP643" s="149"/>
      <c r="BQ643" s="149">
        <f t="shared" si="1744"/>
        <v>41.534500000000001</v>
      </c>
      <c r="BR643" s="149">
        <f t="shared" si="1886"/>
        <v>6.2546999999999997</v>
      </c>
      <c r="BS643" s="149"/>
      <c r="BT643" s="149">
        <v>41.049900000000001</v>
      </c>
      <c r="BU643" s="149">
        <v>5.5038999999999998</v>
      </c>
      <c r="BV643" s="149"/>
      <c r="BW643" s="149">
        <f>BT643</f>
        <v>41.049900000000001</v>
      </c>
      <c r="BX643" s="149">
        <f>BU643</f>
        <v>5.5038999999999998</v>
      </c>
      <c r="BY643" s="149"/>
      <c r="BZ643" s="149"/>
      <c r="CA643" s="149"/>
      <c r="CB643" s="149">
        <v>113.86</v>
      </c>
      <c r="CC643" s="231">
        <f t="shared" si="1825"/>
        <v>42900</v>
      </c>
    </row>
    <row r="644" spans="2:81" x14ac:dyDescent="0.25">
      <c r="B644" s="155">
        <v>42950</v>
      </c>
      <c r="C644" s="147">
        <f t="shared" si="1864"/>
        <v>336.78560000000004</v>
      </c>
      <c r="D644" s="147">
        <f t="shared" si="1802"/>
        <v>328.93060000000003</v>
      </c>
      <c r="E644" s="147">
        <f t="shared" si="1811"/>
        <v>0</v>
      </c>
      <c r="F644" s="147">
        <f t="shared" si="1803"/>
        <v>0</v>
      </c>
      <c r="G644" s="147">
        <f t="shared" si="1812"/>
        <v>48.018000000000001</v>
      </c>
      <c r="H644" s="147">
        <f t="shared" si="1813"/>
        <v>48.018000000000001</v>
      </c>
      <c r="I644" s="147">
        <f t="shared" si="1814"/>
        <v>46.564300000000003</v>
      </c>
      <c r="J644" s="156">
        <f t="shared" si="1815"/>
        <v>46.564300000000003</v>
      </c>
      <c r="K644" s="157">
        <f t="shared" si="1816"/>
        <v>100.81</v>
      </c>
      <c r="L644" s="151">
        <f t="shared" ref="L644:L660" si="1895">ROUNDUP(((C643+C644)*0.5)*(B644-B643)/27,0)</f>
        <v>733</v>
      </c>
      <c r="M644" s="147">
        <f t="shared" ref="M644:M660" si="1896">ROUNDUP(((D643+D644)*0.5)*(B644-B643)/27,0)</f>
        <v>795</v>
      </c>
      <c r="N644" s="147"/>
      <c r="O644" s="147">
        <f t="shared" ref="O644:O660" si="1897">ROUNDUP(((F643+F644)*0.5)*(B644-B643)/27,0)</f>
        <v>0</v>
      </c>
      <c r="P644" s="147">
        <f t="shared" ref="P644:P660" si="1898">ROUNDUP(((G644+G643)*0.5)*(B644-B643)/27,0)</f>
        <v>89</v>
      </c>
      <c r="Q644" s="147">
        <f t="shared" ref="Q644:Q660" si="1899">ROUNDUP(((H644+H643)*0.5)*(B644-B643)/27,0)</f>
        <v>89</v>
      </c>
      <c r="R644" s="147">
        <f t="shared" ref="R644:R660" si="1900">ROUNDUP(((I644+I643)*0.5)*(B644-B643)/9,0)</f>
        <v>259</v>
      </c>
      <c r="S644" s="147">
        <f t="shared" ref="S644:S660" si="1901">ROUNDUP(((J644+J643)*0.5)*(B644-B643)/9,0)</f>
        <v>259</v>
      </c>
      <c r="T644" s="147">
        <f t="shared" si="1727"/>
        <v>597</v>
      </c>
      <c r="V644" s="146"/>
      <c r="W644" s="147"/>
      <c r="X644" s="147"/>
      <c r="Y644" s="147"/>
      <c r="Z644" s="147"/>
      <c r="AA644" s="147"/>
      <c r="AB644" s="147"/>
      <c r="AC644" s="147"/>
      <c r="AD644" s="148"/>
      <c r="AF644" s="155">
        <f t="shared" si="1826"/>
        <v>42950</v>
      </c>
      <c r="AG644" s="185">
        <v>277.13510000000002</v>
      </c>
      <c r="AH644" s="78">
        <v>36.951700000000002</v>
      </c>
      <c r="AI644" s="78">
        <v>20.385999999999999</v>
      </c>
      <c r="AJ644" s="78">
        <v>2.3128000000000002</v>
      </c>
      <c r="AK644" s="78"/>
      <c r="AL644" s="78"/>
      <c r="AM644" s="78"/>
      <c r="AN644" s="78"/>
      <c r="AO644" s="78"/>
      <c r="AP644" s="78"/>
      <c r="AQ644" s="78"/>
      <c r="AR644" s="78"/>
      <c r="AS644" s="78"/>
      <c r="AT644" s="78"/>
      <c r="AU644" s="78"/>
      <c r="AV644" s="78"/>
      <c r="AW644" s="78"/>
      <c r="AX644" s="185">
        <v>277.13510000000002</v>
      </c>
      <c r="AY644" s="78">
        <v>46.369500000000002</v>
      </c>
      <c r="AZ644" s="78">
        <v>2.5068000000000001</v>
      </c>
      <c r="BA644" s="78">
        <v>2.9192</v>
      </c>
      <c r="BB644" s="78"/>
      <c r="BC644" s="78"/>
      <c r="BD644" s="78"/>
      <c r="BE644" s="78"/>
      <c r="BF644" s="78"/>
      <c r="BG644" s="78"/>
      <c r="BH644" s="78"/>
      <c r="BI644" s="78"/>
      <c r="BJ644" s="78"/>
      <c r="BK644" s="78"/>
      <c r="BL644" s="78"/>
      <c r="BM644" s="78"/>
      <c r="BN644" s="78">
        <v>41.763300000000001</v>
      </c>
      <c r="BO644" s="78">
        <v>6.2546999999999997</v>
      </c>
      <c r="BP644" s="78"/>
      <c r="BQ644" s="78">
        <f t="shared" si="1744"/>
        <v>41.763300000000001</v>
      </c>
      <c r="BR644" s="78">
        <f t="shared" si="1886"/>
        <v>6.2546999999999997</v>
      </c>
      <c r="BS644" s="78"/>
      <c r="BT644" s="78">
        <v>41.060400000000001</v>
      </c>
      <c r="BU644" s="78">
        <v>5.5038999999999998</v>
      </c>
      <c r="BV644" s="78"/>
      <c r="BW644" s="49">
        <f t="shared" si="1824"/>
        <v>41.060400000000001</v>
      </c>
      <c r="BX644" s="49">
        <f t="shared" si="1887"/>
        <v>5.5038999999999998</v>
      </c>
      <c r="BY644" s="49"/>
      <c r="BZ644" s="78"/>
      <c r="CA644" s="78"/>
      <c r="CB644" s="78">
        <v>100.81</v>
      </c>
      <c r="CC644" s="231">
        <f t="shared" ref="CC644:CC654" si="1902">B644</f>
        <v>42950</v>
      </c>
    </row>
    <row r="645" spans="2:81" x14ac:dyDescent="0.25">
      <c r="B645" s="57">
        <v>43000</v>
      </c>
      <c r="C645" s="58">
        <f t="shared" si="1864"/>
        <v>179.36849999999998</v>
      </c>
      <c r="D645" s="58">
        <f t="shared" si="1802"/>
        <v>161.48330000000001</v>
      </c>
      <c r="E645" s="58">
        <f t="shared" si="1811"/>
        <v>0</v>
      </c>
      <c r="F645" s="58">
        <f t="shared" si="1803"/>
        <v>0</v>
      </c>
      <c r="G645" s="58">
        <f t="shared" si="1812"/>
        <v>47.921900000000001</v>
      </c>
      <c r="H645" s="58">
        <f t="shared" si="1813"/>
        <v>47.921900000000001</v>
      </c>
      <c r="I645" s="58">
        <f t="shared" si="1814"/>
        <v>46.591900000000003</v>
      </c>
      <c r="J645" s="51">
        <f t="shared" si="1815"/>
        <v>46.591900000000003</v>
      </c>
      <c r="K645" s="99">
        <f t="shared" si="1816"/>
        <v>72.97</v>
      </c>
      <c r="L645" s="105">
        <f t="shared" si="1895"/>
        <v>478</v>
      </c>
      <c r="M645" s="58">
        <f t="shared" si="1896"/>
        <v>455</v>
      </c>
      <c r="N645" s="58"/>
      <c r="O645" s="58">
        <f t="shared" si="1897"/>
        <v>0</v>
      </c>
      <c r="P645" s="58">
        <f t="shared" si="1898"/>
        <v>89</v>
      </c>
      <c r="Q645" s="58">
        <f t="shared" si="1899"/>
        <v>89</v>
      </c>
      <c r="R645" s="58">
        <f t="shared" si="1900"/>
        <v>259</v>
      </c>
      <c r="S645" s="58">
        <f t="shared" si="1901"/>
        <v>259</v>
      </c>
      <c r="T645" s="58">
        <f t="shared" ref="T645:T660" si="1903">ROUNDUP(((K645+K644)*0.5)*(B645-B644)/9,0)</f>
        <v>483</v>
      </c>
      <c r="V645" s="137"/>
      <c r="W645" s="58"/>
      <c r="X645" s="58"/>
      <c r="Y645" s="58"/>
      <c r="Z645" s="58"/>
      <c r="AA645" s="58"/>
      <c r="AB645" s="58"/>
      <c r="AC645" s="58"/>
      <c r="AD645" s="138"/>
      <c r="AF645" s="57">
        <f t="shared" si="1826"/>
        <v>43000</v>
      </c>
      <c r="AG645" s="115">
        <v>125.11790000000001</v>
      </c>
      <c r="AH645" s="49">
        <v>32.637799999999999</v>
      </c>
      <c r="AI645" s="49">
        <v>19.376799999999999</v>
      </c>
      <c r="AJ645" s="49">
        <v>2.2360000000000002</v>
      </c>
      <c r="AK645" s="49"/>
      <c r="AL645" s="49"/>
      <c r="AM645" s="49"/>
      <c r="AN645" s="49"/>
      <c r="AO645" s="49"/>
      <c r="AP645" s="49"/>
      <c r="AQ645" s="49"/>
      <c r="AR645" s="49"/>
      <c r="AS645" s="49"/>
      <c r="AT645" s="49"/>
      <c r="AU645" s="49"/>
      <c r="AV645" s="49"/>
      <c r="AW645" s="49"/>
      <c r="AX645" s="115">
        <v>125.11790000000001</v>
      </c>
      <c r="AY645" s="49">
        <v>28.6736</v>
      </c>
      <c r="AZ645" s="49">
        <v>5.101</v>
      </c>
      <c r="BA645" s="49">
        <v>2.5908000000000002</v>
      </c>
      <c r="BB645" s="49"/>
      <c r="BC645" s="49"/>
      <c r="BD645" s="49"/>
      <c r="BE645" s="49"/>
      <c r="BF645" s="49"/>
      <c r="BG645" s="49"/>
      <c r="BH645" s="49"/>
      <c r="BI645" s="49"/>
      <c r="BJ645" s="49"/>
      <c r="BK645" s="49"/>
      <c r="BL645" s="49"/>
      <c r="BM645" s="49"/>
      <c r="BN645" s="49">
        <v>41.667200000000001</v>
      </c>
      <c r="BO645" s="49">
        <v>6.2546999999999997</v>
      </c>
      <c r="BP645" s="49"/>
      <c r="BQ645" s="49">
        <f t="shared" si="1744"/>
        <v>41.667200000000001</v>
      </c>
      <c r="BR645" s="49">
        <f t="shared" si="1886"/>
        <v>6.2546999999999997</v>
      </c>
      <c r="BS645" s="49"/>
      <c r="BT645" s="49">
        <v>41.088000000000001</v>
      </c>
      <c r="BU645" s="49">
        <v>5.5038999999999998</v>
      </c>
      <c r="BV645" s="49"/>
      <c r="BW645" s="49">
        <f t="shared" si="1824"/>
        <v>41.088000000000001</v>
      </c>
      <c r="BX645" s="49">
        <f t="shared" si="1887"/>
        <v>5.5038999999999998</v>
      </c>
      <c r="BY645" s="49"/>
      <c r="BZ645" s="49"/>
      <c r="CA645" s="49"/>
      <c r="CB645" s="49">
        <v>72.97</v>
      </c>
      <c r="CC645" s="231">
        <f t="shared" si="1902"/>
        <v>43000</v>
      </c>
    </row>
    <row r="646" spans="2:81" s="3" customFormat="1" ht="15.75" thickBot="1" x14ac:dyDescent="0.3">
      <c r="B646" s="158">
        <v>43050</v>
      </c>
      <c r="C646" s="144">
        <f t="shared" si="1864"/>
        <v>19.051500000000001</v>
      </c>
      <c r="D646" s="144">
        <f t="shared" si="1802"/>
        <v>35.015500000000003</v>
      </c>
      <c r="E646" s="144">
        <f t="shared" si="1811"/>
        <v>0</v>
      </c>
      <c r="F646" s="144">
        <f t="shared" si="1803"/>
        <v>0</v>
      </c>
      <c r="G646" s="144">
        <f t="shared" si="1812"/>
        <v>40.968899999999998</v>
      </c>
      <c r="H646" s="144">
        <f t="shared" si="1813"/>
        <v>40.968899999999998</v>
      </c>
      <c r="I646" s="144">
        <f t="shared" si="1814"/>
        <v>46.631399999999999</v>
      </c>
      <c r="J646" s="159">
        <f t="shared" si="1815"/>
        <v>46.631399999999999</v>
      </c>
      <c r="K646" s="160">
        <f t="shared" si="1816"/>
        <v>56.85</v>
      </c>
      <c r="L646" s="152">
        <f t="shared" si="1895"/>
        <v>184</v>
      </c>
      <c r="M646" s="144">
        <f t="shared" si="1896"/>
        <v>182</v>
      </c>
      <c r="N646" s="144"/>
      <c r="O646" s="144">
        <f t="shared" si="1897"/>
        <v>0</v>
      </c>
      <c r="P646" s="144">
        <f t="shared" si="1898"/>
        <v>83</v>
      </c>
      <c r="Q646" s="144">
        <f t="shared" si="1899"/>
        <v>83</v>
      </c>
      <c r="R646" s="144">
        <f t="shared" si="1900"/>
        <v>259</v>
      </c>
      <c r="S646" s="144">
        <f t="shared" si="1901"/>
        <v>259</v>
      </c>
      <c r="T646" s="144">
        <f t="shared" si="1903"/>
        <v>361</v>
      </c>
      <c r="V646" s="150">
        <f>L644+L645+L646</f>
        <v>1395</v>
      </c>
      <c r="W646" s="150">
        <f t="shared" ref="W646" si="1904">M644+M645+M646</f>
        <v>1432</v>
      </c>
      <c r="X646" s="150"/>
      <c r="Y646" s="150">
        <f t="shared" ref="Y646" si="1905">O644+O645+O646</f>
        <v>0</v>
      </c>
      <c r="Z646" s="150">
        <f t="shared" ref="Z646" si="1906">P644+P645+P646</f>
        <v>261</v>
      </c>
      <c r="AA646" s="150">
        <f t="shared" ref="AA646" si="1907">Q644+Q645+Q646</f>
        <v>261</v>
      </c>
      <c r="AB646" s="150">
        <f t="shared" ref="AB646" si="1908">R644+R645+R646</f>
        <v>777</v>
      </c>
      <c r="AC646" s="150">
        <f t="shared" ref="AC646" si="1909">S644+S645+S646</f>
        <v>777</v>
      </c>
      <c r="AD646" s="150">
        <f t="shared" ref="AD646" si="1910">T644+T645+T646</f>
        <v>1441</v>
      </c>
      <c r="AF646" s="158">
        <f t="shared" si="1826"/>
        <v>43050</v>
      </c>
      <c r="AG646" s="149">
        <v>5.0195999999999996</v>
      </c>
      <c r="AH646" s="149">
        <v>12.186500000000001</v>
      </c>
      <c r="AI646" s="149">
        <v>1.8453999999999999</v>
      </c>
      <c r="AJ646" s="149"/>
      <c r="AK646" s="149"/>
      <c r="AL646" s="149"/>
      <c r="AM646" s="149"/>
      <c r="AN646" s="149"/>
      <c r="AO646" s="149"/>
      <c r="AP646" s="149"/>
      <c r="AQ646" s="149"/>
      <c r="AR646" s="149"/>
      <c r="AS646" s="149"/>
      <c r="AT646" s="149"/>
      <c r="AU646" s="149"/>
      <c r="AV646" s="149"/>
      <c r="AW646" s="149"/>
      <c r="AX646" s="149">
        <v>18.723800000000001</v>
      </c>
      <c r="AY646" s="149">
        <v>12.3291</v>
      </c>
      <c r="AZ646" s="149"/>
      <c r="BA646" s="149">
        <v>3.9626000000000001</v>
      </c>
      <c r="BB646" s="149"/>
      <c r="BC646" s="149"/>
      <c r="BD646" s="149"/>
      <c r="BE646" s="149"/>
      <c r="BF646" s="149"/>
      <c r="BG646" s="149"/>
      <c r="BH646" s="149"/>
      <c r="BI646" s="149"/>
      <c r="BJ646" s="149"/>
      <c r="BK646" s="149"/>
      <c r="BL646" s="149"/>
      <c r="BM646" s="149"/>
      <c r="BN646" s="149">
        <v>34.714199999999998</v>
      </c>
      <c r="BO646" s="149">
        <v>6.2546999999999997</v>
      </c>
      <c r="BP646" s="149"/>
      <c r="BQ646" s="149">
        <f t="shared" si="1744"/>
        <v>34.714199999999998</v>
      </c>
      <c r="BR646" s="149">
        <f t="shared" si="1886"/>
        <v>6.2546999999999997</v>
      </c>
      <c r="BS646" s="149"/>
      <c r="BT646" s="149">
        <v>41.127499999999998</v>
      </c>
      <c r="BU646" s="149">
        <v>5.5038999999999998</v>
      </c>
      <c r="BV646" s="149"/>
      <c r="BW646" s="149">
        <f>BT646</f>
        <v>41.127499999999998</v>
      </c>
      <c r="BX646" s="149">
        <f>BU646</f>
        <v>5.5038999999999998</v>
      </c>
      <c r="BY646" s="149"/>
      <c r="BZ646" s="149"/>
      <c r="CA646" s="149"/>
      <c r="CB646" s="149">
        <v>56.85</v>
      </c>
      <c r="CC646" s="231">
        <f t="shared" si="1902"/>
        <v>43050</v>
      </c>
    </row>
    <row r="647" spans="2:81" x14ac:dyDescent="0.25">
      <c r="B647" s="155">
        <v>43100</v>
      </c>
      <c r="C647" s="147">
        <f t="shared" si="1864"/>
        <v>371.00709999999998</v>
      </c>
      <c r="D647" s="147">
        <f t="shared" si="1802"/>
        <v>17.391500000000001</v>
      </c>
      <c r="E647" s="147">
        <f t="shared" si="1811"/>
        <v>0</v>
      </c>
      <c r="F647" s="147">
        <f t="shared" si="1803"/>
        <v>0</v>
      </c>
      <c r="G647" s="147">
        <f t="shared" si="1812"/>
        <v>40.969000000000001</v>
      </c>
      <c r="H647" s="147">
        <f t="shared" si="1813"/>
        <v>40.969000000000001</v>
      </c>
      <c r="I647" s="147">
        <f t="shared" si="1814"/>
        <v>42.5824</v>
      </c>
      <c r="J647" s="156">
        <f t="shared" si="1815"/>
        <v>42.5824</v>
      </c>
      <c r="K647" s="157">
        <f t="shared" si="1816"/>
        <v>101.36</v>
      </c>
      <c r="L647" s="151">
        <f t="shared" si="1895"/>
        <v>362</v>
      </c>
      <c r="M647" s="147">
        <f t="shared" si="1896"/>
        <v>49</v>
      </c>
      <c r="N647" s="147"/>
      <c r="O647" s="147">
        <f t="shared" si="1897"/>
        <v>0</v>
      </c>
      <c r="P647" s="147">
        <f t="shared" si="1898"/>
        <v>76</v>
      </c>
      <c r="Q647" s="147">
        <f t="shared" si="1899"/>
        <v>76</v>
      </c>
      <c r="R647" s="147">
        <f t="shared" si="1900"/>
        <v>248</v>
      </c>
      <c r="S647" s="147">
        <f t="shared" si="1901"/>
        <v>248</v>
      </c>
      <c r="T647" s="147">
        <f t="shared" si="1903"/>
        <v>440</v>
      </c>
      <c r="V647" s="146"/>
      <c r="W647" s="147"/>
      <c r="X647" s="147"/>
      <c r="Y647" s="147"/>
      <c r="Z647" s="147"/>
      <c r="AA647" s="147"/>
      <c r="AB647" s="147"/>
      <c r="AC647" s="147"/>
      <c r="AD647" s="148"/>
      <c r="AF647" s="155">
        <f t="shared" si="1826"/>
        <v>43100</v>
      </c>
      <c r="AG647" s="78">
        <v>361.61759999999998</v>
      </c>
      <c r="AH647" s="78">
        <v>7.1910999999999996</v>
      </c>
      <c r="AI647" s="78">
        <v>2.1983999999999999</v>
      </c>
      <c r="AJ647" s="78"/>
      <c r="AK647" s="78"/>
      <c r="AL647" s="78"/>
      <c r="AM647" s="78"/>
      <c r="AN647" s="78"/>
      <c r="AO647" s="78"/>
      <c r="AP647" s="78"/>
      <c r="AQ647" s="78"/>
      <c r="AR647" s="78"/>
      <c r="AS647" s="78"/>
      <c r="AT647" s="78"/>
      <c r="AU647" s="78"/>
      <c r="AV647" s="78"/>
      <c r="AW647" s="78"/>
      <c r="AX647" s="78">
        <v>13.8604</v>
      </c>
      <c r="AY647" s="78">
        <v>3.5310999999999999</v>
      </c>
      <c r="AZ647" s="78"/>
      <c r="BA647" s="78"/>
      <c r="BB647" s="78"/>
      <c r="BC647" s="78"/>
      <c r="BD647" s="78"/>
      <c r="BE647" s="78"/>
      <c r="BF647" s="78"/>
      <c r="BG647" s="78"/>
      <c r="BH647" s="78"/>
      <c r="BI647" s="78"/>
      <c r="BJ647" s="78"/>
      <c r="BK647" s="78"/>
      <c r="BL647" s="78"/>
      <c r="BM647" s="78"/>
      <c r="BN647" s="78">
        <v>34.714300000000001</v>
      </c>
      <c r="BO647" s="78"/>
      <c r="BP647" s="78">
        <v>6.2546999999999997</v>
      </c>
      <c r="BQ647" s="78">
        <f t="shared" si="1744"/>
        <v>34.714300000000001</v>
      </c>
      <c r="BR647" s="78">
        <f t="shared" si="1886"/>
        <v>0</v>
      </c>
      <c r="BS647" s="78">
        <f>BP647</f>
        <v>6.2546999999999997</v>
      </c>
      <c r="BT647" s="78">
        <v>37.078499999999998</v>
      </c>
      <c r="BU647" s="78"/>
      <c r="BV647" s="78">
        <v>5.5038999999999998</v>
      </c>
      <c r="BW647" s="49">
        <f t="shared" si="1824"/>
        <v>37.078499999999998</v>
      </c>
      <c r="BX647" s="49">
        <f t="shared" si="1887"/>
        <v>0</v>
      </c>
      <c r="BY647" s="49">
        <f t="shared" ref="BY647" si="1911">BV647</f>
        <v>5.5038999999999998</v>
      </c>
      <c r="BZ647" s="78"/>
      <c r="CA647" s="78"/>
      <c r="CB647" s="78">
        <v>101.36</v>
      </c>
      <c r="CC647" s="231">
        <f t="shared" si="1902"/>
        <v>43100</v>
      </c>
    </row>
    <row r="648" spans="2:81" x14ac:dyDescent="0.25">
      <c r="B648" s="57">
        <v>43150</v>
      </c>
      <c r="C648" s="58">
        <f t="shared" si="1864"/>
        <v>685.21130000000005</v>
      </c>
      <c r="D648" s="58">
        <f t="shared" si="1802"/>
        <v>11.792</v>
      </c>
      <c r="E648" s="58">
        <f t="shared" si="1811"/>
        <v>0</v>
      </c>
      <c r="F648" s="58">
        <f t="shared" si="1803"/>
        <v>0</v>
      </c>
      <c r="G648" s="58">
        <f t="shared" si="1812"/>
        <v>43.519500000000001</v>
      </c>
      <c r="H648" s="58">
        <f t="shared" si="1813"/>
        <v>43.519500000000001</v>
      </c>
      <c r="I648" s="58">
        <f t="shared" si="1814"/>
        <v>46.732600000000005</v>
      </c>
      <c r="J648" s="51">
        <f t="shared" si="1815"/>
        <v>46.732600000000005</v>
      </c>
      <c r="K648" s="99">
        <f t="shared" si="1816"/>
        <v>132.22</v>
      </c>
      <c r="L648" s="105">
        <f t="shared" si="1895"/>
        <v>978</v>
      </c>
      <c r="M648" s="58">
        <f t="shared" si="1896"/>
        <v>28</v>
      </c>
      <c r="N648" s="58"/>
      <c r="O648" s="58">
        <f t="shared" si="1897"/>
        <v>0</v>
      </c>
      <c r="P648" s="58">
        <f t="shared" si="1898"/>
        <v>79</v>
      </c>
      <c r="Q648" s="58">
        <f t="shared" si="1899"/>
        <v>79</v>
      </c>
      <c r="R648" s="58">
        <f t="shared" si="1900"/>
        <v>249</v>
      </c>
      <c r="S648" s="58">
        <f t="shared" si="1901"/>
        <v>249</v>
      </c>
      <c r="T648" s="58">
        <f t="shared" si="1903"/>
        <v>649</v>
      </c>
      <c r="V648" s="137"/>
      <c r="W648" s="58"/>
      <c r="X648" s="58"/>
      <c r="Y648" s="58"/>
      <c r="Z648" s="58"/>
      <c r="AA648" s="58"/>
      <c r="AB648" s="58"/>
      <c r="AC648" s="58"/>
      <c r="AD648" s="138"/>
      <c r="AF648" s="57">
        <f t="shared" si="1826"/>
        <v>43150</v>
      </c>
      <c r="AG648" s="49">
        <v>681.97220000000004</v>
      </c>
      <c r="AH648" s="49">
        <v>0.57569999999999999</v>
      </c>
      <c r="AI648" s="49">
        <v>0.74390000000000001</v>
      </c>
      <c r="AJ648" s="49">
        <v>6.54E-2</v>
      </c>
      <c r="AK648" s="49">
        <v>1.8541000000000001</v>
      </c>
      <c r="AL648" s="49"/>
      <c r="AM648" s="49"/>
      <c r="AN648" s="49"/>
      <c r="AO648" s="49"/>
      <c r="AP648" s="49"/>
      <c r="AQ648" s="49"/>
      <c r="AR648" s="49"/>
      <c r="AS648" s="49"/>
      <c r="AT648" s="49"/>
      <c r="AU648" s="49"/>
      <c r="AV648" s="49"/>
      <c r="AW648" s="49"/>
      <c r="AX648" s="49">
        <v>4.7759999999999998</v>
      </c>
      <c r="AY648" s="49">
        <v>3.0442999999999998</v>
      </c>
      <c r="AZ648" s="49">
        <v>0.2437</v>
      </c>
      <c r="BA648" s="49">
        <v>3.7280000000000002</v>
      </c>
      <c r="BB648" s="49"/>
      <c r="BC648" s="49"/>
      <c r="BD648" s="49"/>
      <c r="BE648" s="49"/>
      <c r="BF648" s="49"/>
      <c r="BG648" s="49"/>
      <c r="BH648" s="49"/>
      <c r="BI648" s="49"/>
      <c r="BJ648" s="49"/>
      <c r="BK648" s="49"/>
      <c r="BL648" s="49"/>
      <c r="BM648" s="49"/>
      <c r="BN648" s="49">
        <v>33.2211</v>
      </c>
      <c r="BO648" s="49">
        <v>4.0437000000000003</v>
      </c>
      <c r="BP648" s="49">
        <v>6.2546999999999997</v>
      </c>
      <c r="BQ648" s="49">
        <f t="shared" si="1744"/>
        <v>33.2211</v>
      </c>
      <c r="BR648" s="49">
        <f t="shared" si="1886"/>
        <v>4.0437000000000003</v>
      </c>
      <c r="BS648" s="49">
        <f t="shared" ref="BS648:BS649" si="1912">BP648</f>
        <v>6.2546999999999997</v>
      </c>
      <c r="BT648" s="49">
        <v>41.228700000000003</v>
      </c>
      <c r="BU648" s="49">
        <v>5.5038999999999998</v>
      </c>
      <c r="BV648" s="49"/>
      <c r="BW648" s="49">
        <f t="shared" si="1824"/>
        <v>41.228700000000003</v>
      </c>
      <c r="BX648" s="49">
        <f t="shared" si="1887"/>
        <v>5.5038999999999998</v>
      </c>
      <c r="BY648" s="49"/>
      <c r="BZ648" s="49"/>
      <c r="CA648" s="49"/>
      <c r="CB648" s="49">
        <v>132.22</v>
      </c>
      <c r="CC648" s="231">
        <f t="shared" si="1902"/>
        <v>43150</v>
      </c>
    </row>
    <row r="649" spans="2:81" s="3" customFormat="1" ht="15.75" thickBot="1" x14ac:dyDescent="0.3">
      <c r="B649" s="158">
        <v>43200</v>
      </c>
      <c r="C649" s="144">
        <f t="shared" si="1864"/>
        <v>954.52809999999999</v>
      </c>
      <c r="D649" s="144">
        <f t="shared" si="1802"/>
        <v>10.795200000000001</v>
      </c>
      <c r="E649" s="144">
        <f t="shared" si="1811"/>
        <v>0</v>
      </c>
      <c r="F649" s="144">
        <f t="shared" si="1803"/>
        <v>0</v>
      </c>
      <c r="G649" s="144">
        <f t="shared" si="1812"/>
        <v>44.571100000000001</v>
      </c>
      <c r="H649" s="144">
        <f t="shared" si="1813"/>
        <v>44.571100000000001</v>
      </c>
      <c r="I649" s="144">
        <f t="shared" si="1814"/>
        <v>46.760000000000005</v>
      </c>
      <c r="J649" s="159">
        <f t="shared" si="1815"/>
        <v>46.760000000000005</v>
      </c>
      <c r="K649" s="160">
        <f t="shared" si="1816"/>
        <v>153.88999999999999</v>
      </c>
      <c r="L649" s="152">
        <f t="shared" si="1895"/>
        <v>1519</v>
      </c>
      <c r="M649" s="144">
        <f t="shared" si="1896"/>
        <v>21</v>
      </c>
      <c r="N649" s="144"/>
      <c r="O649" s="144">
        <f t="shared" si="1897"/>
        <v>0</v>
      </c>
      <c r="P649" s="144">
        <f t="shared" si="1898"/>
        <v>82</v>
      </c>
      <c r="Q649" s="144">
        <f t="shared" si="1899"/>
        <v>82</v>
      </c>
      <c r="R649" s="144">
        <f t="shared" si="1900"/>
        <v>260</v>
      </c>
      <c r="S649" s="144">
        <f t="shared" si="1901"/>
        <v>260</v>
      </c>
      <c r="T649" s="144">
        <f t="shared" si="1903"/>
        <v>795</v>
      </c>
      <c r="V649" s="150">
        <f>L647+L648+L649</f>
        <v>2859</v>
      </c>
      <c r="W649" s="150">
        <f t="shared" ref="W649" si="1913">M647+M648+M649</f>
        <v>98</v>
      </c>
      <c r="X649" s="150"/>
      <c r="Y649" s="150">
        <f t="shared" ref="Y649" si="1914">O647+O648+O649</f>
        <v>0</v>
      </c>
      <c r="Z649" s="150">
        <f t="shared" ref="Z649" si="1915">P647+P648+P649</f>
        <v>237</v>
      </c>
      <c r="AA649" s="150">
        <f t="shared" ref="AA649" si="1916">Q647+Q648+Q649</f>
        <v>237</v>
      </c>
      <c r="AB649" s="150">
        <f t="shared" ref="AB649" si="1917">R647+R648+R649</f>
        <v>757</v>
      </c>
      <c r="AC649" s="150">
        <f t="shared" ref="AC649" si="1918">S647+S648+S649</f>
        <v>757</v>
      </c>
      <c r="AD649" s="150">
        <f t="shared" ref="AD649" si="1919">T647+T648+T649</f>
        <v>1884</v>
      </c>
      <c r="AF649" s="158">
        <f t="shared" si="1826"/>
        <v>43200</v>
      </c>
      <c r="AG649" s="149">
        <v>949.37519999999995</v>
      </c>
      <c r="AH649" s="149">
        <v>2.8473999999999999</v>
      </c>
      <c r="AI649" s="149">
        <v>2.3054999999999999</v>
      </c>
      <c r="AJ649" s="149"/>
      <c r="AK649" s="149"/>
      <c r="AL649" s="149"/>
      <c r="AM649" s="149"/>
      <c r="AN649" s="149"/>
      <c r="AO649" s="149"/>
      <c r="AP649" s="149"/>
      <c r="AQ649" s="149"/>
      <c r="AR649" s="149"/>
      <c r="AS649" s="149"/>
      <c r="AT649" s="149"/>
      <c r="AU649" s="149"/>
      <c r="AV649" s="149"/>
      <c r="AW649" s="149"/>
      <c r="AX649" s="149">
        <v>4.1009000000000002</v>
      </c>
      <c r="AY649" s="149"/>
      <c r="AZ649" s="149">
        <v>3.9001000000000001</v>
      </c>
      <c r="BA649" s="149">
        <v>2.7942</v>
      </c>
      <c r="BB649" s="149"/>
      <c r="BC649" s="149"/>
      <c r="BD649" s="149"/>
      <c r="BE649" s="149"/>
      <c r="BF649" s="149"/>
      <c r="BG649" s="149"/>
      <c r="BH649" s="149"/>
      <c r="BI649" s="149"/>
      <c r="BJ649" s="149"/>
      <c r="BK649" s="149"/>
      <c r="BL649" s="149"/>
      <c r="BM649" s="149"/>
      <c r="BN649" s="149">
        <v>29.577400000000001</v>
      </c>
      <c r="BO649" s="149">
        <v>8.7390000000000008</v>
      </c>
      <c r="BP649" s="149">
        <v>6.2546999999999997</v>
      </c>
      <c r="BQ649" s="149">
        <f t="shared" si="1744"/>
        <v>29.577400000000001</v>
      </c>
      <c r="BR649" s="149">
        <f t="shared" si="1886"/>
        <v>8.7390000000000008</v>
      </c>
      <c r="BS649" s="149">
        <f t="shared" si="1912"/>
        <v>6.2546999999999997</v>
      </c>
      <c r="BT649" s="149">
        <v>41.256100000000004</v>
      </c>
      <c r="BU649" s="149">
        <v>5.5038999999999998</v>
      </c>
      <c r="BV649" s="149"/>
      <c r="BW649" s="149">
        <f>BT649</f>
        <v>41.256100000000004</v>
      </c>
      <c r="BX649" s="149">
        <f>BU649</f>
        <v>5.5038999999999998</v>
      </c>
      <c r="BY649" s="149"/>
      <c r="BZ649" s="149"/>
      <c r="CA649" s="149"/>
      <c r="CB649" s="149">
        <v>153.88999999999999</v>
      </c>
      <c r="CC649" s="231">
        <f t="shared" si="1902"/>
        <v>43200</v>
      </c>
    </row>
    <row r="650" spans="2:81" x14ac:dyDescent="0.25">
      <c r="B650" s="155">
        <v>43250</v>
      </c>
      <c r="C650" s="147">
        <f t="shared" si="1864"/>
        <v>1122.8877</v>
      </c>
      <c r="D650" s="147">
        <f t="shared" si="1802"/>
        <v>9.3462999999999994</v>
      </c>
      <c r="E650" s="147">
        <f t="shared" si="1811"/>
        <v>0</v>
      </c>
      <c r="F650" s="147">
        <f t="shared" si="1803"/>
        <v>0</v>
      </c>
      <c r="G650" s="147">
        <f t="shared" si="1812"/>
        <v>45.616399999999999</v>
      </c>
      <c r="H650" s="147">
        <f t="shared" si="1813"/>
        <v>45.616399999999999</v>
      </c>
      <c r="I650" s="147">
        <f t="shared" si="1814"/>
        <v>46.753799999999998</v>
      </c>
      <c r="J650" s="156">
        <f t="shared" si="1815"/>
        <v>46.753799999999998</v>
      </c>
      <c r="K650" s="157">
        <f t="shared" si="1816"/>
        <v>178.25</v>
      </c>
      <c r="L650" s="151">
        <f t="shared" si="1895"/>
        <v>1924</v>
      </c>
      <c r="M650" s="147">
        <f t="shared" si="1896"/>
        <v>19</v>
      </c>
      <c r="N650" s="147"/>
      <c r="O650" s="147">
        <f t="shared" si="1897"/>
        <v>0</v>
      </c>
      <c r="P650" s="147">
        <f t="shared" si="1898"/>
        <v>84</v>
      </c>
      <c r="Q650" s="147">
        <f t="shared" si="1899"/>
        <v>84</v>
      </c>
      <c r="R650" s="147">
        <f t="shared" si="1900"/>
        <v>260</v>
      </c>
      <c r="S650" s="147">
        <f t="shared" si="1901"/>
        <v>260</v>
      </c>
      <c r="T650" s="147">
        <f t="shared" si="1903"/>
        <v>923</v>
      </c>
      <c r="V650" s="146"/>
      <c r="W650" s="147"/>
      <c r="X650" s="147"/>
      <c r="Y650" s="147"/>
      <c r="Z650" s="147"/>
      <c r="AA650" s="147"/>
      <c r="AB650" s="147"/>
      <c r="AC650" s="147"/>
      <c r="AD650" s="148"/>
      <c r="AF650" s="155">
        <f t="shared" si="1826"/>
        <v>43250</v>
      </c>
      <c r="AG650" s="78">
        <v>1117.5663</v>
      </c>
      <c r="AH650" s="78">
        <v>2.8050000000000002</v>
      </c>
      <c r="AI650" s="78">
        <v>0.3911</v>
      </c>
      <c r="AJ650" s="78">
        <v>2.1253000000000002</v>
      </c>
      <c r="AK650" s="78"/>
      <c r="AL650" s="78"/>
      <c r="AM650" s="78"/>
      <c r="AN650" s="78"/>
      <c r="AO650" s="78"/>
      <c r="AP650" s="78"/>
      <c r="AQ650" s="78"/>
      <c r="AR650" s="78"/>
      <c r="AS650" s="78"/>
      <c r="AT650" s="78"/>
      <c r="AU650" s="78"/>
      <c r="AV650" s="78"/>
      <c r="AW650" s="78"/>
      <c r="AX650" s="78">
        <v>3.2265000000000001</v>
      </c>
      <c r="AY650" s="78">
        <v>6.1197999999999997</v>
      </c>
      <c r="AZ650" s="78"/>
      <c r="BA650" s="78"/>
      <c r="BB650" s="78"/>
      <c r="BC650" s="78"/>
      <c r="BD650" s="78"/>
      <c r="BE650" s="78"/>
      <c r="BF650" s="78"/>
      <c r="BG650" s="78"/>
      <c r="BH650" s="78"/>
      <c r="BI650" s="78"/>
      <c r="BJ650" s="78"/>
      <c r="BK650" s="78"/>
      <c r="BL650" s="78"/>
      <c r="BM650" s="78"/>
      <c r="BN650" s="78">
        <v>39.361699999999999</v>
      </c>
      <c r="BO650" s="78">
        <v>6.2546999999999997</v>
      </c>
      <c r="BP650" s="78"/>
      <c r="BQ650" s="78">
        <f t="shared" si="1744"/>
        <v>39.361699999999999</v>
      </c>
      <c r="BR650" s="78">
        <f t="shared" si="1886"/>
        <v>6.2546999999999997</v>
      </c>
      <c r="BS650" s="78"/>
      <c r="BT650" s="78">
        <v>41.249899999999997</v>
      </c>
      <c r="BU650" s="78">
        <v>5.5038999999999998</v>
      </c>
      <c r="BV650" s="78"/>
      <c r="BW650" s="49">
        <f t="shared" si="1824"/>
        <v>41.249899999999997</v>
      </c>
      <c r="BX650" s="49">
        <f t="shared" si="1887"/>
        <v>5.5038999999999998</v>
      </c>
      <c r="BY650" s="49"/>
      <c r="BZ650" s="78"/>
      <c r="CA650" s="78"/>
      <c r="CB650" s="78">
        <v>178.25</v>
      </c>
      <c r="CC650" s="231">
        <f t="shared" si="1902"/>
        <v>43250</v>
      </c>
    </row>
    <row r="651" spans="2:81" s="3" customFormat="1" ht="15.75" thickBot="1" x14ac:dyDescent="0.3">
      <c r="B651" s="158">
        <v>43300</v>
      </c>
      <c r="C651" s="144">
        <f t="shared" si="1864"/>
        <v>2439.8660999999997</v>
      </c>
      <c r="D651" s="144">
        <f t="shared" si="1802"/>
        <v>0</v>
      </c>
      <c r="E651" s="144">
        <f t="shared" si="1811"/>
        <v>0</v>
      </c>
      <c r="F651" s="144">
        <f t="shared" si="1803"/>
        <v>0</v>
      </c>
      <c r="G651" s="144">
        <f t="shared" si="1812"/>
        <v>51.083799999999997</v>
      </c>
      <c r="H651" s="144">
        <f t="shared" si="1813"/>
        <v>51.083799999999997</v>
      </c>
      <c r="I651" s="144">
        <f t="shared" si="1814"/>
        <v>50.4848</v>
      </c>
      <c r="J651" s="159">
        <f t="shared" si="1815"/>
        <v>50.4848</v>
      </c>
      <c r="K651" s="160">
        <f t="shared" si="1816"/>
        <v>286.97000000000003</v>
      </c>
      <c r="L651" s="152">
        <f t="shared" si="1895"/>
        <v>3299</v>
      </c>
      <c r="M651" s="144">
        <f t="shared" si="1896"/>
        <v>9</v>
      </c>
      <c r="N651" s="144"/>
      <c r="O651" s="144">
        <f t="shared" si="1897"/>
        <v>0</v>
      </c>
      <c r="P651" s="144">
        <f t="shared" si="1898"/>
        <v>90</v>
      </c>
      <c r="Q651" s="144">
        <f t="shared" si="1899"/>
        <v>90</v>
      </c>
      <c r="R651" s="144">
        <f t="shared" si="1900"/>
        <v>271</v>
      </c>
      <c r="S651" s="144">
        <f t="shared" si="1901"/>
        <v>271</v>
      </c>
      <c r="T651" s="144">
        <f t="shared" si="1903"/>
        <v>1293</v>
      </c>
      <c r="V651" s="150">
        <f>L650+L651</f>
        <v>5223</v>
      </c>
      <c r="W651" s="150">
        <f t="shared" ref="W651" si="1920">M650+M651</f>
        <v>28</v>
      </c>
      <c r="X651" s="150"/>
      <c r="Y651" s="150">
        <f t="shared" ref="Y651" si="1921">O650+O651</f>
        <v>0</v>
      </c>
      <c r="Z651" s="150">
        <f t="shared" ref="Z651" si="1922">P650+P651</f>
        <v>174</v>
      </c>
      <c r="AA651" s="150">
        <f t="shared" ref="AA651" si="1923">Q650+Q651</f>
        <v>174</v>
      </c>
      <c r="AB651" s="150">
        <f t="shared" ref="AB651" si="1924">R650+R651</f>
        <v>531</v>
      </c>
      <c r="AC651" s="150">
        <f t="shared" ref="AC651" si="1925">S650+S651</f>
        <v>531</v>
      </c>
      <c r="AD651" s="150">
        <f t="shared" ref="AD651" si="1926">T650+T651</f>
        <v>2216</v>
      </c>
      <c r="AF651" s="158">
        <f t="shared" si="1826"/>
        <v>43300</v>
      </c>
      <c r="AG651" s="149">
        <v>2431.4310999999998</v>
      </c>
      <c r="AH651" s="149">
        <v>4.71</v>
      </c>
      <c r="AI651" s="149">
        <v>3.7250000000000001</v>
      </c>
      <c r="AJ651" s="149"/>
      <c r="AK651" s="149"/>
      <c r="AL651" s="149"/>
      <c r="AM651" s="149"/>
      <c r="AN651" s="149"/>
      <c r="AO651" s="149"/>
      <c r="AP651" s="149"/>
      <c r="AQ651" s="149"/>
      <c r="AR651" s="149"/>
      <c r="AS651" s="149"/>
      <c r="AT651" s="149"/>
      <c r="AU651" s="149"/>
      <c r="AV651" s="149"/>
      <c r="AW651" s="149"/>
      <c r="AX651" s="149"/>
      <c r="AY651" s="149"/>
      <c r="AZ651" s="149"/>
      <c r="BA651" s="149"/>
      <c r="BB651" s="149"/>
      <c r="BC651" s="149"/>
      <c r="BD651" s="149"/>
      <c r="BE651" s="149"/>
      <c r="BF651" s="149"/>
      <c r="BG651" s="149"/>
      <c r="BH651" s="149"/>
      <c r="BI651" s="149"/>
      <c r="BJ651" s="149"/>
      <c r="BK651" s="149"/>
      <c r="BL651" s="149"/>
      <c r="BM651" s="149"/>
      <c r="BN651" s="149">
        <v>51.083799999999997</v>
      </c>
      <c r="BO651" s="149"/>
      <c r="BP651" s="149"/>
      <c r="BQ651" s="149">
        <f t="shared" si="1744"/>
        <v>51.083799999999997</v>
      </c>
      <c r="BR651" s="149"/>
      <c r="BS651" s="149"/>
      <c r="BT651" s="149">
        <v>50.4848</v>
      </c>
      <c r="BU651" s="149"/>
      <c r="BV651" s="149"/>
      <c r="BW651" s="149">
        <f>BT651</f>
        <v>50.4848</v>
      </c>
      <c r="BX651" s="149"/>
      <c r="BY651" s="149"/>
      <c r="BZ651" s="149"/>
      <c r="CA651" s="149"/>
      <c r="CB651" s="149">
        <v>286.97000000000003</v>
      </c>
      <c r="CC651" s="231">
        <f t="shared" si="1902"/>
        <v>43300</v>
      </c>
    </row>
    <row r="652" spans="2:81" x14ac:dyDescent="0.25">
      <c r="B652" s="155">
        <v>43350</v>
      </c>
      <c r="C652" s="147">
        <f t="shared" si="1864"/>
        <v>3824.2736</v>
      </c>
      <c r="D652" s="147">
        <f t="shared" si="1802"/>
        <v>0</v>
      </c>
      <c r="E652" s="147">
        <f t="shared" si="1811"/>
        <v>0</v>
      </c>
      <c r="F652" s="147">
        <f t="shared" si="1803"/>
        <v>0</v>
      </c>
      <c r="G652" s="147">
        <f t="shared" si="1812"/>
        <v>46.4315</v>
      </c>
      <c r="H652" s="147">
        <f t="shared" si="1813"/>
        <v>46.4315</v>
      </c>
      <c r="I652" s="147">
        <f t="shared" si="1814"/>
        <v>45.773899999999998</v>
      </c>
      <c r="J652" s="156">
        <f t="shared" si="1815"/>
        <v>45.773899999999998</v>
      </c>
      <c r="K652" s="157">
        <f t="shared" si="1816"/>
        <v>348.64</v>
      </c>
      <c r="L652" s="151">
        <f t="shared" si="1895"/>
        <v>5801</v>
      </c>
      <c r="M652" s="147">
        <f t="shared" si="1896"/>
        <v>0</v>
      </c>
      <c r="N652" s="147"/>
      <c r="O652" s="147">
        <f t="shared" si="1897"/>
        <v>0</v>
      </c>
      <c r="P652" s="147">
        <f t="shared" si="1898"/>
        <v>91</v>
      </c>
      <c r="Q652" s="147">
        <f t="shared" si="1899"/>
        <v>91</v>
      </c>
      <c r="R652" s="147">
        <f t="shared" si="1900"/>
        <v>268</v>
      </c>
      <c r="S652" s="147">
        <f t="shared" si="1901"/>
        <v>268</v>
      </c>
      <c r="T652" s="147">
        <f t="shared" si="1903"/>
        <v>1766</v>
      </c>
      <c r="V652" s="146"/>
      <c r="W652" s="147"/>
      <c r="X652" s="147"/>
      <c r="Y652" s="147"/>
      <c r="Z652" s="147"/>
      <c r="AA652" s="147"/>
      <c r="AB652" s="147"/>
      <c r="AC652" s="147"/>
      <c r="AD652" s="148"/>
      <c r="AF652" s="155">
        <f t="shared" si="1826"/>
        <v>43350</v>
      </c>
      <c r="AG652" s="78">
        <v>3818.8283999999999</v>
      </c>
      <c r="AH652" s="78">
        <v>5.4451999999999998</v>
      </c>
      <c r="AI652" s="78"/>
      <c r="AJ652" s="78"/>
      <c r="AK652" s="78"/>
      <c r="AL652" s="78"/>
      <c r="AM652" s="78"/>
      <c r="AN652" s="78"/>
      <c r="AO652" s="78"/>
      <c r="AP652" s="78"/>
      <c r="AQ652" s="78"/>
      <c r="AR652" s="78"/>
      <c r="AS652" s="78"/>
      <c r="AT652" s="78"/>
      <c r="AU652" s="78"/>
      <c r="AV652" s="78"/>
      <c r="AW652" s="78"/>
      <c r="AX652" s="78"/>
      <c r="AY652" s="78"/>
      <c r="AZ652" s="78"/>
      <c r="BA652" s="78"/>
      <c r="BB652" s="78"/>
      <c r="BC652" s="78"/>
      <c r="BD652" s="78"/>
      <c r="BE652" s="78"/>
      <c r="BF652" s="78"/>
      <c r="BG652" s="78"/>
      <c r="BH652" s="78"/>
      <c r="BI652" s="78"/>
      <c r="BJ652" s="78"/>
      <c r="BK652" s="78"/>
      <c r="BL652" s="78"/>
      <c r="BM652" s="78"/>
      <c r="BN652" s="78">
        <v>46.4315</v>
      </c>
      <c r="BO652" s="78"/>
      <c r="BP652" s="78"/>
      <c r="BQ652" s="78">
        <f t="shared" ref="BQ652:BQ660" si="1927">BN652</f>
        <v>46.4315</v>
      </c>
      <c r="BR652" s="78"/>
      <c r="BS652" s="78"/>
      <c r="BT652" s="78">
        <v>45.773899999999998</v>
      </c>
      <c r="BU652" s="78"/>
      <c r="BV652" s="78"/>
      <c r="BW652" s="49">
        <f t="shared" si="1824"/>
        <v>45.773899999999998</v>
      </c>
      <c r="BX652" s="49"/>
      <c r="BY652" s="49"/>
      <c r="BZ652" s="78"/>
      <c r="CA652" s="78"/>
      <c r="CB652" s="78">
        <v>348.64</v>
      </c>
      <c r="CC652" s="231">
        <f t="shared" si="1902"/>
        <v>43350</v>
      </c>
    </row>
    <row r="653" spans="2:81" s="3" customFormat="1" ht="15.75" thickBot="1" x14ac:dyDescent="0.3">
      <c r="B653" s="158">
        <v>43400</v>
      </c>
      <c r="C653" s="144">
        <f t="shared" si="1864"/>
        <v>7283.3504999999996</v>
      </c>
      <c r="D653" s="144">
        <f t="shared" si="1802"/>
        <v>0</v>
      </c>
      <c r="E653" s="144">
        <f t="shared" si="1811"/>
        <v>0</v>
      </c>
      <c r="F653" s="144">
        <f t="shared" si="1803"/>
        <v>0</v>
      </c>
      <c r="G653" s="144">
        <f t="shared" si="1812"/>
        <v>41.756799999999998</v>
      </c>
      <c r="H653" s="144">
        <f t="shared" si="1813"/>
        <v>41.756799999999998</v>
      </c>
      <c r="I653" s="144">
        <f t="shared" si="1814"/>
        <v>41.059800000000003</v>
      </c>
      <c r="J653" s="159">
        <f t="shared" si="1815"/>
        <v>41.059800000000003</v>
      </c>
      <c r="K653" s="160">
        <f t="shared" si="1816"/>
        <v>516.94000000000005</v>
      </c>
      <c r="L653" s="152">
        <f t="shared" si="1895"/>
        <v>10285</v>
      </c>
      <c r="M653" s="144">
        <f t="shared" si="1896"/>
        <v>0</v>
      </c>
      <c r="N653" s="144"/>
      <c r="O653" s="144">
        <f t="shared" si="1897"/>
        <v>0</v>
      </c>
      <c r="P653" s="144">
        <f t="shared" si="1898"/>
        <v>82</v>
      </c>
      <c r="Q653" s="144">
        <f t="shared" si="1899"/>
        <v>82</v>
      </c>
      <c r="R653" s="144">
        <f t="shared" si="1900"/>
        <v>242</v>
      </c>
      <c r="S653" s="144">
        <f t="shared" si="1901"/>
        <v>242</v>
      </c>
      <c r="T653" s="144">
        <f t="shared" si="1903"/>
        <v>2405</v>
      </c>
      <c r="V653" s="150">
        <f>L652+L653</f>
        <v>16086</v>
      </c>
      <c r="W653" s="150">
        <f t="shared" ref="W653" si="1928">M652+M653</f>
        <v>0</v>
      </c>
      <c r="X653" s="150"/>
      <c r="Y653" s="150">
        <f t="shared" ref="Y653" si="1929">O652+O653</f>
        <v>0</v>
      </c>
      <c r="Z653" s="150">
        <f t="shared" ref="Z653" si="1930">P652+P653</f>
        <v>173</v>
      </c>
      <c r="AA653" s="150">
        <f t="shared" ref="AA653" si="1931">Q652+Q653</f>
        <v>173</v>
      </c>
      <c r="AB653" s="150">
        <f t="shared" ref="AB653" si="1932">R652+R653</f>
        <v>510</v>
      </c>
      <c r="AC653" s="150">
        <f t="shared" ref="AC653" si="1933">S652+S653</f>
        <v>510</v>
      </c>
      <c r="AD653" s="150">
        <f t="shared" ref="AD653" si="1934">T652+T653</f>
        <v>4171</v>
      </c>
      <c r="AF653" s="158">
        <f t="shared" si="1826"/>
        <v>43400</v>
      </c>
      <c r="AG653" s="149">
        <v>7283.3504999999996</v>
      </c>
      <c r="AH653" s="149"/>
      <c r="AI653" s="149"/>
      <c r="AJ653" s="149"/>
      <c r="AK653" s="149"/>
      <c r="AL653" s="149"/>
      <c r="AM653" s="149"/>
      <c r="AN653" s="149"/>
      <c r="AO653" s="149"/>
      <c r="AP653" s="149"/>
      <c r="AQ653" s="149"/>
      <c r="AR653" s="149"/>
      <c r="AS653" s="149"/>
      <c r="AT653" s="149"/>
      <c r="AU653" s="149"/>
      <c r="AV653" s="149"/>
      <c r="AW653" s="149"/>
      <c r="AX653" s="149"/>
      <c r="AY653" s="149"/>
      <c r="AZ653" s="149"/>
      <c r="BA653" s="149"/>
      <c r="BB653" s="149"/>
      <c r="BC653" s="149"/>
      <c r="BD653" s="149"/>
      <c r="BE653" s="149"/>
      <c r="BF653" s="149"/>
      <c r="BG653" s="149"/>
      <c r="BH653" s="149"/>
      <c r="BI653" s="149"/>
      <c r="BJ653" s="149"/>
      <c r="BK653" s="149"/>
      <c r="BL653" s="149"/>
      <c r="BM653" s="149"/>
      <c r="BN653" s="149">
        <v>41.756799999999998</v>
      </c>
      <c r="BO653" s="149"/>
      <c r="BP653" s="149"/>
      <c r="BQ653" s="149">
        <f t="shared" si="1927"/>
        <v>41.756799999999998</v>
      </c>
      <c r="BR653" s="149"/>
      <c r="BS653" s="149"/>
      <c r="BT653" s="149">
        <v>41.059800000000003</v>
      </c>
      <c r="BU653" s="149"/>
      <c r="BV653" s="149"/>
      <c r="BW653" s="149">
        <f>BT653</f>
        <v>41.059800000000003</v>
      </c>
      <c r="BX653" s="149"/>
      <c r="BY653" s="149"/>
      <c r="BZ653" s="149"/>
      <c r="CA653" s="149"/>
      <c r="CB653" s="149">
        <v>516.94000000000005</v>
      </c>
      <c r="CC653" s="231">
        <f t="shared" si="1902"/>
        <v>43400</v>
      </c>
    </row>
    <row r="654" spans="2:81" x14ac:dyDescent="0.25">
      <c r="B654" s="155">
        <v>43450</v>
      </c>
      <c r="C654" s="147">
        <f t="shared" si="1864"/>
        <v>525.09890000000007</v>
      </c>
      <c r="D654" s="147">
        <f t="shared" si="1802"/>
        <v>0</v>
      </c>
      <c r="E654" s="147">
        <f t="shared" si="1811"/>
        <v>0</v>
      </c>
      <c r="F654" s="147">
        <f t="shared" si="1803"/>
        <v>0</v>
      </c>
      <c r="G654" s="147">
        <f t="shared" si="1812"/>
        <v>37.433599999999998</v>
      </c>
      <c r="H654" s="147">
        <f t="shared" si="1813"/>
        <v>37.433599999999998</v>
      </c>
      <c r="I654" s="147">
        <f t="shared" si="1814"/>
        <v>36.750100000000003</v>
      </c>
      <c r="J654" s="156">
        <f t="shared" si="1815"/>
        <v>36.750100000000003</v>
      </c>
      <c r="K654" s="157">
        <f t="shared" si="1816"/>
        <v>114.61</v>
      </c>
      <c r="L654" s="151">
        <f t="shared" si="1895"/>
        <v>7231</v>
      </c>
      <c r="M654" s="147">
        <f t="shared" si="1896"/>
        <v>0</v>
      </c>
      <c r="N654" s="147"/>
      <c r="O654" s="147">
        <f t="shared" si="1897"/>
        <v>0</v>
      </c>
      <c r="P654" s="147">
        <f t="shared" si="1898"/>
        <v>74</v>
      </c>
      <c r="Q654" s="147">
        <f t="shared" si="1899"/>
        <v>74</v>
      </c>
      <c r="R654" s="147">
        <f t="shared" si="1900"/>
        <v>217</v>
      </c>
      <c r="S654" s="147">
        <f t="shared" si="1901"/>
        <v>217</v>
      </c>
      <c r="T654" s="147">
        <f t="shared" si="1903"/>
        <v>1755</v>
      </c>
      <c r="V654" s="146"/>
      <c r="W654" s="147"/>
      <c r="X654" s="147"/>
      <c r="Y654" s="147"/>
      <c r="Z654" s="147"/>
      <c r="AA654" s="147"/>
      <c r="AB654" s="147"/>
      <c r="AC654" s="147"/>
      <c r="AD654" s="148"/>
      <c r="AF654" s="155">
        <f t="shared" si="1826"/>
        <v>43450</v>
      </c>
      <c r="AG654" s="78">
        <v>510.79450000000003</v>
      </c>
      <c r="AH654" s="78">
        <v>14.304399999999999</v>
      </c>
      <c r="AI654" s="78"/>
      <c r="AJ654" s="78"/>
      <c r="AK654" s="78"/>
      <c r="AL654" s="78"/>
      <c r="AM654" s="78"/>
      <c r="AN654" s="78"/>
      <c r="AO654" s="78"/>
      <c r="AP654" s="78"/>
      <c r="AQ654" s="78"/>
      <c r="AR654" s="78"/>
      <c r="AS654" s="78"/>
      <c r="AT654" s="78"/>
      <c r="AU654" s="78"/>
      <c r="AV654" s="78"/>
      <c r="AW654" s="78"/>
      <c r="AX654" s="78"/>
      <c r="AY654" s="78"/>
      <c r="AZ654" s="78"/>
      <c r="BA654" s="78"/>
      <c r="BB654" s="78"/>
      <c r="BC654" s="78"/>
      <c r="BD654" s="78"/>
      <c r="BE654" s="78"/>
      <c r="BF654" s="78"/>
      <c r="BG654" s="78"/>
      <c r="BH654" s="78"/>
      <c r="BI654" s="78"/>
      <c r="BJ654" s="78"/>
      <c r="BK654" s="78"/>
      <c r="BL654" s="78"/>
      <c r="BM654" s="78"/>
      <c r="BN654" s="78">
        <v>37.433599999999998</v>
      </c>
      <c r="BO654" s="78"/>
      <c r="BP654" s="78"/>
      <c r="BQ654" s="78">
        <f t="shared" si="1927"/>
        <v>37.433599999999998</v>
      </c>
      <c r="BR654" s="78"/>
      <c r="BS654" s="78"/>
      <c r="BT654" s="78">
        <v>36.750100000000003</v>
      </c>
      <c r="BU654" s="78"/>
      <c r="BV654" s="78"/>
      <c r="BW654" s="49">
        <f t="shared" si="1824"/>
        <v>36.750100000000003</v>
      </c>
      <c r="BX654" s="49"/>
      <c r="BY654" s="49"/>
      <c r="BZ654" s="78"/>
      <c r="CA654" s="78"/>
      <c r="CB654" s="78">
        <v>114.61</v>
      </c>
      <c r="CC654" s="231">
        <f t="shared" si="1902"/>
        <v>43450</v>
      </c>
    </row>
    <row r="655" spans="2:81" x14ac:dyDescent="0.25">
      <c r="B655" s="57">
        <v>43500</v>
      </c>
      <c r="C655" s="58">
        <f t="shared" si="1864"/>
        <v>450.48469999999998</v>
      </c>
      <c r="D655" s="58">
        <f t="shared" si="1802"/>
        <v>0.52590000000000003</v>
      </c>
      <c r="E655" s="58">
        <f t="shared" si="1811"/>
        <v>0</v>
      </c>
      <c r="F655" s="58">
        <f t="shared" si="1803"/>
        <v>0</v>
      </c>
      <c r="G655" s="58">
        <f t="shared" si="1812"/>
        <v>33.111199999999997</v>
      </c>
      <c r="H655" s="58">
        <f t="shared" si="1813"/>
        <v>33.111199999999997</v>
      </c>
      <c r="I655" s="58">
        <f t="shared" si="1814"/>
        <v>32.676299999999998</v>
      </c>
      <c r="J655" s="51">
        <f t="shared" si="1815"/>
        <v>32.676299999999998</v>
      </c>
      <c r="K655" s="99">
        <f t="shared" si="1816"/>
        <v>116.31</v>
      </c>
      <c r="L655" s="105">
        <f t="shared" si="1895"/>
        <v>904</v>
      </c>
      <c r="M655" s="58">
        <f t="shared" si="1896"/>
        <v>1</v>
      </c>
      <c r="N655" s="58"/>
      <c r="O655" s="58">
        <f t="shared" si="1897"/>
        <v>0</v>
      </c>
      <c r="P655" s="58">
        <f t="shared" si="1898"/>
        <v>66</v>
      </c>
      <c r="Q655" s="58">
        <f t="shared" si="1899"/>
        <v>66</v>
      </c>
      <c r="R655" s="58">
        <f t="shared" si="1900"/>
        <v>193</v>
      </c>
      <c r="S655" s="58">
        <f t="shared" si="1901"/>
        <v>193</v>
      </c>
      <c r="T655" s="58">
        <f t="shared" si="1903"/>
        <v>642</v>
      </c>
      <c r="V655" s="137"/>
      <c r="W655" s="58"/>
      <c r="X655" s="58"/>
      <c r="Y655" s="58"/>
      <c r="Z655" s="58"/>
      <c r="AA655" s="58"/>
      <c r="AB655" s="58"/>
      <c r="AC655" s="58"/>
      <c r="AD655" s="138"/>
      <c r="AF655" s="57">
        <f t="shared" si="1826"/>
        <v>43500</v>
      </c>
      <c r="AG655" s="49">
        <v>432.0335</v>
      </c>
      <c r="AH655" s="49">
        <v>18.4512</v>
      </c>
      <c r="AI655" s="49"/>
      <c r="AJ655" s="49"/>
      <c r="AK655" s="49"/>
      <c r="AL655" s="49"/>
      <c r="AM655" s="49"/>
      <c r="AN655" s="49"/>
      <c r="AO655" s="49"/>
      <c r="AP655" s="49"/>
      <c r="AQ655" s="49"/>
      <c r="AR655" s="49"/>
      <c r="AS655" s="49"/>
      <c r="AT655" s="49"/>
      <c r="AU655" s="49"/>
      <c r="AV655" s="49"/>
      <c r="AW655" s="49"/>
      <c r="AX655" s="49">
        <v>0.52590000000000003</v>
      </c>
      <c r="AY655" s="49"/>
      <c r="AZ655" s="49"/>
      <c r="BA655" s="49"/>
      <c r="BB655" s="49"/>
      <c r="BC655" s="49"/>
      <c r="BD655" s="49"/>
      <c r="BE655" s="49"/>
      <c r="BF655" s="49"/>
      <c r="BG655" s="49"/>
      <c r="BH655" s="49"/>
      <c r="BI655" s="49"/>
      <c r="BJ655" s="49"/>
      <c r="BK655" s="49"/>
      <c r="BL655" s="49"/>
      <c r="BM655" s="49"/>
      <c r="BN655" s="49">
        <v>33.111199999999997</v>
      </c>
      <c r="BO655" s="49"/>
      <c r="BP655" s="49"/>
      <c r="BQ655" s="49">
        <f t="shared" si="1927"/>
        <v>33.111199999999997</v>
      </c>
      <c r="BR655" s="49"/>
      <c r="BS655" s="49"/>
      <c r="BT655" s="49">
        <v>32.676299999999998</v>
      </c>
      <c r="BU655" s="49"/>
      <c r="BV655" s="49"/>
      <c r="BW655" s="49">
        <f t="shared" si="1824"/>
        <v>32.676299999999998</v>
      </c>
      <c r="BX655" s="49"/>
      <c r="BY655" s="49"/>
      <c r="BZ655" s="49"/>
      <c r="CA655" s="49"/>
      <c r="CB655" s="49">
        <v>116.31</v>
      </c>
      <c r="CC655" s="231">
        <f t="shared" ref="CC655:CC660" si="1935">B655</f>
        <v>43500</v>
      </c>
    </row>
    <row r="656" spans="2:81" s="3" customFormat="1" ht="15.75" thickBot="1" x14ac:dyDescent="0.3">
      <c r="B656" s="158">
        <v>43550</v>
      </c>
      <c r="C656" s="144">
        <f t="shared" si="1864"/>
        <v>383.38510000000002</v>
      </c>
      <c r="D656" s="144">
        <f t="shared" si="1802"/>
        <v>0.49030000000000001</v>
      </c>
      <c r="E656" s="144">
        <f t="shared" si="1811"/>
        <v>0</v>
      </c>
      <c r="F656" s="144">
        <f t="shared" si="1803"/>
        <v>0</v>
      </c>
      <c r="G656" s="144">
        <f t="shared" si="1812"/>
        <v>29.839099999999998</v>
      </c>
      <c r="H656" s="144">
        <f t="shared" si="1813"/>
        <v>29.839099999999998</v>
      </c>
      <c r="I656" s="144">
        <f t="shared" si="1814"/>
        <v>29.225899999999999</v>
      </c>
      <c r="J656" s="159">
        <f t="shared" si="1815"/>
        <v>29.225899999999999</v>
      </c>
      <c r="K656" s="160">
        <f t="shared" si="1816"/>
        <v>113.77</v>
      </c>
      <c r="L656" s="152">
        <f t="shared" si="1895"/>
        <v>773</v>
      </c>
      <c r="M656" s="144">
        <f t="shared" si="1896"/>
        <v>1</v>
      </c>
      <c r="N656" s="144"/>
      <c r="O656" s="144">
        <f t="shared" si="1897"/>
        <v>0</v>
      </c>
      <c r="P656" s="144">
        <f t="shared" si="1898"/>
        <v>59</v>
      </c>
      <c r="Q656" s="144">
        <f t="shared" si="1899"/>
        <v>59</v>
      </c>
      <c r="R656" s="144">
        <f t="shared" si="1900"/>
        <v>172</v>
      </c>
      <c r="S656" s="144">
        <f t="shared" si="1901"/>
        <v>172</v>
      </c>
      <c r="T656" s="144">
        <f t="shared" si="1903"/>
        <v>640</v>
      </c>
      <c r="V656" s="150">
        <f>L654+L655+L656</f>
        <v>8908</v>
      </c>
      <c r="W656" s="150">
        <f t="shared" ref="W656" si="1936">M654+M655+M656</f>
        <v>2</v>
      </c>
      <c r="X656" s="150"/>
      <c r="Y656" s="150">
        <f t="shared" ref="Y656" si="1937">O654+O655+O656</f>
        <v>0</v>
      </c>
      <c r="Z656" s="150">
        <f t="shared" ref="Z656" si="1938">P654+P655+P656</f>
        <v>199</v>
      </c>
      <c r="AA656" s="150">
        <f t="shared" ref="AA656" si="1939">Q654+Q655+Q656</f>
        <v>199</v>
      </c>
      <c r="AB656" s="150">
        <f t="shared" ref="AB656" si="1940">R654+R655+R656</f>
        <v>582</v>
      </c>
      <c r="AC656" s="150">
        <f t="shared" ref="AC656" si="1941">S654+S655+S656</f>
        <v>582</v>
      </c>
      <c r="AD656" s="150">
        <f t="shared" ref="AD656" si="1942">T654+T655+T656</f>
        <v>3037</v>
      </c>
      <c r="AF656" s="158">
        <f t="shared" si="1826"/>
        <v>43550</v>
      </c>
      <c r="AG656" s="149">
        <v>366.8655</v>
      </c>
      <c r="AH656" s="149">
        <v>16.519600000000001</v>
      </c>
      <c r="AI656" s="149"/>
      <c r="AJ656" s="149"/>
      <c r="AK656" s="149"/>
      <c r="AL656" s="149"/>
      <c r="AM656" s="149"/>
      <c r="AN656" s="149"/>
      <c r="AO656" s="149"/>
      <c r="AP656" s="149"/>
      <c r="AQ656" s="149"/>
      <c r="AR656" s="149"/>
      <c r="AS656" s="149"/>
      <c r="AT656" s="149"/>
      <c r="AU656" s="149"/>
      <c r="AV656" s="149"/>
      <c r="AW656" s="149"/>
      <c r="AX656" s="149">
        <v>0.49030000000000001</v>
      </c>
      <c r="AY656" s="149"/>
      <c r="AZ656" s="149"/>
      <c r="BA656" s="149"/>
      <c r="BB656" s="149"/>
      <c r="BC656" s="149"/>
      <c r="BD656" s="149"/>
      <c r="BE656" s="149"/>
      <c r="BF656" s="149"/>
      <c r="BG656" s="149"/>
      <c r="BH656" s="149"/>
      <c r="BI656" s="149"/>
      <c r="BJ656" s="149"/>
      <c r="BK656" s="149"/>
      <c r="BL656" s="149"/>
      <c r="BM656" s="149"/>
      <c r="BN656" s="149">
        <v>29.839099999999998</v>
      </c>
      <c r="BO656" s="149"/>
      <c r="BP656" s="149"/>
      <c r="BQ656" s="149">
        <f t="shared" si="1927"/>
        <v>29.839099999999998</v>
      </c>
      <c r="BR656" s="149"/>
      <c r="BS656" s="149"/>
      <c r="BT656" s="149">
        <v>29.225899999999999</v>
      </c>
      <c r="BU656" s="149"/>
      <c r="BV656" s="149"/>
      <c r="BW656" s="149">
        <f>BT656</f>
        <v>29.225899999999999</v>
      </c>
      <c r="BX656" s="149"/>
      <c r="BY656" s="149"/>
      <c r="BZ656" s="149"/>
      <c r="CA656" s="149"/>
      <c r="CB656" s="149">
        <v>113.77</v>
      </c>
      <c r="CC656" s="231">
        <f t="shared" si="1935"/>
        <v>43550</v>
      </c>
    </row>
    <row r="657" spans="2:81" x14ac:dyDescent="0.25">
      <c r="B657" s="155">
        <v>43600</v>
      </c>
      <c r="C657" s="147">
        <f t="shared" si="1864"/>
        <v>276.1782</v>
      </c>
      <c r="D657" s="147">
        <f t="shared" si="1802"/>
        <v>0.1077</v>
      </c>
      <c r="E657" s="147">
        <f t="shared" si="1811"/>
        <v>0</v>
      </c>
      <c r="F657" s="147">
        <f t="shared" si="1803"/>
        <v>0</v>
      </c>
      <c r="G657" s="147">
        <f t="shared" si="1812"/>
        <v>27.360800000000001</v>
      </c>
      <c r="H657" s="147">
        <f t="shared" si="1813"/>
        <v>27.360800000000001</v>
      </c>
      <c r="I657" s="147">
        <f t="shared" si="1814"/>
        <v>26.656099999999999</v>
      </c>
      <c r="J657" s="156">
        <f t="shared" si="1815"/>
        <v>26.656099999999999</v>
      </c>
      <c r="K657" s="157">
        <f t="shared" si="1816"/>
        <v>112.67</v>
      </c>
      <c r="L657" s="151">
        <f t="shared" si="1895"/>
        <v>611</v>
      </c>
      <c r="M657" s="147">
        <f t="shared" si="1896"/>
        <v>1</v>
      </c>
      <c r="N657" s="147"/>
      <c r="O657" s="147">
        <f t="shared" si="1897"/>
        <v>0</v>
      </c>
      <c r="P657" s="147">
        <f t="shared" si="1898"/>
        <v>53</v>
      </c>
      <c r="Q657" s="147">
        <f t="shared" si="1899"/>
        <v>53</v>
      </c>
      <c r="R657" s="147">
        <f t="shared" si="1900"/>
        <v>156</v>
      </c>
      <c r="S657" s="147">
        <f t="shared" si="1901"/>
        <v>156</v>
      </c>
      <c r="T657" s="147">
        <f t="shared" si="1903"/>
        <v>629</v>
      </c>
      <c r="V657" s="146"/>
      <c r="W657" s="147"/>
      <c r="X657" s="147"/>
      <c r="Y657" s="147"/>
      <c r="Z657" s="147"/>
      <c r="AA657" s="147"/>
      <c r="AB657" s="147"/>
      <c r="AC657" s="147"/>
      <c r="AD657" s="148"/>
      <c r="AF657" s="155">
        <f t="shared" si="1826"/>
        <v>43600</v>
      </c>
      <c r="AG657" s="78">
        <v>261.19979999999998</v>
      </c>
      <c r="AH657" s="78">
        <v>14.978400000000001</v>
      </c>
      <c r="AI657" s="78"/>
      <c r="AJ657" s="78"/>
      <c r="AK657" s="78"/>
      <c r="AL657" s="78"/>
      <c r="AM657" s="78"/>
      <c r="AN657" s="78"/>
      <c r="AO657" s="78"/>
      <c r="AP657" s="78"/>
      <c r="AQ657" s="78"/>
      <c r="AR657" s="78"/>
      <c r="AS657" s="78"/>
      <c r="AT657" s="78"/>
      <c r="AU657" s="78"/>
      <c r="AV657" s="78"/>
      <c r="AW657" s="78"/>
      <c r="AX657" s="78">
        <v>0.1077</v>
      </c>
      <c r="AY657" s="78"/>
      <c r="AZ657" s="78"/>
      <c r="BA657" s="78"/>
      <c r="BB657" s="78"/>
      <c r="BC657" s="78"/>
      <c r="BD657" s="78"/>
      <c r="BE657" s="78"/>
      <c r="BF657" s="78"/>
      <c r="BG657" s="78"/>
      <c r="BH657" s="78"/>
      <c r="BI657" s="78"/>
      <c r="BJ657" s="78"/>
      <c r="BK657" s="78"/>
      <c r="BL657" s="78"/>
      <c r="BM657" s="78"/>
      <c r="BN657" s="78">
        <v>27.360800000000001</v>
      </c>
      <c r="BO657" s="78"/>
      <c r="BP657" s="78"/>
      <c r="BQ657" s="78">
        <f t="shared" si="1927"/>
        <v>27.360800000000001</v>
      </c>
      <c r="BR657" s="78"/>
      <c r="BS657" s="78"/>
      <c r="BT657" s="78">
        <v>26.656099999999999</v>
      </c>
      <c r="BU657" s="78"/>
      <c r="BV657" s="78"/>
      <c r="BW657" s="49">
        <f t="shared" si="1824"/>
        <v>26.656099999999999</v>
      </c>
      <c r="BX657" s="49"/>
      <c r="BY657" s="49"/>
      <c r="BZ657" s="78"/>
      <c r="CA657" s="78"/>
      <c r="CB657" s="78">
        <v>112.67</v>
      </c>
      <c r="CC657" s="231">
        <f t="shared" si="1935"/>
        <v>43600</v>
      </c>
    </row>
    <row r="658" spans="2:81" x14ac:dyDescent="0.25">
      <c r="B658" s="57">
        <v>43650</v>
      </c>
      <c r="C658" s="58">
        <f t="shared" si="1864"/>
        <v>211.5112</v>
      </c>
      <c r="D658" s="58">
        <f t="shared" si="1802"/>
        <v>0.74429999999999996</v>
      </c>
      <c r="E658" s="58">
        <f t="shared" si="1811"/>
        <v>0</v>
      </c>
      <c r="F658" s="58">
        <f t="shared" si="1803"/>
        <v>0</v>
      </c>
      <c r="G658" s="58">
        <f t="shared" si="1812"/>
        <v>25.6585</v>
      </c>
      <c r="H658" s="58">
        <f t="shared" si="1813"/>
        <v>25.6585</v>
      </c>
      <c r="I658" s="58">
        <f t="shared" si="1814"/>
        <v>24.9648</v>
      </c>
      <c r="J658" s="51">
        <f t="shared" si="1815"/>
        <v>24.9648</v>
      </c>
      <c r="K658" s="99">
        <f t="shared" si="1816"/>
        <v>108.82</v>
      </c>
      <c r="L658" s="105">
        <f t="shared" si="1895"/>
        <v>452</v>
      </c>
      <c r="M658" s="58">
        <f t="shared" si="1896"/>
        <v>1</v>
      </c>
      <c r="N658" s="58"/>
      <c r="O658" s="58">
        <f t="shared" si="1897"/>
        <v>0</v>
      </c>
      <c r="P658" s="58">
        <f t="shared" si="1898"/>
        <v>50</v>
      </c>
      <c r="Q658" s="58">
        <f t="shared" si="1899"/>
        <v>50</v>
      </c>
      <c r="R658" s="58">
        <f t="shared" si="1900"/>
        <v>144</v>
      </c>
      <c r="S658" s="58">
        <f t="shared" si="1901"/>
        <v>144</v>
      </c>
      <c r="T658" s="58">
        <f t="shared" si="1903"/>
        <v>616</v>
      </c>
      <c r="V658" s="137"/>
      <c r="W658" s="58"/>
      <c r="X658" s="58"/>
      <c r="Y658" s="58"/>
      <c r="Z658" s="58"/>
      <c r="AA658" s="58"/>
      <c r="AB658" s="58"/>
      <c r="AC658" s="58"/>
      <c r="AD658" s="138"/>
      <c r="AF658" s="57">
        <f t="shared" si="1826"/>
        <v>43650</v>
      </c>
      <c r="AG658" s="49">
        <v>199.40950000000001</v>
      </c>
      <c r="AH658" s="49">
        <v>12.101699999999999</v>
      </c>
      <c r="AI658" s="49"/>
      <c r="AJ658" s="49"/>
      <c r="AK658" s="49"/>
      <c r="AL658" s="49"/>
      <c r="AM658" s="49"/>
      <c r="AN658" s="49"/>
      <c r="AO658" s="49"/>
      <c r="AP658" s="49"/>
      <c r="AQ658" s="49"/>
      <c r="AR658" s="49"/>
      <c r="AS658" s="49"/>
      <c r="AT658" s="49"/>
      <c r="AU658" s="49"/>
      <c r="AV658" s="49"/>
      <c r="AW658" s="49"/>
      <c r="AX658" s="49">
        <v>0.74429999999999996</v>
      </c>
      <c r="AY658" s="49"/>
      <c r="AZ658" s="49"/>
      <c r="BA658" s="49"/>
      <c r="BB658" s="49"/>
      <c r="BC658" s="49"/>
      <c r="BD658" s="49"/>
      <c r="BE658" s="49"/>
      <c r="BF658" s="49"/>
      <c r="BG658" s="49"/>
      <c r="BH658" s="49"/>
      <c r="BI658" s="49"/>
      <c r="BJ658" s="49"/>
      <c r="BK658" s="49"/>
      <c r="BL658" s="49"/>
      <c r="BM658" s="49"/>
      <c r="BN658" s="49">
        <v>25.6585</v>
      </c>
      <c r="BO658" s="49"/>
      <c r="BP658" s="49"/>
      <c r="BQ658" s="49">
        <f t="shared" si="1927"/>
        <v>25.6585</v>
      </c>
      <c r="BR658" s="49"/>
      <c r="BS658" s="49"/>
      <c r="BT658" s="49">
        <v>24.9648</v>
      </c>
      <c r="BU658" s="49"/>
      <c r="BV658" s="49"/>
      <c r="BW658" s="49">
        <f t="shared" si="1824"/>
        <v>24.9648</v>
      </c>
      <c r="BX658" s="49"/>
      <c r="BY658" s="49"/>
      <c r="BZ658" s="49"/>
      <c r="CA658" s="49"/>
      <c r="CB658" s="49">
        <v>108.82</v>
      </c>
      <c r="CC658" s="231">
        <f t="shared" si="1935"/>
        <v>43650</v>
      </c>
    </row>
    <row r="659" spans="2:81" s="3" customFormat="1" ht="15.75" thickBot="1" x14ac:dyDescent="0.3">
      <c r="B659" s="158">
        <v>43700</v>
      </c>
      <c r="C659" s="144">
        <f t="shared" si="1864"/>
        <v>141.45400000000001</v>
      </c>
      <c r="D659" s="144">
        <f t="shared" si="1802"/>
        <v>0.59950000000000003</v>
      </c>
      <c r="E659" s="144">
        <f t="shared" si="1811"/>
        <v>0</v>
      </c>
      <c r="F659" s="144">
        <f t="shared" si="1803"/>
        <v>0</v>
      </c>
      <c r="G659" s="144">
        <f t="shared" si="1812"/>
        <v>24.8398</v>
      </c>
      <c r="H659" s="144">
        <f t="shared" si="1813"/>
        <v>24.8398</v>
      </c>
      <c r="I659" s="144">
        <f t="shared" si="1814"/>
        <v>24.148399999999999</v>
      </c>
      <c r="J659" s="159">
        <f t="shared" si="1815"/>
        <v>24.148399999999999</v>
      </c>
      <c r="K659" s="160">
        <f t="shared" si="1816"/>
        <v>104.67</v>
      </c>
      <c r="L659" s="152">
        <f t="shared" si="1895"/>
        <v>327</v>
      </c>
      <c r="M659" s="144">
        <f t="shared" si="1896"/>
        <v>2</v>
      </c>
      <c r="N659" s="144"/>
      <c r="O659" s="144">
        <f t="shared" si="1897"/>
        <v>0</v>
      </c>
      <c r="P659" s="144">
        <f t="shared" si="1898"/>
        <v>47</v>
      </c>
      <c r="Q659" s="144">
        <f t="shared" si="1899"/>
        <v>47</v>
      </c>
      <c r="R659" s="144">
        <f t="shared" si="1900"/>
        <v>137</v>
      </c>
      <c r="S659" s="144">
        <f t="shared" si="1901"/>
        <v>137</v>
      </c>
      <c r="T659" s="144">
        <f t="shared" si="1903"/>
        <v>594</v>
      </c>
      <c r="V659" s="150">
        <f>L657+L658+L659</f>
        <v>1390</v>
      </c>
      <c r="W659" s="150">
        <f t="shared" ref="W659" si="1943">M657+M658+M659</f>
        <v>4</v>
      </c>
      <c r="X659" s="150"/>
      <c r="Y659" s="150">
        <f t="shared" ref="Y659" si="1944">O657+O658+O659</f>
        <v>0</v>
      </c>
      <c r="Z659" s="150">
        <f t="shared" ref="Z659" si="1945">P657+P658+P659</f>
        <v>150</v>
      </c>
      <c r="AA659" s="150">
        <f t="shared" ref="AA659" si="1946">Q657+Q658+Q659</f>
        <v>150</v>
      </c>
      <c r="AB659" s="150">
        <f t="shared" ref="AB659" si="1947">R657+R658+R659</f>
        <v>437</v>
      </c>
      <c r="AC659" s="150">
        <f t="shared" ref="AC659" si="1948">S657+S658+S659</f>
        <v>437</v>
      </c>
      <c r="AD659" s="150">
        <f t="shared" ref="AD659" si="1949">T657+T658+T659</f>
        <v>1839</v>
      </c>
      <c r="AF659" s="158">
        <f t="shared" si="1826"/>
        <v>43700</v>
      </c>
      <c r="AG659" s="149">
        <v>131.80520000000001</v>
      </c>
      <c r="AH659" s="149">
        <v>9.6487999999999996</v>
      </c>
      <c r="AI659" s="149"/>
      <c r="AJ659" s="149"/>
      <c r="AK659" s="149"/>
      <c r="AL659" s="149"/>
      <c r="AM659" s="149"/>
      <c r="AN659" s="149"/>
      <c r="AO659" s="149"/>
      <c r="AP659" s="149"/>
      <c r="AQ659" s="149"/>
      <c r="AR659" s="149"/>
      <c r="AS659" s="149"/>
      <c r="AT659" s="149"/>
      <c r="AU659" s="149"/>
      <c r="AV659" s="149"/>
      <c r="AW659" s="149"/>
      <c r="AX659" s="149">
        <v>0.59950000000000003</v>
      </c>
      <c r="AY659" s="149"/>
      <c r="AZ659" s="149"/>
      <c r="BA659" s="149"/>
      <c r="BB659" s="149"/>
      <c r="BC659" s="149"/>
      <c r="BD659" s="149"/>
      <c r="BE659" s="149"/>
      <c r="BF659" s="149"/>
      <c r="BG659" s="149"/>
      <c r="BH659" s="149"/>
      <c r="BI659" s="149"/>
      <c r="BJ659" s="149"/>
      <c r="BK659" s="149"/>
      <c r="BL659" s="149"/>
      <c r="BM659" s="149"/>
      <c r="BN659" s="149">
        <v>24.8398</v>
      </c>
      <c r="BO659" s="149"/>
      <c r="BP659" s="149"/>
      <c r="BQ659" s="149">
        <f t="shared" si="1927"/>
        <v>24.8398</v>
      </c>
      <c r="BR659" s="149"/>
      <c r="BS659" s="149"/>
      <c r="BT659" s="149">
        <v>24.148399999999999</v>
      </c>
      <c r="BU659" s="149"/>
      <c r="BV659" s="149"/>
      <c r="BW659" s="149">
        <f>BT659</f>
        <v>24.148399999999999</v>
      </c>
      <c r="BX659" s="149"/>
      <c r="BY659" s="149"/>
      <c r="BZ659" s="149"/>
      <c r="CA659" s="149"/>
      <c r="CB659" s="149">
        <v>104.67</v>
      </c>
      <c r="CC659" s="231">
        <f t="shared" si="1935"/>
        <v>43700</v>
      </c>
    </row>
    <row r="660" spans="2:81" ht="15.75" thickBot="1" x14ac:dyDescent="0.3">
      <c r="B660" s="155">
        <v>43716.83</v>
      </c>
      <c r="C660" s="147">
        <f t="shared" si="1864"/>
        <v>8.9061000000000003</v>
      </c>
      <c r="D660" s="147">
        <f t="shared" si="1802"/>
        <v>0.84489999999999998</v>
      </c>
      <c r="E660" s="147">
        <f t="shared" si="1811"/>
        <v>0</v>
      </c>
      <c r="F660" s="147">
        <f t="shared" si="1803"/>
        <v>0</v>
      </c>
      <c r="G660" s="147">
        <f t="shared" si="1812"/>
        <v>24.677700000000002</v>
      </c>
      <c r="H660" s="147">
        <f t="shared" si="1813"/>
        <v>24.677700000000002</v>
      </c>
      <c r="I660" s="147">
        <f t="shared" si="1814"/>
        <v>24.078299999999999</v>
      </c>
      <c r="J660" s="156">
        <f t="shared" si="1815"/>
        <v>24.078299999999999</v>
      </c>
      <c r="K660" s="157">
        <f t="shared" si="1816"/>
        <v>14</v>
      </c>
      <c r="L660" s="151">
        <f t="shared" si="1895"/>
        <v>47</v>
      </c>
      <c r="M660" s="147">
        <f t="shared" si="1896"/>
        <v>1</v>
      </c>
      <c r="N660" s="147"/>
      <c r="O660" s="147">
        <f t="shared" si="1897"/>
        <v>0</v>
      </c>
      <c r="P660" s="147">
        <f t="shared" si="1898"/>
        <v>16</v>
      </c>
      <c r="Q660" s="147">
        <f t="shared" si="1899"/>
        <v>16</v>
      </c>
      <c r="R660" s="147">
        <f t="shared" si="1900"/>
        <v>46</v>
      </c>
      <c r="S660" s="147">
        <f t="shared" si="1901"/>
        <v>46</v>
      </c>
      <c r="T660" s="147">
        <f t="shared" si="1903"/>
        <v>111</v>
      </c>
      <c r="V660" s="150">
        <f t="shared" ref="V660" si="1950">L660</f>
        <v>47</v>
      </c>
      <c r="W660" s="150">
        <f t="shared" ref="W660" si="1951">M660</f>
        <v>1</v>
      </c>
      <c r="X660" s="150"/>
      <c r="Y660" s="150">
        <f t="shared" ref="Y660" si="1952">O660</f>
        <v>0</v>
      </c>
      <c r="Z660" s="150">
        <f t="shared" ref="Z660" si="1953">P660</f>
        <v>16</v>
      </c>
      <c r="AA660" s="150">
        <f t="shared" ref="AA660" si="1954">Q660</f>
        <v>16</v>
      </c>
      <c r="AB660" s="150">
        <f t="shared" ref="AB660" si="1955">R660</f>
        <v>46</v>
      </c>
      <c r="AC660" s="150">
        <f t="shared" ref="AC660" si="1956">S660</f>
        <v>46</v>
      </c>
      <c r="AD660" s="150">
        <f t="shared" ref="AD660" si="1957">T660</f>
        <v>111</v>
      </c>
      <c r="AF660" s="155">
        <f t="shared" si="1826"/>
        <v>43716.83</v>
      </c>
      <c r="AG660" s="78">
        <v>8.9061000000000003</v>
      </c>
      <c r="AH660" s="78"/>
      <c r="AI660" s="78"/>
      <c r="AJ660" s="78"/>
      <c r="AK660" s="78"/>
      <c r="AL660" s="78"/>
      <c r="AM660" s="78"/>
      <c r="AN660" s="78"/>
      <c r="AO660" s="78"/>
      <c r="AP660" s="78"/>
      <c r="AQ660" s="78"/>
      <c r="AR660" s="78"/>
      <c r="AS660" s="78"/>
      <c r="AT660" s="78"/>
      <c r="AU660" s="78"/>
      <c r="AV660" s="78"/>
      <c r="AW660" s="78"/>
      <c r="AX660" s="78">
        <v>0.84489999999999998</v>
      </c>
      <c r="AY660" s="78"/>
      <c r="AZ660" s="78"/>
      <c r="BA660" s="78"/>
      <c r="BB660" s="78"/>
      <c r="BC660" s="78"/>
      <c r="BD660" s="78"/>
      <c r="BE660" s="78"/>
      <c r="BF660" s="78"/>
      <c r="BG660" s="78"/>
      <c r="BH660" s="78"/>
      <c r="BI660" s="78"/>
      <c r="BJ660" s="78"/>
      <c r="BK660" s="78"/>
      <c r="BL660" s="78"/>
      <c r="BM660" s="78"/>
      <c r="BN660" s="78">
        <v>24.677700000000002</v>
      </c>
      <c r="BO660" s="78"/>
      <c r="BP660" s="78"/>
      <c r="BQ660" s="78">
        <f t="shared" si="1927"/>
        <v>24.677700000000002</v>
      </c>
      <c r="BR660" s="78"/>
      <c r="BS660" s="78"/>
      <c r="BT660" s="78">
        <v>24.078299999999999</v>
      </c>
      <c r="BU660" s="78"/>
      <c r="BV660" s="78"/>
      <c r="BW660" s="49">
        <f t="shared" si="1824"/>
        <v>24.078299999999999</v>
      </c>
      <c r="BX660" s="49"/>
      <c r="BY660" s="49"/>
      <c r="BZ660" s="78"/>
      <c r="CA660" s="78"/>
      <c r="CB660" s="78">
        <v>14</v>
      </c>
      <c r="CC660" s="231">
        <f t="shared" si="1935"/>
        <v>43716.83</v>
      </c>
    </row>
    <row r="662" spans="2:81" ht="18.75" x14ac:dyDescent="0.3">
      <c r="L662" s="118">
        <f>SUM(L8:L660)</f>
        <v>3620043</v>
      </c>
      <c r="M662" s="118">
        <f t="shared" ref="M662:T662" si="1958">SUM(M8:M660)</f>
        <v>4199122</v>
      </c>
      <c r="N662" s="118">
        <f t="shared" si="1958"/>
        <v>237999</v>
      </c>
      <c r="O662" s="118">
        <f t="shared" si="1958"/>
        <v>541262</v>
      </c>
      <c r="P662" s="118">
        <f t="shared" si="1958"/>
        <v>12910</v>
      </c>
      <c r="Q662" s="118">
        <f t="shared" si="1958"/>
        <v>12910</v>
      </c>
      <c r="R662" s="118">
        <f t="shared" si="1958"/>
        <v>53279</v>
      </c>
      <c r="S662" s="118">
        <f t="shared" si="1958"/>
        <v>53279</v>
      </c>
      <c r="T662" s="118">
        <f t="shared" si="1958"/>
        <v>844640</v>
      </c>
      <c r="V662" s="118">
        <f t="shared" ref="V662:AD662" si="1959">SUM(V8:V660)</f>
        <v>3620043</v>
      </c>
      <c r="W662" s="118">
        <f t="shared" si="1959"/>
        <v>4199122</v>
      </c>
      <c r="X662" s="118">
        <f>SUM(X8:X660)</f>
        <v>237999</v>
      </c>
      <c r="Y662" s="118">
        <f t="shared" si="1959"/>
        <v>541262</v>
      </c>
      <c r="Z662" s="118">
        <f t="shared" si="1959"/>
        <v>12910</v>
      </c>
      <c r="AA662" s="118">
        <f t="shared" si="1959"/>
        <v>12910</v>
      </c>
      <c r="AB662" s="118">
        <f t="shared" si="1959"/>
        <v>53279</v>
      </c>
      <c r="AC662" s="118">
        <f t="shared" si="1959"/>
        <v>53279</v>
      </c>
      <c r="AD662" s="118">
        <f t="shared" si="1959"/>
        <v>844640</v>
      </c>
    </row>
    <row r="664" spans="2:81" x14ac:dyDescent="0.25">
      <c r="V664" s="450" t="s">
        <v>76</v>
      </c>
      <c r="W664" s="450"/>
      <c r="X664" s="40"/>
    </row>
    <row r="665" spans="2:81" x14ac:dyDescent="0.25">
      <c r="V665" s="206" t="s">
        <v>77</v>
      </c>
      <c r="W665" s="205" t="s">
        <v>75</v>
      </c>
      <c r="X665" s="273"/>
    </row>
  </sheetData>
  <mergeCells count="56">
    <mergeCell ref="CC553:CC554"/>
    <mergeCell ref="CC560:CC561"/>
    <mergeCell ref="CC578:CC579"/>
    <mergeCell ref="CC34:CC35"/>
    <mergeCell ref="CC101:CC102"/>
    <mergeCell ref="CC104:CC105"/>
    <mergeCell ref="CC284:CC285"/>
    <mergeCell ref="CC526:CC527"/>
    <mergeCell ref="AF553:AF554"/>
    <mergeCell ref="AF560:AF561"/>
    <mergeCell ref="AF578:AF579"/>
    <mergeCell ref="B553:B554"/>
    <mergeCell ref="B560:B561"/>
    <mergeCell ref="B578:B579"/>
    <mergeCell ref="L4:T4"/>
    <mergeCell ref="C4:K4"/>
    <mergeCell ref="A178:A179"/>
    <mergeCell ref="A53:A54"/>
    <mergeCell ref="B9:B10"/>
    <mergeCell ref="B13:B14"/>
    <mergeCell ref="B22:B23"/>
    <mergeCell ref="B34:B35"/>
    <mergeCell ref="A104:A105"/>
    <mergeCell ref="A101:A102"/>
    <mergeCell ref="B101:B102"/>
    <mergeCell ref="B104:B105"/>
    <mergeCell ref="AF4:BZ4"/>
    <mergeCell ref="AG5:BC5"/>
    <mergeCell ref="V4:AD4"/>
    <mergeCell ref="V5:Y5"/>
    <mergeCell ref="Z5:AC5"/>
    <mergeCell ref="BN5:BX5"/>
    <mergeCell ref="AF104:AF105"/>
    <mergeCell ref="B526:B527"/>
    <mergeCell ref="BZ5:CB5"/>
    <mergeCell ref="G5:J5"/>
    <mergeCell ref="P5:S5"/>
    <mergeCell ref="C5:F5"/>
    <mergeCell ref="L5:O5"/>
    <mergeCell ref="AF526:AF527"/>
    <mergeCell ref="CC9:CC10"/>
    <mergeCell ref="CC13:CC14"/>
    <mergeCell ref="CC22:CC23"/>
    <mergeCell ref="A533:A538"/>
    <mergeCell ref="V664:W664"/>
    <mergeCell ref="AF9:AF10"/>
    <mergeCell ref="B284:K285"/>
    <mergeCell ref="L284:T285"/>
    <mergeCell ref="V284:AD285"/>
    <mergeCell ref="A184:A186"/>
    <mergeCell ref="A191:A192"/>
    <mergeCell ref="A376:A378"/>
    <mergeCell ref="AF22:AF23"/>
    <mergeCell ref="AF13:AF14"/>
    <mergeCell ref="AF34:AF35"/>
    <mergeCell ref="AF101:AF102"/>
  </mergeCells>
  <conditionalFormatting sqref="V662">
    <cfRule type="cellIs" dxfId="17" priority="18" operator="equal">
      <formula>$L$662</formula>
    </cfRule>
    <cfRule type="cellIs" dxfId="16" priority="20" operator="notEqual">
      <formula>$L$662</formula>
    </cfRule>
  </conditionalFormatting>
  <conditionalFormatting sqref="W662">
    <cfRule type="cellIs" dxfId="15" priority="1" operator="notEqual">
      <formula>$M$662</formula>
    </cfRule>
    <cfRule type="cellIs" dxfId="14" priority="2" operator="equal">
      <formula>$M$662</formula>
    </cfRule>
  </conditionalFormatting>
  <conditionalFormatting sqref="X662">
    <cfRule type="cellIs" dxfId="13" priority="15" operator="equal">
      <formula>$N$662</formula>
    </cfRule>
    <cfRule type="cellIs" dxfId="12" priority="17" operator="notEqual">
      <formula>$M$662</formula>
    </cfRule>
  </conditionalFormatting>
  <conditionalFormatting sqref="Y662">
    <cfRule type="cellIs" dxfId="11" priority="13" operator="notEqual">
      <formula>$O$662</formula>
    </cfRule>
    <cfRule type="cellIs" dxfId="10" priority="14" operator="equal">
      <formula>$O$662</formula>
    </cfRule>
  </conditionalFormatting>
  <conditionalFormatting sqref="Z662">
    <cfRule type="cellIs" dxfId="9" priority="11" operator="notEqual">
      <formula>$P$662</formula>
    </cfRule>
    <cfRule type="cellIs" dxfId="8" priority="12" operator="equal">
      <formula>$P$662</formula>
    </cfRule>
  </conditionalFormatting>
  <conditionalFormatting sqref="AA662">
    <cfRule type="cellIs" dxfId="7" priority="9" operator="equal">
      <formula>$Q$662</formula>
    </cfRule>
    <cfRule type="cellIs" dxfId="6" priority="10" operator="notEqual">
      <formula>$Q$662</formula>
    </cfRule>
  </conditionalFormatting>
  <conditionalFormatting sqref="AB662">
    <cfRule type="cellIs" dxfId="5" priority="7" operator="notEqual">
      <formula>$R$662</formula>
    </cfRule>
    <cfRule type="cellIs" dxfId="4" priority="8" operator="equal">
      <formula>$R$662</formula>
    </cfRule>
  </conditionalFormatting>
  <conditionalFormatting sqref="AC662">
    <cfRule type="cellIs" dxfId="3" priority="5" operator="notEqual">
      <formula>$S$662</formula>
    </cfRule>
    <cfRule type="cellIs" dxfId="2" priority="6" operator="equal">
      <formula>$S$662</formula>
    </cfRule>
  </conditionalFormatting>
  <conditionalFormatting sqref="AD662">
    <cfRule type="cellIs" dxfId="1" priority="3" operator="notEqual">
      <formula>$T$662</formula>
    </cfRule>
    <cfRule type="cellIs" dxfId="0" priority="4" operator="equal">
      <formula>$T$662</formula>
    </cfRule>
  </conditionalFormatting>
  <pageMargins left="0.7" right="0.7" top="0.75" bottom="0.75" header="0.3" footer="0.3"/>
  <pageSetup paperSize="17" scale="2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3D8BA-40C2-4D37-A93D-1E32792AAE23}">
  <sheetPr>
    <pageSetUpPr fitToPage="1"/>
  </sheetPr>
  <dimension ref="A1:CC24"/>
  <sheetViews>
    <sheetView zoomScale="90" zoomScaleNormal="90" workbookViewId="0">
      <pane ySplit="7" topLeftCell="A8" activePane="bottomLeft" state="frozen"/>
      <selection pane="bottomLeft" activeCell="M11" sqref="M11"/>
    </sheetView>
  </sheetViews>
  <sheetFormatPr defaultRowHeight="15" x14ac:dyDescent="0.25"/>
  <cols>
    <col min="1" max="1" width="16.85546875" bestFit="1" customWidth="1"/>
    <col min="2" max="2" width="19" style="1" bestFit="1" customWidth="1"/>
    <col min="3" max="3" width="10.28515625" bestFit="1" customWidth="1"/>
    <col min="4" max="11" width="10.7109375" customWidth="1"/>
    <col min="12" max="12" width="16.42578125" style="102" customWidth="1"/>
    <col min="13" max="13" width="16.42578125" bestFit="1" customWidth="1"/>
    <col min="14" max="14" width="16.42578125" customWidth="1"/>
    <col min="15" max="15" width="15" bestFit="1" customWidth="1"/>
    <col min="16" max="17" width="13.5703125" bestFit="1" customWidth="1"/>
    <col min="18" max="18" width="15.28515625" bestFit="1" customWidth="1"/>
    <col min="19" max="19" width="13.5703125" bestFit="1" customWidth="1"/>
    <col min="20" max="20" width="16.7109375" bestFit="1" customWidth="1"/>
    <col min="21" max="21" width="12.140625" customWidth="1"/>
    <col min="22" max="22" width="21.28515625" style="102" customWidth="1"/>
    <col min="23" max="23" width="16.42578125" bestFit="1" customWidth="1"/>
    <col min="24" max="24" width="16.42578125" customWidth="1"/>
    <col min="25" max="25" width="15" bestFit="1" customWidth="1"/>
    <col min="26" max="27" width="13.5703125" bestFit="1" customWidth="1"/>
    <col min="28" max="28" width="15.28515625" bestFit="1" customWidth="1"/>
    <col min="29" max="29" width="13.5703125" bestFit="1" customWidth="1"/>
    <col min="30" max="30" width="15.28515625" bestFit="1" customWidth="1"/>
    <col min="31" max="31" width="12.7109375" bestFit="1" customWidth="1"/>
    <col min="32" max="32" width="13.5703125" bestFit="1" customWidth="1"/>
    <col min="34" max="34" width="9.140625" customWidth="1"/>
    <col min="39" max="42" width="5.7109375" customWidth="1"/>
    <col min="43" max="49" width="5.7109375" hidden="1" customWidth="1"/>
    <col min="51" max="51" width="10" bestFit="1" customWidth="1"/>
    <col min="63" max="63" width="10" bestFit="1" customWidth="1"/>
    <col min="81" max="81" width="10.85546875" style="55" bestFit="1" customWidth="1"/>
  </cols>
  <sheetData>
    <row r="1" spans="1:81" x14ac:dyDescent="0.25">
      <c r="A1" s="68"/>
      <c r="B1" s="69"/>
      <c r="C1" s="70" t="s">
        <v>43</v>
      </c>
    </row>
    <row r="2" spans="1:81" x14ac:dyDescent="0.25">
      <c r="A2" s="71" t="s">
        <v>33</v>
      </c>
      <c r="B2" s="67" t="s">
        <v>41</v>
      </c>
      <c r="C2" s="72"/>
    </row>
    <row r="3" spans="1:81" ht="15.75" thickBot="1" x14ac:dyDescent="0.3">
      <c r="A3" s="73" t="s">
        <v>34</v>
      </c>
      <c r="B3" s="74" t="s">
        <v>42</v>
      </c>
      <c r="C3" s="87">
        <v>45394</v>
      </c>
    </row>
    <row r="4" spans="1:81" ht="33.75" x14ac:dyDescent="0.5">
      <c r="B4" s="86"/>
      <c r="C4" s="490" t="s">
        <v>51</v>
      </c>
      <c r="D4" s="491"/>
      <c r="E4" s="491"/>
      <c r="F4" s="491"/>
      <c r="G4" s="491"/>
      <c r="H4" s="491"/>
      <c r="I4" s="491"/>
      <c r="J4" s="491"/>
      <c r="K4" s="491"/>
      <c r="L4" s="490" t="s">
        <v>50</v>
      </c>
      <c r="M4" s="491"/>
      <c r="N4" s="491"/>
      <c r="O4" s="491"/>
      <c r="P4" s="491"/>
      <c r="Q4" s="491"/>
      <c r="R4" s="491"/>
      <c r="S4" s="491"/>
      <c r="T4" s="492"/>
      <c r="U4" s="4"/>
      <c r="V4" s="490" t="s">
        <v>72</v>
      </c>
      <c r="W4" s="491"/>
      <c r="X4" s="491"/>
      <c r="Y4" s="491"/>
      <c r="Z4" s="491"/>
      <c r="AA4" s="491"/>
      <c r="AB4" s="491"/>
      <c r="AC4" s="491"/>
      <c r="AD4" s="492"/>
      <c r="AF4" s="484" t="s">
        <v>32</v>
      </c>
      <c r="AG4" s="485"/>
      <c r="AH4" s="485"/>
      <c r="AI4" s="485"/>
      <c r="AJ4" s="485"/>
      <c r="AK4" s="485"/>
      <c r="AL4" s="485"/>
      <c r="AM4" s="485"/>
      <c r="AN4" s="485"/>
      <c r="AO4" s="485"/>
      <c r="AP4" s="485"/>
      <c r="AQ4" s="485"/>
      <c r="AR4" s="485"/>
      <c r="AS4" s="485"/>
      <c r="AT4" s="485"/>
      <c r="AU4" s="485"/>
      <c r="AV4" s="485"/>
      <c r="AW4" s="485"/>
      <c r="AX4" s="485"/>
      <c r="AY4" s="485"/>
      <c r="AZ4" s="485"/>
      <c r="BA4" s="485"/>
      <c r="BB4" s="485"/>
      <c r="BC4" s="485"/>
      <c r="BD4" s="485"/>
      <c r="BE4" s="485"/>
      <c r="BF4" s="485"/>
      <c r="BG4" s="485"/>
      <c r="BH4" s="485"/>
      <c r="BI4" s="485"/>
      <c r="BJ4" s="485"/>
      <c r="BK4" s="485"/>
      <c r="BL4" s="485"/>
      <c r="BM4" s="485"/>
      <c r="BN4" s="485"/>
      <c r="BO4" s="485"/>
      <c r="BP4" s="485"/>
      <c r="BQ4" s="485"/>
      <c r="BR4" s="485"/>
      <c r="BS4" s="485"/>
      <c r="BT4" s="485"/>
      <c r="BU4" s="485"/>
      <c r="BV4" s="485"/>
      <c r="BW4" s="485"/>
      <c r="BX4" s="485"/>
      <c r="BY4" s="485"/>
      <c r="BZ4" s="486"/>
      <c r="CA4" s="40"/>
      <c r="CB4" s="40"/>
    </row>
    <row r="5" spans="1:81" ht="15.75" thickBot="1" x14ac:dyDescent="0.3">
      <c r="B5" s="86"/>
      <c r="C5" s="481">
        <v>203</v>
      </c>
      <c r="D5" s="482"/>
      <c r="E5" s="482"/>
      <c r="F5" s="483"/>
      <c r="G5" s="478">
        <v>204</v>
      </c>
      <c r="H5" s="479"/>
      <c r="I5" s="479"/>
      <c r="J5" s="480"/>
      <c r="K5" s="61">
        <v>659</v>
      </c>
      <c r="L5" s="481">
        <v>203</v>
      </c>
      <c r="M5" s="482"/>
      <c r="N5" s="482"/>
      <c r="O5" s="483"/>
      <c r="P5" s="478">
        <v>204</v>
      </c>
      <c r="Q5" s="479"/>
      <c r="R5" s="479"/>
      <c r="S5" s="480"/>
      <c r="T5" s="88">
        <v>659</v>
      </c>
      <c r="U5" s="4"/>
      <c r="V5" s="481">
        <v>203</v>
      </c>
      <c r="W5" s="482"/>
      <c r="X5" s="482"/>
      <c r="Y5" s="483"/>
      <c r="Z5" s="478">
        <v>204</v>
      </c>
      <c r="AA5" s="479"/>
      <c r="AB5" s="479"/>
      <c r="AC5" s="480"/>
      <c r="AD5" s="88">
        <v>659</v>
      </c>
      <c r="AF5" s="53"/>
      <c r="AG5" s="487" t="s">
        <v>48</v>
      </c>
      <c r="AH5" s="488"/>
      <c r="AI5" s="488"/>
      <c r="AJ5" s="488"/>
      <c r="AK5" s="488"/>
      <c r="AL5" s="488"/>
      <c r="AM5" s="488"/>
      <c r="AN5" s="488"/>
      <c r="AO5" s="488"/>
      <c r="AP5" s="488"/>
      <c r="AQ5" s="488"/>
      <c r="AR5" s="488"/>
      <c r="AS5" s="488"/>
      <c r="AT5" s="488"/>
      <c r="AU5" s="488"/>
      <c r="AV5" s="488"/>
      <c r="AW5" s="488"/>
      <c r="AX5" s="488"/>
      <c r="AY5" s="488"/>
      <c r="AZ5" s="488"/>
      <c r="BA5" s="488"/>
      <c r="BB5" s="488"/>
      <c r="BC5" s="489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487">
        <v>204</v>
      </c>
      <c r="BO5" s="488"/>
      <c r="BP5" s="488"/>
      <c r="BQ5" s="488"/>
      <c r="BR5" s="488"/>
      <c r="BS5" s="488"/>
      <c r="BT5" s="488"/>
      <c r="BU5" s="488"/>
      <c r="BV5" s="488"/>
      <c r="BW5" s="488"/>
      <c r="BX5" s="489"/>
      <c r="BY5" s="77"/>
      <c r="BZ5" s="476">
        <v>659</v>
      </c>
      <c r="CA5" s="477"/>
      <c r="CB5" s="477"/>
    </row>
    <row r="6" spans="1:81" ht="128.25" customHeight="1" thickBot="1" x14ac:dyDescent="0.3">
      <c r="B6" s="86"/>
      <c r="C6" s="89" t="s">
        <v>0</v>
      </c>
      <c r="D6" s="90" t="s">
        <v>1</v>
      </c>
      <c r="E6" s="272" t="s">
        <v>100</v>
      </c>
      <c r="F6" s="96" t="s">
        <v>99</v>
      </c>
      <c r="G6" s="112" t="s">
        <v>36</v>
      </c>
      <c r="H6" s="113" t="s">
        <v>39</v>
      </c>
      <c r="I6" s="113" t="s">
        <v>98</v>
      </c>
      <c r="J6" s="114" t="s">
        <v>40</v>
      </c>
      <c r="K6" s="79" t="s">
        <v>108</v>
      </c>
      <c r="L6" s="103" t="s">
        <v>0</v>
      </c>
      <c r="M6" s="90" t="s">
        <v>1</v>
      </c>
      <c r="N6" s="272" t="s">
        <v>100</v>
      </c>
      <c r="O6" s="96" t="s">
        <v>99</v>
      </c>
      <c r="P6" s="112" t="s">
        <v>36</v>
      </c>
      <c r="Q6" s="113" t="s">
        <v>39</v>
      </c>
      <c r="R6" s="113" t="s">
        <v>98</v>
      </c>
      <c r="S6" s="114" t="s">
        <v>40</v>
      </c>
      <c r="T6" s="79" t="s">
        <v>108</v>
      </c>
      <c r="U6" s="108"/>
      <c r="V6" s="89" t="s">
        <v>0</v>
      </c>
      <c r="W6" s="90" t="s">
        <v>1</v>
      </c>
      <c r="X6" s="272" t="s">
        <v>100</v>
      </c>
      <c r="Y6" s="96" t="s">
        <v>99</v>
      </c>
      <c r="Z6" s="112" t="s">
        <v>36</v>
      </c>
      <c r="AA6" s="113" t="s">
        <v>39</v>
      </c>
      <c r="AB6" s="113" t="s">
        <v>98</v>
      </c>
      <c r="AC6" s="114" t="s">
        <v>40</v>
      </c>
      <c r="AD6" s="79" t="s">
        <v>108</v>
      </c>
      <c r="AF6" s="76"/>
      <c r="AG6" s="92" t="s">
        <v>0</v>
      </c>
      <c r="AH6" s="93" t="s">
        <v>0</v>
      </c>
      <c r="AI6" s="93" t="s">
        <v>0</v>
      </c>
      <c r="AJ6" s="93" t="s">
        <v>0</v>
      </c>
      <c r="AK6" s="93" t="s">
        <v>0</v>
      </c>
      <c r="AL6" s="93" t="s">
        <v>0</v>
      </c>
      <c r="AM6" s="93" t="s">
        <v>0</v>
      </c>
      <c r="AN6" s="93" t="s">
        <v>0</v>
      </c>
      <c r="AO6" s="93" t="s">
        <v>0</v>
      </c>
      <c r="AP6" s="93" t="s">
        <v>0</v>
      </c>
      <c r="AQ6" s="93" t="s">
        <v>0</v>
      </c>
      <c r="AR6" s="93" t="s">
        <v>0</v>
      </c>
      <c r="AS6" s="93" t="s">
        <v>0</v>
      </c>
      <c r="AT6" s="93" t="s">
        <v>0</v>
      </c>
      <c r="AU6" s="93" t="s">
        <v>0</v>
      </c>
      <c r="AV6" s="93" t="s">
        <v>0</v>
      </c>
      <c r="AW6" s="93" t="s">
        <v>0</v>
      </c>
      <c r="AX6" s="94" t="s">
        <v>1</v>
      </c>
      <c r="AY6" s="94" t="s">
        <v>1</v>
      </c>
      <c r="AZ6" s="95" t="s">
        <v>1</v>
      </c>
      <c r="BA6" s="94" t="s">
        <v>1</v>
      </c>
      <c r="BB6" s="94" t="s">
        <v>1</v>
      </c>
      <c r="BC6" s="95" t="s">
        <v>1</v>
      </c>
      <c r="BD6" s="95" t="s">
        <v>1</v>
      </c>
      <c r="BE6" s="95" t="s">
        <v>1</v>
      </c>
      <c r="BF6" s="95" t="s">
        <v>1</v>
      </c>
      <c r="BG6" s="95" t="s">
        <v>1</v>
      </c>
      <c r="BH6" s="272" t="s">
        <v>100</v>
      </c>
      <c r="BI6" s="272" t="s">
        <v>100</v>
      </c>
      <c r="BJ6" s="272" t="s">
        <v>100</v>
      </c>
      <c r="BK6" s="96" t="s">
        <v>99</v>
      </c>
      <c r="BL6" s="96" t="s">
        <v>99</v>
      </c>
      <c r="BM6" s="96" t="s">
        <v>99</v>
      </c>
      <c r="BN6" s="112" t="s">
        <v>36</v>
      </c>
      <c r="BO6" s="113" t="s">
        <v>36</v>
      </c>
      <c r="BP6" s="113" t="s">
        <v>36</v>
      </c>
      <c r="BQ6" s="113" t="s">
        <v>39</v>
      </c>
      <c r="BR6" s="113" t="s">
        <v>39</v>
      </c>
      <c r="BS6" s="113" t="s">
        <v>39</v>
      </c>
      <c r="BT6" s="113" t="s">
        <v>98</v>
      </c>
      <c r="BU6" s="113" t="s">
        <v>98</v>
      </c>
      <c r="BV6" s="113" t="s">
        <v>98</v>
      </c>
      <c r="BW6" s="114" t="s">
        <v>40</v>
      </c>
      <c r="BX6" s="114" t="s">
        <v>40</v>
      </c>
      <c r="BY6" s="114" t="s">
        <v>40</v>
      </c>
      <c r="BZ6" s="79" t="s">
        <v>108</v>
      </c>
      <c r="CA6" s="79" t="s">
        <v>108</v>
      </c>
      <c r="CB6" s="79" t="s">
        <v>108</v>
      </c>
    </row>
    <row r="7" spans="1:81" x14ac:dyDescent="0.25">
      <c r="B7" s="57"/>
      <c r="C7" s="75" t="s">
        <v>35</v>
      </c>
      <c r="D7" s="75" t="s">
        <v>35</v>
      </c>
      <c r="E7" s="75" t="s">
        <v>35</v>
      </c>
      <c r="F7" s="75" t="s">
        <v>35</v>
      </c>
      <c r="G7" s="75" t="s">
        <v>35</v>
      </c>
      <c r="H7" s="75" t="s">
        <v>35</v>
      </c>
      <c r="I7" s="75" t="s">
        <v>37</v>
      </c>
      <c r="J7" s="75" t="s">
        <v>37</v>
      </c>
      <c r="K7" s="98" t="s">
        <v>37</v>
      </c>
      <c r="L7" s="104" t="s">
        <v>3</v>
      </c>
      <c r="M7" s="75" t="s">
        <v>3</v>
      </c>
      <c r="N7" s="75" t="s">
        <v>3</v>
      </c>
      <c r="O7" s="75" t="s">
        <v>3</v>
      </c>
      <c r="P7" s="75" t="s">
        <v>3</v>
      </c>
      <c r="Q7" s="75" t="s">
        <v>3</v>
      </c>
      <c r="R7" s="75" t="s">
        <v>27</v>
      </c>
      <c r="S7" s="75" t="s">
        <v>27</v>
      </c>
      <c r="T7" s="75" t="s">
        <v>27</v>
      </c>
      <c r="U7" s="4"/>
      <c r="V7" s="135" t="s">
        <v>3</v>
      </c>
      <c r="W7" s="75" t="s">
        <v>3</v>
      </c>
      <c r="X7" s="75" t="s">
        <v>3</v>
      </c>
      <c r="Y7" s="75" t="s">
        <v>3</v>
      </c>
      <c r="Z7" s="75" t="s">
        <v>3</v>
      </c>
      <c r="AA7" s="75" t="s">
        <v>3</v>
      </c>
      <c r="AB7" s="75" t="s">
        <v>27</v>
      </c>
      <c r="AC7" s="75" t="s">
        <v>27</v>
      </c>
      <c r="AD7" s="136" t="s">
        <v>27</v>
      </c>
      <c r="AE7" s="55"/>
      <c r="AF7" s="49"/>
      <c r="AG7" s="78" t="s">
        <v>35</v>
      </c>
      <c r="AH7" s="78" t="s">
        <v>35</v>
      </c>
      <c r="AI7" s="78" t="s">
        <v>35</v>
      </c>
      <c r="AJ7" s="78" t="s">
        <v>35</v>
      </c>
      <c r="AK7" s="78" t="s">
        <v>35</v>
      </c>
      <c r="AL7" s="78" t="s">
        <v>35</v>
      </c>
      <c r="AM7" s="78" t="s">
        <v>35</v>
      </c>
      <c r="AN7" s="78" t="s">
        <v>35</v>
      </c>
      <c r="AO7" s="78" t="s">
        <v>35</v>
      </c>
      <c r="AP7" s="78" t="s">
        <v>35</v>
      </c>
      <c r="AQ7" s="78" t="s">
        <v>35</v>
      </c>
      <c r="AR7" s="78" t="s">
        <v>35</v>
      </c>
      <c r="AS7" s="78" t="s">
        <v>35</v>
      </c>
      <c r="AT7" s="78" t="s">
        <v>35</v>
      </c>
      <c r="AU7" s="78" t="s">
        <v>35</v>
      </c>
      <c r="AV7" s="78" t="s">
        <v>35</v>
      </c>
      <c r="AW7" s="78" t="s">
        <v>35</v>
      </c>
      <c r="AX7" s="78" t="s">
        <v>35</v>
      </c>
      <c r="AY7" s="78" t="s">
        <v>35</v>
      </c>
      <c r="AZ7" s="78" t="s">
        <v>35</v>
      </c>
      <c r="BA7" s="78" t="s">
        <v>35</v>
      </c>
      <c r="BB7" s="78" t="s">
        <v>35</v>
      </c>
      <c r="BC7" s="78" t="s">
        <v>35</v>
      </c>
      <c r="BD7" s="78" t="s">
        <v>35</v>
      </c>
      <c r="BE7" s="78" t="s">
        <v>35</v>
      </c>
      <c r="BF7" s="78" t="s">
        <v>35</v>
      </c>
      <c r="BG7" s="78" t="s">
        <v>35</v>
      </c>
      <c r="BH7" s="78" t="s">
        <v>35</v>
      </c>
      <c r="BI7" s="78" t="s">
        <v>35</v>
      </c>
      <c r="BJ7" s="78" t="s">
        <v>35</v>
      </c>
      <c r="BK7" s="78" t="s">
        <v>35</v>
      </c>
      <c r="BL7" s="78" t="s">
        <v>35</v>
      </c>
      <c r="BM7" s="78" t="s">
        <v>35</v>
      </c>
      <c r="BN7" s="78" t="s">
        <v>35</v>
      </c>
      <c r="BO7" s="78" t="s">
        <v>35</v>
      </c>
      <c r="BP7" s="78" t="s">
        <v>35</v>
      </c>
      <c r="BQ7" s="78" t="s">
        <v>35</v>
      </c>
      <c r="BR7" s="78" t="s">
        <v>35</v>
      </c>
      <c r="BS7" s="78" t="s">
        <v>35</v>
      </c>
      <c r="BT7" s="78" t="s">
        <v>37</v>
      </c>
      <c r="BU7" s="78" t="s">
        <v>37</v>
      </c>
      <c r="BV7" s="78" t="s">
        <v>37</v>
      </c>
      <c r="BW7" s="78" t="s">
        <v>37</v>
      </c>
      <c r="BX7" s="78" t="s">
        <v>37</v>
      </c>
      <c r="BY7" s="78" t="s">
        <v>37</v>
      </c>
      <c r="BZ7" s="49" t="s">
        <v>37</v>
      </c>
      <c r="CA7" s="49" t="s">
        <v>37</v>
      </c>
      <c r="CB7" s="49" t="s">
        <v>37</v>
      </c>
    </row>
    <row r="8" spans="1:81" ht="15.75" thickBot="1" x14ac:dyDescent="0.3">
      <c r="B8" s="155" t="s">
        <v>101</v>
      </c>
      <c r="C8" s="147"/>
      <c r="D8" s="147"/>
      <c r="E8" s="147"/>
      <c r="F8" s="147"/>
      <c r="G8" s="147"/>
      <c r="H8" s="147"/>
      <c r="I8" s="147"/>
      <c r="J8" s="156"/>
      <c r="K8" s="157"/>
      <c r="L8" s="152">
        <v>0</v>
      </c>
      <c r="M8" s="144">
        <v>24482</v>
      </c>
      <c r="N8" s="147"/>
      <c r="O8" s="147"/>
      <c r="P8" s="147"/>
      <c r="Q8" s="147"/>
      <c r="R8" s="147"/>
      <c r="S8" s="147"/>
      <c r="T8" s="147"/>
      <c r="U8" s="56"/>
      <c r="V8" s="146"/>
      <c r="W8" s="147"/>
      <c r="X8" s="147"/>
      <c r="Y8" s="147"/>
      <c r="Z8" s="147"/>
      <c r="AA8" s="147"/>
      <c r="AB8" s="147"/>
      <c r="AC8" s="147"/>
      <c r="AD8" s="148"/>
      <c r="AE8" s="55"/>
      <c r="AF8" s="155" t="str">
        <f t="shared" ref="AF8:AF11" si="0">B8</f>
        <v>RAB CENTER</v>
      </c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  <c r="BR8" s="147"/>
      <c r="BS8" s="147"/>
      <c r="BT8" s="147"/>
      <c r="BU8" s="147"/>
      <c r="BV8" s="147"/>
      <c r="BW8" s="147"/>
      <c r="BX8" s="147"/>
      <c r="BY8" s="147"/>
      <c r="BZ8" s="147"/>
      <c r="CA8" s="147"/>
      <c r="CB8" s="147"/>
      <c r="CC8" s="231" t="str">
        <f t="shared" ref="CC8:CC11" si="1">B8</f>
        <v>RAB CENTER</v>
      </c>
    </row>
    <row r="9" spans="1:81" s="3" customFormat="1" ht="15.75" thickBot="1" x14ac:dyDescent="0.3">
      <c r="B9" s="158" t="s">
        <v>104</v>
      </c>
      <c r="C9" s="144"/>
      <c r="D9" s="144"/>
      <c r="E9" s="144"/>
      <c r="F9" s="144"/>
      <c r="G9" s="144"/>
      <c r="H9" s="144"/>
      <c r="I9" s="144"/>
      <c r="J9" s="159"/>
      <c r="K9" s="160"/>
      <c r="L9" s="152">
        <v>1083</v>
      </c>
      <c r="M9" s="144">
        <v>809</v>
      </c>
      <c r="N9" s="144"/>
      <c r="O9" s="144"/>
      <c r="P9" s="144"/>
      <c r="Q9" s="144"/>
      <c r="R9" s="144"/>
      <c r="S9" s="144"/>
      <c r="T9" s="144">
        <v>1036</v>
      </c>
      <c r="U9" s="154"/>
      <c r="V9" s="150"/>
      <c r="W9" s="150"/>
      <c r="X9" s="150"/>
      <c r="Y9" s="150"/>
      <c r="Z9" s="150"/>
      <c r="AA9" s="150"/>
      <c r="AB9" s="150"/>
      <c r="AC9" s="150"/>
      <c r="AD9" s="150"/>
      <c r="AE9" s="153"/>
      <c r="AF9" s="158" t="str">
        <f t="shared" si="0"/>
        <v>SIDE SLOPE WEST</v>
      </c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  <c r="BI9" s="144"/>
      <c r="BJ9" s="144"/>
      <c r="BK9" s="144"/>
      <c r="BL9" s="144"/>
      <c r="BM9" s="144"/>
      <c r="BN9" s="144"/>
      <c r="BO9" s="144"/>
      <c r="BP9" s="144"/>
      <c r="BQ9" s="144"/>
      <c r="BR9" s="144"/>
      <c r="BS9" s="144"/>
      <c r="BT9" s="144"/>
      <c r="BU9" s="144"/>
      <c r="BV9" s="144"/>
      <c r="BW9" s="144"/>
      <c r="BX9" s="144"/>
      <c r="BY9" s="144"/>
      <c r="BZ9" s="144"/>
      <c r="CA9" s="144"/>
      <c r="CB9" s="144"/>
      <c r="CC9" s="231" t="str">
        <f t="shared" si="1"/>
        <v>SIDE SLOPE WEST</v>
      </c>
    </row>
    <row r="10" spans="1:81" x14ac:dyDescent="0.25">
      <c r="B10" s="155" t="s">
        <v>105</v>
      </c>
      <c r="C10" s="147"/>
      <c r="D10" s="147"/>
      <c r="E10" s="147"/>
      <c r="F10" s="147"/>
      <c r="G10" s="147"/>
      <c r="H10" s="147"/>
      <c r="I10" s="147"/>
      <c r="J10" s="156"/>
      <c r="K10" s="157"/>
      <c r="L10" s="151">
        <v>317</v>
      </c>
      <c r="M10" s="147">
        <v>4870</v>
      </c>
      <c r="N10" s="147"/>
      <c r="O10" s="147"/>
      <c r="P10" s="147"/>
      <c r="Q10" s="147"/>
      <c r="R10" s="147"/>
      <c r="S10" s="147"/>
      <c r="T10" s="147">
        <v>648</v>
      </c>
      <c r="U10" s="56"/>
      <c r="V10" s="146"/>
      <c r="W10" s="147"/>
      <c r="X10" s="147"/>
      <c r="Y10" s="147"/>
      <c r="Z10" s="147"/>
      <c r="AA10" s="147"/>
      <c r="AB10" s="147"/>
      <c r="AC10" s="147"/>
      <c r="AD10" s="148"/>
      <c r="AE10" s="55"/>
      <c r="AF10" s="155" t="str">
        <f t="shared" si="0"/>
        <v>SIDE SLOPE NORTHG</v>
      </c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  <c r="BM10" s="147"/>
      <c r="BN10" s="147"/>
      <c r="BO10" s="147"/>
      <c r="BP10" s="147"/>
      <c r="BQ10" s="147"/>
      <c r="BR10" s="147"/>
      <c r="BS10" s="147"/>
      <c r="BT10" s="147"/>
      <c r="BU10" s="147"/>
      <c r="BV10" s="147"/>
      <c r="BW10" s="147"/>
      <c r="BX10" s="147"/>
      <c r="BY10" s="147"/>
      <c r="BZ10" s="147"/>
      <c r="CA10" s="147"/>
      <c r="CB10" s="147"/>
      <c r="CC10" s="231" t="str">
        <f t="shared" si="1"/>
        <v>SIDE SLOPE NORTHG</v>
      </c>
    </row>
    <row r="11" spans="1:81" x14ac:dyDescent="0.25">
      <c r="B11" s="57" t="s">
        <v>106</v>
      </c>
      <c r="C11" s="58"/>
      <c r="D11" s="58"/>
      <c r="E11" s="58"/>
      <c r="F11" s="58"/>
      <c r="G11" s="58"/>
      <c r="H11" s="58"/>
      <c r="I11" s="58"/>
      <c r="J11" s="51"/>
      <c r="K11" s="99"/>
      <c r="L11" s="105">
        <f>SUM(L14:L17)</f>
        <v>2202</v>
      </c>
      <c r="M11" s="58">
        <f>SUM(M14:M17)</f>
        <v>5773</v>
      </c>
      <c r="N11" s="58"/>
      <c r="O11" s="58"/>
      <c r="P11" s="58"/>
      <c r="Q11" s="58"/>
      <c r="R11" s="58"/>
      <c r="S11" s="58"/>
      <c r="T11" s="58">
        <f>SUM(T14:T17)</f>
        <v>2721</v>
      </c>
      <c r="U11" s="56"/>
      <c r="V11" s="137"/>
      <c r="W11" s="58"/>
      <c r="X11" s="58"/>
      <c r="Y11" s="58"/>
      <c r="Z11" s="58"/>
      <c r="AA11" s="58"/>
      <c r="AB11" s="58"/>
      <c r="AC11" s="58"/>
      <c r="AD11" s="138"/>
      <c r="AE11" s="55"/>
      <c r="AF11" s="57" t="str">
        <f t="shared" si="0"/>
        <v>SIDE SLOPE  EAST</v>
      </c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231" t="str">
        <f t="shared" si="1"/>
        <v>SIDE SLOPE  EAST</v>
      </c>
    </row>
    <row r="12" spans="1:81" x14ac:dyDescent="0.25">
      <c r="B12" s="57"/>
      <c r="C12" s="58"/>
      <c r="D12" s="58"/>
      <c r="E12" s="58"/>
      <c r="F12" s="58"/>
      <c r="G12" s="58"/>
      <c r="H12" s="58"/>
      <c r="I12" s="58"/>
      <c r="J12" s="51"/>
      <c r="K12" s="99"/>
      <c r="L12" s="256"/>
      <c r="M12" s="58"/>
      <c r="N12" s="58"/>
      <c r="O12" s="58"/>
      <c r="P12" s="58"/>
      <c r="Q12" s="58"/>
      <c r="R12" s="58"/>
      <c r="S12" s="58"/>
      <c r="T12" s="58"/>
      <c r="U12" s="56"/>
      <c r="V12" s="290"/>
      <c r="W12" s="223"/>
      <c r="X12" s="223"/>
      <c r="Y12" s="223"/>
      <c r="Z12" s="223"/>
      <c r="AA12" s="223"/>
      <c r="AB12" s="223"/>
      <c r="AC12" s="223"/>
      <c r="AD12" s="226"/>
      <c r="AE12" s="55"/>
      <c r="AF12" s="227"/>
      <c r="AG12" s="223"/>
      <c r="AH12" s="223"/>
      <c r="AI12" s="223"/>
      <c r="AJ12" s="223"/>
      <c r="AK12" s="223"/>
      <c r="AL12" s="223"/>
      <c r="AM12" s="223"/>
      <c r="AN12" s="223"/>
      <c r="AO12" s="223"/>
      <c r="AP12" s="223"/>
      <c r="AQ12" s="223"/>
      <c r="AR12" s="223"/>
      <c r="AS12" s="223"/>
      <c r="AT12" s="223"/>
      <c r="AU12" s="223"/>
      <c r="AV12" s="223"/>
      <c r="AW12" s="223"/>
      <c r="AX12" s="223"/>
      <c r="AY12" s="223"/>
      <c r="AZ12" s="223"/>
      <c r="BA12" s="223"/>
      <c r="BB12" s="223"/>
      <c r="BC12" s="223"/>
      <c r="BD12" s="223"/>
      <c r="BE12" s="223"/>
      <c r="BF12" s="223"/>
      <c r="BG12" s="223"/>
      <c r="BH12" s="223"/>
      <c r="BI12" s="223"/>
      <c r="BJ12" s="223"/>
      <c r="BK12" s="223"/>
      <c r="BL12" s="223"/>
      <c r="BM12" s="223"/>
      <c r="BN12" s="223"/>
      <c r="BO12" s="223"/>
      <c r="BP12" s="223"/>
      <c r="BQ12" s="223"/>
      <c r="BR12" s="223"/>
      <c r="BS12" s="223"/>
      <c r="BT12" s="223"/>
      <c r="BU12" s="223"/>
      <c r="BV12" s="223"/>
      <c r="BW12" s="223"/>
      <c r="BX12" s="223"/>
      <c r="BY12" s="223"/>
      <c r="BZ12" s="223"/>
      <c r="CA12" s="223"/>
      <c r="CB12" s="223"/>
      <c r="CC12" s="231"/>
    </row>
    <row r="13" spans="1:81" x14ac:dyDescent="0.25">
      <c r="A13" s="498" t="s">
        <v>107</v>
      </c>
      <c r="B13" s="57">
        <v>25100</v>
      </c>
      <c r="C13" s="58">
        <f>144.8491</f>
        <v>144.84909999999999</v>
      </c>
      <c r="D13" s="58">
        <f>1525.1865+14.7105</f>
        <v>1539.8969999999999</v>
      </c>
      <c r="E13" s="58"/>
      <c r="F13" s="58"/>
      <c r="G13" s="58"/>
      <c r="H13" s="58"/>
      <c r="I13" s="58"/>
      <c r="J13" s="58"/>
      <c r="K13" s="58">
        <f>134.9912+4</f>
        <v>138.99119999999999</v>
      </c>
      <c r="L13" s="58"/>
      <c r="M13" s="58"/>
      <c r="N13" s="58"/>
      <c r="O13" s="58"/>
      <c r="P13" s="58"/>
      <c r="Q13" s="58"/>
      <c r="R13" s="58"/>
      <c r="S13" s="58"/>
      <c r="T13" s="58"/>
      <c r="U13" s="56"/>
      <c r="V13" s="58"/>
      <c r="W13" s="58"/>
      <c r="X13" s="58"/>
      <c r="Y13" s="58"/>
      <c r="Z13" s="58"/>
      <c r="AA13" s="58"/>
      <c r="AB13" s="58"/>
      <c r="AC13" s="58"/>
      <c r="AD13" s="58"/>
      <c r="AE13" s="55"/>
      <c r="AF13" s="227">
        <f t="shared" ref="AF13" si="2">B13</f>
        <v>25100</v>
      </c>
      <c r="AG13" s="223"/>
      <c r="AH13" s="223"/>
      <c r="AI13" s="223"/>
      <c r="AJ13" s="223"/>
      <c r="AK13" s="223"/>
      <c r="AL13" s="223"/>
      <c r="AM13" s="223"/>
      <c r="AN13" s="223"/>
      <c r="AO13" s="223"/>
      <c r="AP13" s="223"/>
      <c r="AQ13" s="223"/>
      <c r="AR13" s="223"/>
      <c r="AS13" s="223"/>
      <c r="AT13" s="223"/>
      <c r="AU13" s="223"/>
      <c r="AV13" s="223"/>
      <c r="AW13" s="223"/>
      <c r="AX13" s="223">
        <v>16.168500000000002</v>
      </c>
      <c r="AY13" s="223"/>
      <c r="AZ13" s="223"/>
      <c r="BA13" s="223"/>
      <c r="BB13" s="223"/>
      <c r="BC13" s="223"/>
      <c r="BD13" s="223"/>
      <c r="BE13" s="223"/>
      <c r="BF13" s="223"/>
      <c r="BG13" s="223"/>
      <c r="BH13" s="223"/>
      <c r="BI13" s="223"/>
      <c r="BJ13" s="223"/>
      <c r="BK13" s="223"/>
      <c r="BL13" s="223"/>
      <c r="BM13" s="223"/>
      <c r="BN13" s="223"/>
      <c r="BO13" s="223"/>
      <c r="BP13" s="223"/>
      <c r="BQ13" s="223"/>
      <c r="BR13" s="223"/>
      <c r="BS13" s="223"/>
      <c r="BT13" s="223"/>
      <c r="BU13" s="223"/>
      <c r="BV13" s="223"/>
      <c r="BW13" s="223"/>
      <c r="BX13" s="223"/>
      <c r="BY13" s="223"/>
      <c r="BZ13" s="223"/>
      <c r="CA13" s="223"/>
      <c r="CB13" s="223"/>
      <c r="CC13" s="231">
        <f t="shared" ref="CC13" si="3">B13</f>
        <v>25100</v>
      </c>
    </row>
    <row r="14" spans="1:81" x14ac:dyDescent="0.25">
      <c r="A14" s="499"/>
      <c r="B14" s="57">
        <v>25150</v>
      </c>
      <c r="C14" s="58">
        <v>171.8621</v>
      </c>
      <c r="D14" s="58">
        <f>1144.6593+13.6218</f>
        <v>1158.2810999999999</v>
      </c>
      <c r="E14" s="58">
        <f t="shared" ref="E14" si="4">BH14+BJ14+BI14</f>
        <v>0</v>
      </c>
      <c r="F14" s="58">
        <f t="shared" ref="F14" si="5">BK14+BL14+BM14</f>
        <v>0</v>
      </c>
      <c r="G14" s="58">
        <f t="shared" ref="G14" si="6">BN14+BO14+BP14</f>
        <v>0</v>
      </c>
      <c r="H14" s="58">
        <f t="shared" ref="H14" si="7">BQ14+BR14+BS14</f>
        <v>0</v>
      </c>
      <c r="I14" s="58">
        <f t="shared" ref="I14" si="8">BT14+BU14+BV14</f>
        <v>0</v>
      </c>
      <c r="J14" s="51">
        <f t="shared" ref="J14" si="9">BW14+BX14+BY14</f>
        <v>0</v>
      </c>
      <c r="K14" s="51">
        <f>122.5264+4</f>
        <v>126.5264</v>
      </c>
      <c r="L14" s="58">
        <f t="shared" ref="L14" si="10">ROUNDUP(((C13+C14)*0.5)*(B14-B13)/27,0)</f>
        <v>294</v>
      </c>
      <c r="M14" s="58">
        <f>ROUNDUP(((D13+D14)*0.5)*(B14-B13)/27,0)</f>
        <v>2499</v>
      </c>
      <c r="N14" s="58"/>
      <c r="O14" s="58">
        <f t="shared" ref="O14" si="11">ROUNDUP(((F13+F14)*0.5)*(B14-B13)/27,0)</f>
        <v>0</v>
      </c>
      <c r="P14" s="58">
        <f t="shared" ref="P14" si="12">ROUNDUP(((G14+G13)*0.5)*(B14-B13)/27,0)</f>
        <v>0</v>
      </c>
      <c r="Q14" s="58">
        <f t="shared" ref="Q14" si="13">ROUNDUP(((H14+H13)*0.5)*(B14-B13)/27,0)</f>
        <v>0</v>
      </c>
      <c r="R14" s="58">
        <f t="shared" ref="R14" si="14">ROUNDUP(((I14+I13)*0.5)*(B14-B13)/9,0)</f>
        <v>0</v>
      </c>
      <c r="S14" s="58">
        <f t="shared" ref="S14" si="15">ROUNDUP(((J14+J13)*0.5)*(B14-B13)/9,0)</f>
        <v>0</v>
      </c>
      <c r="T14" s="58">
        <f t="shared" ref="T14" si="16">ROUNDUP(((K14+K13)*0.5)*(B14-B13)/9,0)</f>
        <v>738</v>
      </c>
      <c r="U14" s="56"/>
      <c r="V14" s="290"/>
      <c r="W14" s="223"/>
      <c r="X14" s="223"/>
      <c r="Y14" s="223"/>
      <c r="Z14" s="223"/>
      <c r="AA14" s="223"/>
      <c r="AB14" s="223"/>
      <c r="AC14" s="223"/>
      <c r="AD14" s="226"/>
      <c r="AE14" s="55"/>
      <c r="AF14" s="227">
        <f t="shared" ref="AF14" si="17">B14</f>
        <v>25150</v>
      </c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  <c r="AS14" s="223"/>
      <c r="AT14" s="223"/>
      <c r="AU14" s="223"/>
      <c r="AV14" s="223"/>
      <c r="AW14" s="223"/>
      <c r="AX14" s="223">
        <v>16.168500000000002</v>
      </c>
      <c r="AY14" s="223"/>
      <c r="AZ14" s="223"/>
      <c r="BA14" s="223"/>
      <c r="BB14" s="223"/>
      <c r="BC14" s="223"/>
      <c r="BD14" s="223"/>
      <c r="BE14" s="223"/>
      <c r="BF14" s="223"/>
      <c r="BG14" s="223"/>
      <c r="BH14" s="223"/>
      <c r="BI14" s="223"/>
      <c r="BJ14" s="223"/>
      <c r="BK14" s="223"/>
      <c r="BL14" s="223"/>
      <c r="BM14" s="223"/>
      <c r="BN14" s="223"/>
      <c r="BO14" s="223"/>
      <c r="BP14" s="223"/>
      <c r="BQ14" s="223"/>
      <c r="BR14" s="223"/>
      <c r="BS14" s="223"/>
      <c r="BT14" s="223"/>
      <c r="BU14" s="223"/>
      <c r="BV14" s="223"/>
      <c r="BW14" s="223"/>
      <c r="BX14" s="223"/>
      <c r="BY14" s="223"/>
      <c r="BZ14" s="223"/>
      <c r="CA14" s="223"/>
      <c r="CB14" s="223"/>
      <c r="CC14" s="231">
        <f t="shared" ref="CC14" si="18">B14</f>
        <v>25150</v>
      </c>
    </row>
    <row r="15" spans="1:81" x14ac:dyDescent="0.25">
      <c r="A15" s="499"/>
      <c r="B15" s="57">
        <v>25200</v>
      </c>
      <c r="C15" s="58">
        <v>213.07220000000001</v>
      </c>
      <c r="D15" s="58">
        <v>500.07560000000001</v>
      </c>
      <c r="E15" s="58">
        <f t="shared" ref="E15:E17" si="19">BH15+BJ15+BI15</f>
        <v>0</v>
      </c>
      <c r="F15" s="58">
        <f t="shared" ref="F15:F17" si="20">BK15+BL15+BM15</f>
        <v>0</v>
      </c>
      <c r="G15" s="58">
        <f t="shared" ref="G15:G17" si="21">BN15+BO15+BP15</f>
        <v>0</v>
      </c>
      <c r="H15" s="58">
        <f t="shared" ref="H15:H17" si="22">BQ15+BR15+BS15</f>
        <v>0</v>
      </c>
      <c r="I15" s="58">
        <f t="shared" ref="I15:I17" si="23">BT15+BU15+BV15</f>
        <v>0</v>
      </c>
      <c r="J15" s="51">
        <f t="shared" ref="J15:J17" si="24">BW15+BX15+BY15</f>
        <v>0</v>
      </c>
      <c r="K15" s="51">
        <f>97.2465+4</f>
        <v>101.2465</v>
      </c>
      <c r="L15" s="58">
        <f t="shared" ref="L15:L17" si="25">ROUNDUP(((C14+C15)*0.5)*(B15-B14)/27,0)</f>
        <v>357</v>
      </c>
      <c r="M15" s="58">
        <f t="shared" ref="M15:M16" si="26">ROUNDUP(((D14+D15)*0.5)*(B15-B14)/27,0)</f>
        <v>1536</v>
      </c>
      <c r="N15" s="58"/>
      <c r="O15" s="58">
        <f t="shared" ref="O15:O17" si="27">ROUNDUP(((F14+F15)*0.5)*(B15-B14)/27,0)</f>
        <v>0</v>
      </c>
      <c r="P15" s="58">
        <f t="shared" ref="P15:P17" si="28">ROUNDUP(((G15+G14)*0.5)*(B15-B14)/27,0)</f>
        <v>0</v>
      </c>
      <c r="Q15" s="58">
        <f t="shared" ref="Q15:Q17" si="29">ROUNDUP(((H15+H14)*0.5)*(B15-B14)/27,0)</f>
        <v>0</v>
      </c>
      <c r="R15" s="58">
        <f t="shared" ref="R15:R17" si="30">ROUNDUP(((I15+I14)*0.5)*(B15-B14)/9,0)</f>
        <v>0</v>
      </c>
      <c r="S15" s="58">
        <f t="shared" ref="S15:S17" si="31">ROUNDUP(((J15+J14)*0.5)*(B15-B14)/9,0)</f>
        <v>0</v>
      </c>
      <c r="T15" s="58">
        <f t="shared" ref="T15" si="32">ROUNDUP(((K15+K14)*0.5)*(B15-B14)/9,0)</f>
        <v>633</v>
      </c>
      <c r="U15" s="56"/>
      <c r="V15" s="290"/>
      <c r="W15" s="223"/>
      <c r="X15" s="223"/>
      <c r="Y15" s="223"/>
      <c r="Z15" s="223"/>
      <c r="AA15" s="223"/>
      <c r="AB15" s="223"/>
      <c r="AC15" s="223"/>
      <c r="AD15" s="226"/>
      <c r="AE15" s="55"/>
      <c r="AF15" s="227">
        <f t="shared" ref="AF15:AF17" si="33">B15</f>
        <v>25200</v>
      </c>
      <c r="AG15" s="223"/>
      <c r="AH15" s="223"/>
      <c r="AI15" s="223"/>
      <c r="AJ15" s="223"/>
      <c r="AK15" s="223"/>
      <c r="AL15" s="223"/>
      <c r="AM15" s="223"/>
      <c r="AN15" s="223"/>
      <c r="AO15" s="223"/>
      <c r="AP15" s="223"/>
      <c r="AQ15" s="223"/>
      <c r="AR15" s="223"/>
      <c r="AS15" s="223"/>
      <c r="AT15" s="223"/>
      <c r="AU15" s="223"/>
      <c r="AV15" s="223"/>
      <c r="AW15" s="223"/>
      <c r="AX15" s="223">
        <v>16.168500000000002</v>
      </c>
      <c r="AY15" s="223"/>
      <c r="AZ15" s="223"/>
      <c r="BA15" s="223"/>
      <c r="BB15" s="223"/>
      <c r="BC15" s="223"/>
      <c r="BD15" s="223"/>
      <c r="BE15" s="223"/>
      <c r="BF15" s="223"/>
      <c r="BG15" s="223"/>
      <c r="BH15" s="223"/>
      <c r="BI15" s="223"/>
      <c r="BJ15" s="223"/>
      <c r="BK15" s="223"/>
      <c r="BL15" s="223"/>
      <c r="BM15" s="223"/>
      <c r="BN15" s="223"/>
      <c r="BO15" s="223"/>
      <c r="BP15" s="223"/>
      <c r="BQ15" s="223"/>
      <c r="BR15" s="223"/>
      <c r="BS15" s="223"/>
      <c r="BT15" s="223"/>
      <c r="BU15" s="223"/>
      <c r="BV15" s="223"/>
      <c r="BW15" s="223"/>
      <c r="BX15" s="223"/>
      <c r="BY15" s="223"/>
      <c r="BZ15" s="223"/>
      <c r="CA15" s="223"/>
      <c r="CB15" s="223"/>
      <c r="CC15" s="231">
        <f t="shared" ref="CC15" si="34">B15</f>
        <v>25200</v>
      </c>
    </row>
    <row r="16" spans="1:81" x14ac:dyDescent="0.25">
      <c r="A16" s="499"/>
      <c r="B16" s="57">
        <v>25250</v>
      </c>
      <c r="C16" s="58">
        <v>446.26209999999998</v>
      </c>
      <c r="D16" s="58">
        <v>461.61470000000003</v>
      </c>
      <c r="E16" s="58">
        <f t="shared" si="19"/>
        <v>0</v>
      </c>
      <c r="F16" s="58">
        <f t="shared" si="20"/>
        <v>0</v>
      </c>
      <c r="G16" s="58">
        <f t="shared" si="21"/>
        <v>0</v>
      </c>
      <c r="H16" s="58">
        <f t="shared" si="22"/>
        <v>0</v>
      </c>
      <c r="I16" s="58">
        <f t="shared" si="23"/>
        <v>0</v>
      </c>
      <c r="J16" s="51">
        <f t="shared" si="24"/>
        <v>0</v>
      </c>
      <c r="K16" s="51">
        <f>116.7263+4</f>
        <v>120.72629999999999</v>
      </c>
      <c r="L16" s="58">
        <f t="shared" si="25"/>
        <v>611</v>
      </c>
      <c r="M16" s="58">
        <f t="shared" si="26"/>
        <v>891</v>
      </c>
      <c r="N16" s="58"/>
      <c r="O16" s="58">
        <f t="shared" si="27"/>
        <v>0</v>
      </c>
      <c r="P16" s="58">
        <f t="shared" si="28"/>
        <v>0</v>
      </c>
      <c r="Q16" s="58">
        <f t="shared" si="29"/>
        <v>0</v>
      </c>
      <c r="R16" s="58">
        <f t="shared" si="30"/>
        <v>0</v>
      </c>
      <c r="S16" s="58">
        <f t="shared" si="31"/>
        <v>0</v>
      </c>
      <c r="T16" s="58">
        <f>ROUNDUP(((K16+K15)*0.5)*(B16-B15)/9,0)</f>
        <v>617</v>
      </c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49"/>
      <c r="AF16" s="227">
        <f t="shared" si="33"/>
        <v>25250</v>
      </c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>
        <v>16.168500000000002</v>
      </c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231"/>
    </row>
    <row r="17" spans="1:81" x14ac:dyDescent="0.25">
      <c r="A17" s="499"/>
      <c r="B17" s="57">
        <v>25300</v>
      </c>
      <c r="C17" s="58">
        <v>568.2627</v>
      </c>
      <c r="D17" s="58">
        <v>452.38580000000002</v>
      </c>
      <c r="E17" s="58">
        <f t="shared" si="19"/>
        <v>0</v>
      </c>
      <c r="F17" s="58">
        <f t="shared" si="20"/>
        <v>0</v>
      </c>
      <c r="G17" s="58">
        <f t="shared" si="21"/>
        <v>0</v>
      </c>
      <c r="H17" s="58">
        <f t="shared" si="22"/>
        <v>0</v>
      </c>
      <c r="I17" s="58">
        <f t="shared" si="23"/>
        <v>0</v>
      </c>
      <c r="J17" s="51">
        <f t="shared" si="24"/>
        <v>0</v>
      </c>
      <c r="K17" s="51">
        <f>139.051+4</f>
        <v>143.05099999999999</v>
      </c>
      <c r="L17" s="58">
        <f t="shared" si="25"/>
        <v>940</v>
      </c>
      <c r="M17" s="58">
        <f>ROUNDUP(((D16+D17)*0.5)*(B17-B16)/27,0)</f>
        <v>847</v>
      </c>
      <c r="N17" s="58"/>
      <c r="O17" s="58">
        <f t="shared" si="27"/>
        <v>0</v>
      </c>
      <c r="P17" s="58">
        <f t="shared" si="28"/>
        <v>0</v>
      </c>
      <c r="Q17" s="58">
        <f t="shared" si="29"/>
        <v>0</v>
      </c>
      <c r="R17" s="58">
        <f t="shared" si="30"/>
        <v>0</v>
      </c>
      <c r="S17" s="58">
        <f t="shared" si="31"/>
        <v>0</v>
      </c>
      <c r="T17" s="58">
        <f>ROUNDUP(((K17+K16)*0.5)*(B17-B16)/9,0)</f>
        <v>733</v>
      </c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49"/>
      <c r="AF17" s="227">
        <f t="shared" si="33"/>
        <v>25300</v>
      </c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>
        <v>16.168500000000002</v>
      </c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231"/>
    </row>
    <row r="18" spans="1:81" x14ac:dyDescent="0.25">
      <c r="A18" s="294"/>
      <c r="B18" s="231"/>
      <c r="C18" s="56"/>
      <c r="D18" s="56"/>
      <c r="E18" s="56"/>
      <c r="F18" s="56"/>
      <c r="G18" s="56"/>
      <c r="H18" s="56"/>
      <c r="I18" s="56"/>
      <c r="J18" s="232"/>
      <c r="K18" s="232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5"/>
      <c r="AF18" s="231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231"/>
    </row>
    <row r="19" spans="1:81" ht="21" x14ac:dyDescent="0.35">
      <c r="K19" s="288" t="s">
        <v>103</v>
      </c>
      <c r="L19" s="289">
        <f>SUM(L8:L11)</f>
        <v>3602</v>
      </c>
      <c r="M19" s="289">
        <f>SUM(M8:M11)</f>
        <v>35934</v>
      </c>
      <c r="N19" s="288"/>
      <c r="O19" s="288"/>
      <c r="P19" s="288"/>
      <c r="Q19" s="288"/>
      <c r="R19" s="288"/>
      <c r="S19" s="288"/>
      <c r="T19" s="289">
        <f>SUM(T8:T11)</f>
        <v>4405</v>
      </c>
    </row>
    <row r="21" spans="1:81" x14ac:dyDescent="0.25">
      <c r="L21" s="500" t="s">
        <v>102</v>
      </c>
      <c r="M21" s="501"/>
      <c r="N21" s="501"/>
      <c r="O21" s="501"/>
      <c r="P21" s="501"/>
      <c r="Q21" s="501"/>
    </row>
    <row r="22" spans="1:81" x14ac:dyDescent="0.25">
      <c r="L22" s="500"/>
      <c r="M22" s="501"/>
      <c r="N22" s="501"/>
      <c r="O22" s="501"/>
      <c r="P22" s="501"/>
      <c r="Q22" s="501"/>
    </row>
    <row r="23" spans="1:81" x14ac:dyDescent="0.25">
      <c r="L23" s="500"/>
      <c r="M23" s="501"/>
      <c r="N23" s="501"/>
      <c r="O23" s="501"/>
      <c r="P23" s="501"/>
      <c r="Q23" s="501"/>
    </row>
    <row r="24" spans="1:81" x14ac:dyDescent="0.25">
      <c r="L24" s="500"/>
      <c r="M24" s="501"/>
      <c r="N24" s="501"/>
      <c r="O24" s="501"/>
      <c r="P24" s="501"/>
      <c r="Q24" s="501"/>
    </row>
  </sheetData>
  <mergeCells count="15">
    <mergeCell ref="A13:A17"/>
    <mergeCell ref="L21:Q24"/>
    <mergeCell ref="AG5:BC5"/>
    <mergeCell ref="BN5:BX5"/>
    <mergeCell ref="BZ5:CB5"/>
    <mergeCell ref="C4:K4"/>
    <mergeCell ref="L4:T4"/>
    <mergeCell ref="V4:AD4"/>
    <mergeCell ref="AF4:BZ4"/>
    <mergeCell ref="C5:F5"/>
    <mergeCell ref="G5:J5"/>
    <mergeCell ref="L5:O5"/>
    <mergeCell ref="P5:S5"/>
    <mergeCell ref="V5:Y5"/>
    <mergeCell ref="Z5:AC5"/>
  </mergeCells>
  <pageMargins left="0.7" right="0.7" top="0.75" bottom="0.75" header="0.3" footer="0.3"/>
  <pageSetup paperSize="17" scale="2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B1A73-0771-46B6-97CF-D200A3B85966}">
  <sheetPr>
    <pageSetUpPr fitToPage="1"/>
  </sheetPr>
  <dimension ref="A1:DI257"/>
  <sheetViews>
    <sheetView topLeftCell="L1" zoomScale="80" zoomScaleNormal="80" workbookViewId="0">
      <pane ySplit="7" topLeftCell="A152" activePane="bottomLeft" state="frozen"/>
      <selection pane="bottomLeft" activeCell="Z176" sqref="Z176:AE176"/>
    </sheetView>
  </sheetViews>
  <sheetFormatPr defaultRowHeight="15" x14ac:dyDescent="0.25"/>
  <cols>
    <col min="1" max="1" width="16.85546875" bestFit="1" customWidth="1"/>
    <col min="2" max="2" width="16.85546875" customWidth="1"/>
    <col min="3" max="3" width="13.5703125" style="1" bestFit="1" customWidth="1"/>
    <col min="4" max="5" width="10.7109375" style="31" customWidth="1"/>
    <col min="6" max="11" width="10.7109375" customWidth="1"/>
    <col min="12" max="12" width="10.7109375" style="31" customWidth="1"/>
    <col min="13" max="13" width="17.7109375" style="382" customWidth="1"/>
    <col min="14" max="15" width="17" customWidth="1"/>
    <col min="16" max="16" width="10.7109375" customWidth="1"/>
    <col min="17" max="20" width="13.7109375" bestFit="1" customWidth="1"/>
    <col min="21" max="21" width="18.28515625" style="31" bestFit="1" customWidth="1"/>
    <col min="22" max="22" width="12.140625" customWidth="1"/>
    <col min="23" max="23" width="17.7109375" style="102" customWidth="1"/>
    <col min="24" max="25" width="17" customWidth="1"/>
    <col min="26" max="26" width="12.140625" bestFit="1" customWidth="1"/>
    <col min="27" max="30" width="13.7109375" bestFit="1" customWidth="1"/>
    <col min="31" max="31" width="18.28515625" bestFit="1" customWidth="1"/>
    <col min="32" max="32" width="12.7109375" bestFit="1" customWidth="1"/>
    <col min="33" max="33" width="13.5703125" bestFit="1" customWidth="1"/>
    <col min="34" max="34" width="10.28515625" bestFit="1" customWidth="1"/>
    <col min="35" max="35" width="9.140625" customWidth="1"/>
    <col min="38" max="50" width="9.140625" customWidth="1"/>
    <col min="51" max="53" width="10.42578125" bestFit="1" customWidth="1"/>
    <col min="54" max="54" width="9.28515625" customWidth="1"/>
    <col min="55" max="55" width="9.140625" customWidth="1"/>
    <col min="56" max="56" width="10.42578125" bestFit="1" customWidth="1"/>
    <col min="57" max="57" width="9.140625" customWidth="1"/>
    <col min="58" max="59" width="10.42578125" customWidth="1"/>
    <col min="60" max="61" width="9.140625" customWidth="1"/>
    <col min="62" max="63" width="10.42578125" bestFit="1" customWidth="1"/>
    <col min="64" max="64" width="10" bestFit="1" customWidth="1"/>
    <col min="66" max="66" width="6.5703125" bestFit="1" customWidth="1"/>
    <col min="67" max="68" width="9.85546875" customWidth="1"/>
    <col min="69" max="69" width="8.42578125" customWidth="1"/>
    <col min="70" max="70" width="7.5703125" bestFit="1" customWidth="1"/>
    <col min="71" max="71" width="6.5703125" bestFit="1" customWidth="1"/>
    <col min="72" max="72" width="10" customWidth="1"/>
    <col min="73" max="74" width="6.5703125" bestFit="1" customWidth="1"/>
    <col min="75" max="75" width="9.140625" customWidth="1"/>
    <col min="76" max="76" width="6.5703125" bestFit="1" customWidth="1"/>
    <col min="77" max="77" width="6.7109375" customWidth="1"/>
    <col min="78" max="78" width="9.140625" customWidth="1"/>
    <col min="80" max="80" width="9.140625" style="262"/>
    <col min="81" max="81" width="10.85546875" bestFit="1" customWidth="1"/>
    <col min="82" max="83" width="10.28515625" bestFit="1" customWidth="1"/>
  </cols>
  <sheetData>
    <row r="1" spans="1:113" x14ac:dyDescent="0.25">
      <c r="A1" s="68"/>
      <c r="B1" s="122"/>
      <c r="C1" s="69"/>
      <c r="D1" s="356" t="s">
        <v>43</v>
      </c>
    </row>
    <row r="2" spans="1:113" x14ac:dyDescent="0.25">
      <c r="A2" s="71" t="s">
        <v>33</v>
      </c>
      <c r="B2" s="123"/>
      <c r="C2" s="67" t="s">
        <v>41</v>
      </c>
      <c r="D2" s="357"/>
    </row>
    <row r="3" spans="1:113" ht="15.75" thickBot="1" x14ac:dyDescent="0.3">
      <c r="A3" s="73" t="s">
        <v>34</v>
      </c>
      <c r="B3" s="124"/>
      <c r="C3" s="74" t="s">
        <v>42</v>
      </c>
      <c r="D3" s="358"/>
    </row>
    <row r="4" spans="1:113" ht="23.25" x14ac:dyDescent="0.35">
      <c r="C4" s="86"/>
      <c r="D4" s="515" t="s">
        <v>51</v>
      </c>
      <c r="E4" s="516"/>
      <c r="F4" s="516"/>
      <c r="G4" s="516"/>
      <c r="H4" s="516"/>
      <c r="I4" s="516"/>
      <c r="J4" s="516"/>
      <c r="K4" s="516"/>
      <c r="L4" s="516"/>
      <c r="M4" s="515" t="s">
        <v>50</v>
      </c>
      <c r="N4" s="516"/>
      <c r="O4" s="516"/>
      <c r="P4" s="516"/>
      <c r="Q4" s="516"/>
      <c r="R4" s="516"/>
      <c r="S4" s="516"/>
      <c r="T4" s="516"/>
      <c r="U4" s="517"/>
      <c r="V4" s="4"/>
      <c r="W4" s="515" t="s">
        <v>78</v>
      </c>
      <c r="X4" s="516"/>
      <c r="Y4" s="516"/>
      <c r="Z4" s="516"/>
      <c r="AA4" s="516"/>
      <c r="AB4" s="516"/>
      <c r="AC4" s="516"/>
      <c r="AD4" s="516"/>
      <c r="AE4" s="517"/>
      <c r="AG4" s="511" t="s">
        <v>32</v>
      </c>
      <c r="AH4" s="512"/>
      <c r="AI4" s="512"/>
      <c r="AJ4" s="512"/>
      <c r="AK4" s="512"/>
      <c r="AL4" s="512"/>
      <c r="AM4" s="512"/>
      <c r="AN4" s="512"/>
      <c r="AO4" s="512"/>
      <c r="AP4" s="512"/>
      <c r="AQ4" s="512"/>
      <c r="AR4" s="512"/>
      <c r="AS4" s="512"/>
      <c r="AT4" s="512"/>
      <c r="AU4" s="512"/>
      <c r="AV4" s="512"/>
      <c r="AW4" s="512"/>
      <c r="AX4" s="512"/>
      <c r="AY4" s="512"/>
      <c r="AZ4" s="512"/>
      <c r="BA4" s="512"/>
      <c r="BB4" s="512"/>
      <c r="BC4" s="512"/>
      <c r="BD4" s="512"/>
      <c r="BE4" s="512"/>
      <c r="BF4" s="512"/>
      <c r="BG4" s="512"/>
      <c r="BH4" s="512"/>
      <c r="BI4" s="512"/>
      <c r="BJ4" s="512"/>
      <c r="BK4" s="512"/>
      <c r="BL4" s="512"/>
      <c r="BM4" s="512"/>
      <c r="BN4" s="512"/>
      <c r="BO4" s="512"/>
      <c r="BP4" s="512"/>
      <c r="BQ4" s="512"/>
      <c r="BR4" s="512"/>
      <c r="BS4" s="512"/>
      <c r="BT4" s="512"/>
      <c r="BU4" s="512"/>
      <c r="BV4" s="512"/>
      <c r="BW4" s="512"/>
      <c r="BX4" s="512"/>
      <c r="BY4" s="513"/>
      <c r="BZ4" s="40"/>
      <c r="CA4" s="40"/>
    </row>
    <row r="5" spans="1:113" ht="15.75" thickBot="1" x14ac:dyDescent="0.3">
      <c r="C5" s="86"/>
      <c r="D5" s="481">
        <v>203</v>
      </c>
      <c r="E5" s="482"/>
      <c r="F5" s="482"/>
      <c r="G5" s="483"/>
      <c r="H5" s="478">
        <v>204</v>
      </c>
      <c r="I5" s="479"/>
      <c r="J5" s="479"/>
      <c r="K5" s="480"/>
      <c r="L5" s="371">
        <v>659</v>
      </c>
      <c r="M5" s="481">
        <v>203</v>
      </c>
      <c r="N5" s="482"/>
      <c r="O5" s="482"/>
      <c r="P5" s="483"/>
      <c r="Q5" s="478">
        <v>204</v>
      </c>
      <c r="R5" s="479"/>
      <c r="S5" s="479"/>
      <c r="T5" s="480"/>
      <c r="U5" s="395">
        <v>659</v>
      </c>
      <c r="V5" s="4"/>
      <c r="W5" s="481">
        <v>203</v>
      </c>
      <c r="X5" s="482"/>
      <c r="Y5" s="482"/>
      <c r="Z5" s="483"/>
      <c r="AA5" s="478">
        <v>204</v>
      </c>
      <c r="AB5" s="479"/>
      <c r="AC5" s="479"/>
      <c r="AD5" s="480"/>
      <c r="AE5" s="88">
        <v>659</v>
      </c>
      <c r="AG5" s="53"/>
      <c r="AH5" s="487" t="s">
        <v>48</v>
      </c>
      <c r="AI5" s="488"/>
      <c r="AJ5" s="488"/>
      <c r="AK5" s="488"/>
      <c r="AL5" s="488"/>
      <c r="AM5" s="488"/>
      <c r="AN5" s="488"/>
      <c r="AO5" s="488"/>
      <c r="AP5" s="488"/>
      <c r="AQ5" s="488"/>
      <c r="AR5" s="488"/>
      <c r="AS5" s="488"/>
      <c r="AT5" s="488"/>
      <c r="AU5" s="488"/>
      <c r="AV5" s="488"/>
      <c r="AW5" s="488"/>
      <c r="AX5" s="488"/>
      <c r="AY5" s="488"/>
      <c r="AZ5" s="488"/>
      <c r="BA5" s="488"/>
      <c r="BB5" s="488"/>
      <c r="BC5" s="488"/>
      <c r="BD5" s="489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487">
        <v>204</v>
      </c>
      <c r="BP5" s="488"/>
      <c r="BQ5" s="488"/>
      <c r="BR5" s="488"/>
      <c r="BS5" s="488"/>
      <c r="BT5" s="488"/>
      <c r="BU5" s="488"/>
      <c r="BV5" s="488"/>
      <c r="BW5" s="488"/>
      <c r="BX5" s="489"/>
      <c r="BY5" s="476">
        <v>659</v>
      </c>
      <c r="BZ5" s="477"/>
      <c r="CA5" s="477"/>
      <c r="CB5" s="514"/>
    </row>
    <row r="6" spans="1:113" ht="128.25" customHeight="1" thickBot="1" x14ac:dyDescent="0.3">
      <c r="C6" s="86"/>
      <c r="D6" s="359" t="s">
        <v>0</v>
      </c>
      <c r="E6" s="370" t="s">
        <v>1</v>
      </c>
      <c r="F6" s="272" t="s">
        <v>100</v>
      </c>
      <c r="G6" s="96" t="s">
        <v>99</v>
      </c>
      <c r="H6" s="112" t="s">
        <v>36</v>
      </c>
      <c r="I6" s="113" t="s">
        <v>39</v>
      </c>
      <c r="J6" s="113" t="s">
        <v>98</v>
      </c>
      <c r="K6" s="114" t="s">
        <v>40</v>
      </c>
      <c r="L6" s="372" t="s">
        <v>2</v>
      </c>
      <c r="M6" s="383" t="s">
        <v>0</v>
      </c>
      <c r="N6" s="90" t="s">
        <v>1</v>
      </c>
      <c r="O6" s="272" t="s">
        <v>100</v>
      </c>
      <c r="P6" s="96" t="s">
        <v>99</v>
      </c>
      <c r="Q6" s="112" t="s">
        <v>36</v>
      </c>
      <c r="R6" s="113" t="s">
        <v>39</v>
      </c>
      <c r="S6" s="113" t="s">
        <v>98</v>
      </c>
      <c r="T6" s="114" t="s">
        <v>40</v>
      </c>
      <c r="U6" s="396" t="s">
        <v>108</v>
      </c>
      <c r="V6" s="108"/>
      <c r="W6" s="103" t="s">
        <v>0</v>
      </c>
      <c r="X6" s="90" t="s">
        <v>1</v>
      </c>
      <c r="Y6" s="272" t="s">
        <v>100</v>
      </c>
      <c r="Z6" s="96" t="s">
        <v>99</v>
      </c>
      <c r="AA6" s="112" t="s">
        <v>36</v>
      </c>
      <c r="AB6" s="113" t="s">
        <v>39</v>
      </c>
      <c r="AC6" s="113" t="s">
        <v>98</v>
      </c>
      <c r="AD6" s="114" t="s">
        <v>40</v>
      </c>
      <c r="AE6" s="79" t="s">
        <v>108</v>
      </c>
      <c r="AG6" s="76"/>
      <c r="AH6" s="92" t="s">
        <v>0</v>
      </c>
      <c r="AI6" s="93" t="s">
        <v>0</v>
      </c>
      <c r="AJ6" s="93" t="s">
        <v>0</v>
      </c>
      <c r="AK6" s="93" t="s">
        <v>0</v>
      </c>
      <c r="AL6" s="93" t="s">
        <v>0</v>
      </c>
      <c r="AM6" s="93" t="s">
        <v>0</v>
      </c>
      <c r="AN6" s="93" t="s">
        <v>0</v>
      </c>
      <c r="AO6" s="93" t="s">
        <v>0</v>
      </c>
      <c r="AP6" s="93" t="s">
        <v>0</v>
      </c>
      <c r="AQ6" s="93" t="s">
        <v>0</v>
      </c>
      <c r="AR6" s="93" t="s">
        <v>0</v>
      </c>
      <c r="AS6" s="93" t="s">
        <v>0</v>
      </c>
      <c r="AT6" s="93" t="s">
        <v>0</v>
      </c>
      <c r="AU6" s="93" t="s">
        <v>0</v>
      </c>
      <c r="AV6" s="93" t="s">
        <v>0</v>
      </c>
      <c r="AW6" s="93" t="s">
        <v>0</v>
      </c>
      <c r="AX6" s="93" t="s">
        <v>0</v>
      </c>
      <c r="AY6" s="94" t="s">
        <v>1</v>
      </c>
      <c r="AZ6" s="94" t="s">
        <v>1</v>
      </c>
      <c r="BA6" s="95" t="s">
        <v>1</v>
      </c>
      <c r="BB6" s="94" t="s">
        <v>1</v>
      </c>
      <c r="BC6" s="94" t="s">
        <v>1</v>
      </c>
      <c r="BD6" s="95" t="s">
        <v>1</v>
      </c>
      <c r="BE6" s="95" t="s">
        <v>1</v>
      </c>
      <c r="BF6" s="95" t="s">
        <v>1</v>
      </c>
      <c r="BG6" s="95" t="s">
        <v>1</v>
      </c>
      <c r="BH6" s="95" t="s">
        <v>1</v>
      </c>
      <c r="BI6" s="95" t="s">
        <v>1</v>
      </c>
      <c r="BJ6" s="272" t="s">
        <v>100</v>
      </c>
      <c r="BK6" s="272" t="s">
        <v>100</v>
      </c>
      <c r="BL6" s="96" t="s">
        <v>99</v>
      </c>
      <c r="BM6" s="96" t="s">
        <v>99</v>
      </c>
      <c r="BN6" s="96" t="s">
        <v>99</v>
      </c>
      <c r="BO6" s="110" t="s">
        <v>36</v>
      </c>
      <c r="BP6" s="111" t="s">
        <v>36</v>
      </c>
      <c r="BQ6" s="111" t="s">
        <v>36</v>
      </c>
      <c r="BR6" s="111" t="s">
        <v>39</v>
      </c>
      <c r="BS6" s="111" t="s">
        <v>39</v>
      </c>
      <c r="BT6" s="111" t="s">
        <v>39</v>
      </c>
      <c r="BU6" s="111" t="s">
        <v>98</v>
      </c>
      <c r="BV6" s="111" t="s">
        <v>98</v>
      </c>
      <c r="BW6" s="114" t="s">
        <v>40</v>
      </c>
      <c r="BX6" s="114" t="s">
        <v>40</v>
      </c>
      <c r="BY6" s="79" t="s">
        <v>2</v>
      </c>
      <c r="BZ6" s="54" t="s">
        <v>2</v>
      </c>
      <c r="CA6" s="79" t="s">
        <v>108</v>
      </c>
      <c r="CB6" s="79" t="s">
        <v>108</v>
      </c>
    </row>
    <row r="7" spans="1:113" x14ac:dyDescent="0.25">
      <c r="C7" s="57"/>
      <c r="D7" s="360" t="s">
        <v>35</v>
      </c>
      <c r="E7" s="360" t="s">
        <v>35</v>
      </c>
      <c r="F7" s="75" t="s">
        <v>35</v>
      </c>
      <c r="G7" s="75" t="s">
        <v>35</v>
      </c>
      <c r="H7" s="75" t="s">
        <v>35</v>
      </c>
      <c r="I7" s="75" t="s">
        <v>35</v>
      </c>
      <c r="J7" s="75" t="s">
        <v>37</v>
      </c>
      <c r="K7" s="75" t="s">
        <v>37</v>
      </c>
      <c r="L7" s="373" t="s">
        <v>37</v>
      </c>
      <c r="M7" s="384" t="s">
        <v>3</v>
      </c>
      <c r="N7" s="75" t="s">
        <v>3</v>
      </c>
      <c r="O7" s="75" t="s">
        <v>3</v>
      </c>
      <c r="P7" s="75" t="s">
        <v>3</v>
      </c>
      <c r="Q7" s="75" t="s">
        <v>3</v>
      </c>
      <c r="R7" s="75" t="s">
        <v>3</v>
      </c>
      <c r="S7" s="75" t="s">
        <v>27</v>
      </c>
      <c r="T7" s="75" t="s">
        <v>27</v>
      </c>
      <c r="U7" s="360" t="s">
        <v>27</v>
      </c>
      <c r="V7" s="4"/>
      <c r="W7" s="104" t="s">
        <v>3</v>
      </c>
      <c r="X7" s="75" t="s">
        <v>3</v>
      </c>
      <c r="Y7" s="75" t="s">
        <v>3</v>
      </c>
      <c r="Z7" s="75" t="s">
        <v>3</v>
      </c>
      <c r="AA7" s="75" t="s">
        <v>3</v>
      </c>
      <c r="AB7" s="75" t="s">
        <v>3</v>
      </c>
      <c r="AC7" s="75" t="s">
        <v>27</v>
      </c>
      <c r="AD7" s="75" t="s">
        <v>27</v>
      </c>
      <c r="AE7" s="136" t="s">
        <v>27</v>
      </c>
      <c r="AF7" s="55"/>
      <c r="AG7" s="49"/>
      <c r="AH7" s="78" t="s">
        <v>35</v>
      </c>
      <c r="AI7" s="78" t="s">
        <v>35</v>
      </c>
      <c r="AJ7" s="78" t="s">
        <v>35</v>
      </c>
      <c r="AK7" s="78" t="s">
        <v>35</v>
      </c>
      <c r="AL7" s="78" t="s">
        <v>35</v>
      </c>
      <c r="AM7" s="78" t="s">
        <v>35</v>
      </c>
      <c r="AN7" s="78" t="s">
        <v>35</v>
      </c>
      <c r="AO7" s="78" t="s">
        <v>35</v>
      </c>
      <c r="AP7" s="78" t="s">
        <v>35</v>
      </c>
      <c r="AQ7" s="78" t="s">
        <v>35</v>
      </c>
      <c r="AR7" s="78" t="s">
        <v>35</v>
      </c>
      <c r="AS7" s="78" t="s">
        <v>35</v>
      </c>
      <c r="AT7" s="78" t="s">
        <v>35</v>
      </c>
      <c r="AU7" s="78" t="s">
        <v>35</v>
      </c>
      <c r="AV7" s="78" t="s">
        <v>35</v>
      </c>
      <c r="AW7" s="78" t="s">
        <v>35</v>
      </c>
      <c r="AX7" s="78" t="s">
        <v>35</v>
      </c>
      <c r="AY7" s="78" t="s">
        <v>35</v>
      </c>
      <c r="AZ7" s="78" t="s">
        <v>35</v>
      </c>
      <c r="BA7" s="78" t="s">
        <v>35</v>
      </c>
      <c r="BB7" s="78" t="s">
        <v>35</v>
      </c>
      <c r="BC7" s="78" t="s">
        <v>35</v>
      </c>
      <c r="BD7" s="78" t="s">
        <v>35</v>
      </c>
      <c r="BE7" s="78" t="s">
        <v>35</v>
      </c>
      <c r="BF7" s="78" t="s">
        <v>35</v>
      </c>
      <c r="BG7" s="78" t="s">
        <v>35</v>
      </c>
      <c r="BH7" s="78" t="s">
        <v>35</v>
      </c>
      <c r="BI7" s="78" t="s">
        <v>35</v>
      </c>
      <c r="BJ7" s="78" t="s">
        <v>35</v>
      </c>
      <c r="BK7" s="78" t="s">
        <v>35</v>
      </c>
      <c r="BL7" s="78" t="s">
        <v>35</v>
      </c>
      <c r="BM7" s="78" t="s">
        <v>35</v>
      </c>
      <c r="BN7" s="78" t="s">
        <v>35</v>
      </c>
      <c r="BO7" s="78" t="s">
        <v>35</v>
      </c>
      <c r="BP7" s="78" t="s">
        <v>35</v>
      </c>
      <c r="BQ7" s="78" t="s">
        <v>35</v>
      </c>
      <c r="BR7" s="78" t="s">
        <v>35</v>
      </c>
      <c r="BS7" s="78" t="s">
        <v>35</v>
      </c>
      <c r="BT7" s="78" t="s">
        <v>35</v>
      </c>
      <c r="BU7" s="78" t="s">
        <v>37</v>
      </c>
      <c r="BV7" s="78" t="s">
        <v>37</v>
      </c>
      <c r="BW7" s="78" t="s">
        <v>37</v>
      </c>
      <c r="BX7" s="78" t="s">
        <v>37</v>
      </c>
      <c r="BY7" s="49" t="s">
        <v>37</v>
      </c>
      <c r="BZ7" s="49" t="s">
        <v>37</v>
      </c>
      <c r="CA7" s="49" t="s">
        <v>37</v>
      </c>
      <c r="CB7" s="263" t="s">
        <v>37</v>
      </c>
    </row>
    <row r="8" spans="1:113" ht="15.75" thickBot="1" x14ac:dyDescent="0.3">
      <c r="C8" s="57"/>
      <c r="D8" s="360"/>
      <c r="E8" s="360"/>
      <c r="F8" s="75"/>
      <c r="G8" s="75"/>
      <c r="H8" s="75"/>
      <c r="I8" s="75"/>
      <c r="J8" s="75"/>
      <c r="K8" s="75"/>
      <c r="L8" s="373"/>
      <c r="M8" s="384"/>
      <c r="N8" s="75"/>
      <c r="O8" s="75"/>
      <c r="P8" s="75"/>
      <c r="Q8" s="75"/>
      <c r="R8" s="75"/>
      <c r="S8" s="75"/>
      <c r="T8" s="75"/>
      <c r="U8" s="360"/>
      <c r="V8" s="4"/>
      <c r="W8" s="104"/>
      <c r="X8" s="75"/>
      <c r="Y8" s="75"/>
      <c r="Z8" s="75"/>
      <c r="AA8" s="75"/>
      <c r="AB8" s="75"/>
      <c r="AC8" s="75"/>
      <c r="AD8" s="75"/>
      <c r="AE8" s="136"/>
      <c r="AF8" s="55"/>
      <c r="AG8" s="49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49"/>
      <c r="BZ8" s="49"/>
      <c r="CA8" s="49"/>
      <c r="CC8" s="1"/>
    </row>
    <row r="9" spans="1:113" s="2" customFormat="1" x14ac:dyDescent="0.25">
      <c r="A9" s="506" t="s">
        <v>55</v>
      </c>
      <c r="B9" s="125"/>
      <c r="C9" s="121">
        <v>11633.24</v>
      </c>
      <c r="D9" s="347">
        <f>SUM(AH9:AX9)</f>
        <v>9.5090000000000003</v>
      </c>
      <c r="E9" s="347">
        <f>SUM(AY9:BG9)</f>
        <v>1.423</v>
      </c>
      <c r="F9" s="58"/>
      <c r="G9" s="347">
        <f>SUM(BL9:BN9)</f>
        <v>0</v>
      </c>
      <c r="H9" s="347">
        <f>SUM(BO9:BQ9)</f>
        <v>0</v>
      </c>
      <c r="I9" s="347">
        <f>SUM(BR9:BT9)</f>
        <v>0</v>
      </c>
      <c r="J9" s="347">
        <f>SUM(BU9:BV9)</f>
        <v>0</v>
      </c>
      <c r="K9" s="347">
        <f>BW9+BX9</f>
        <v>0</v>
      </c>
      <c r="L9" s="350">
        <f>SUM(BY9:CB9)</f>
        <v>12.08</v>
      </c>
      <c r="M9" s="353"/>
      <c r="N9" s="58"/>
      <c r="O9" s="58"/>
      <c r="P9" s="58"/>
      <c r="Q9" s="58"/>
      <c r="R9" s="58"/>
      <c r="S9" s="58"/>
      <c r="T9" s="58"/>
      <c r="U9" s="347"/>
      <c r="V9" s="56"/>
      <c r="W9" s="105"/>
      <c r="X9" s="58"/>
      <c r="Y9" s="58"/>
      <c r="Z9" s="58"/>
      <c r="AA9" s="58"/>
      <c r="AB9" s="58"/>
      <c r="AC9" s="58"/>
      <c r="AD9" s="58"/>
      <c r="AE9" s="138"/>
      <c r="AF9" s="55"/>
      <c r="AG9" s="57">
        <f t="shared" ref="AG9:AG13" si="0">C9</f>
        <v>11633.24</v>
      </c>
      <c r="AH9" s="58">
        <v>9.5090000000000003</v>
      </c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>
        <v>1.423</v>
      </c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262">
        <v>12.08</v>
      </c>
      <c r="CC9" s="1">
        <f>C9</f>
        <v>11633.24</v>
      </c>
      <c r="CD9"/>
      <c r="CE9" s="50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 s="41"/>
    </row>
    <row r="10" spans="1:113" x14ac:dyDescent="0.25">
      <c r="A10" s="507"/>
      <c r="B10" s="125"/>
      <c r="C10" s="121">
        <v>11650</v>
      </c>
      <c r="D10" s="347">
        <f t="shared" ref="D10:D25" si="1">SUM(AH10:AX10)</f>
        <v>8.0239999999999991</v>
      </c>
      <c r="E10" s="347">
        <f t="shared" ref="E10:E13" si="2">SUM(AY10:BG10)</f>
        <v>1.982</v>
      </c>
      <c r="F10" s="58"/>
      <c r="G10" s="347">
        <f t="shared" ref="G10:G13" si="3">SUM(BL10:BN10)</f>
        <v>0</v>
      </c>
      <c r="H10" s="347">
        <f t="shared" ref="H10:H25" si="4">SUM(BO10:BQ10)</f>
        <v>0</v>
      </c>
      <c r="I10" s="347">
        <f t="shared" ref="I10:I25" si="5">SUM(BR10:BT10)</f>
        <v>0</v>
      </c>
      <c r="J10" s="347">
        <f t="shared" ref="J10:J25" si="6">SUM(BU10:BV10)</f>
        <v>0</v>
      </c>
      <c r="K10" s="347">
        <f t="shared" ref="K10:K25" si="7">BW10+BX10</f>
        <v>0</v>
      </c>
      <c r="L10" s="350">
        <f t="shared" ref="L10:L13" si="8">SUM(BY10:CB10)</f>
        <v>10.743</v>
      </c>
      <c r="M10" s="353">
        <f>ROUNDUP(((D9+D10)*0.5)*(C10-C9)/27,0)</f>
        <v>6</v>
      </c>
      <c r="N10" s="347">
        <f>ROUNDUP(((E9+E10)*0.5)*(C10-C9)/27,0)</f>
        <v>2</v>
      </c>
      <c r="O10" s="347"/>
      <c r="P10" s="347">
        <f>ROUNDUP(((G9+G10)*0.5)*(C10-C9)/27,0)</f>
        <v>0</v>
      </c>
      <c r="Q10" s="347">
        <f>ROUNDUP(((H10+H9)*0.5)*(C10-C9)/27,0)</f>
        <v>0</v>
      </c>
      <c r="R10" s="347">
        <f>ROUNDUP(((I10+I9)*0.5)*(C10-C9)/27,0)</f>
        <v>0</v>
      </c>
      <c r="S10" s="347">
        <f>ROUNDUP(((J10+J9)*0.5)*(C10-C9)/9,0)</f>
        <v>0</v>
      </c>
      <c r="T10" s="347">
        <f>ROUNDUP(((K10+K9)*0.5)*(C10-C9)/9,0)</f>
        <v>0</v>
      </c>
      <c r="U10" s="347">
        <f>ROUNDUP(((L10+L9)*0.5)*(C10-C9)/9,0)</f>
        <v>22</v>
      </c>
      <c r="V10" s="56"/>
      <c r="W10" s="105"/>
      <c r="X10" s="58"/>
      <c r="Y10" s="58"/>
      <c r="Z10" s="58"/>
      <c r="AA10" s="58"/>
      <c r="AB10" s="58"/>
      <c r="AC10" s="58"/>
      <c r="AD10" s="58"/>
      <c r="AE10" s="138"/>
      <c r="AF10" s="55"/>
      <c r="AG10" s="57">
        <f t="shared" si="0"/>
        <v>11650</v>
      </c>
      <c r="AH10" s="58">
        <v>8.0239999999999991</v>
      </c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>
        <v>1.982</v>
      </c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262">
        <v>10.743</v>
      </c>
      <c r="CC10" s="1">
        <f t="shared" ref="CC10:CC25" si="9">C10</f>
        <v>11650</v>
      </c>
    </row>
    <row r="11" spans="1:113" s="3" customFormat="1" ht="15.75" thickBot="1" x14ac:dyDescent="0.3">
      <c r="A11" s="507"/>
      <c r="B11" s="125"/>
      <c r="C11" s="121">
        <v>11700</v>
      </c>
      <c r="D11" s="347">
        <f t="shared" si="1"/>
        <v>5.8739999999999997</v>
      </c>
      <c r="E11" s="347">
        <f t="shared" si="2"/>
        <v>17.055</v>
      </c>
      <c r="F11" s="58"/>
      <c r="G11" s="347">
        <f t="shared" si="3"/>
        <v>0</v>
      </c>
      <c r="H11" s="347">
        <f t="shared" si="4"/>
        <v>0</v>
      </c>
      <c r="I11" s="347">
        <f t="shared" si="5"/>
        <v>0</v>
      </c>
      <c r="J11" s="347">
        <f t="shared" si="6"/>
        <v>0</v>
      </c>
      <c r="K11" s="347">
        <f t="shared" si="7"/>
        <v>0</v>
      </c>
      <c r="L11" s="350">
        <f t="shared" si="8"/>
        <v>14.429</v>
      </c>
      <c r="M11" s="353">
        <f t="shared" ref="M11:M13" si="10">ROUNDUP(((D10+D11)*0.5)*(C11-C10)/27,0)</f>
        <v>13</v>
      </c>
      <c r="N11" s="347">
        <f t="shared" ref="N11:N13" si="11">ROUNDUP(((E10+E11)*0.5)*(C11-C10)/27,0)</f>
        <v>18</v>
      </c>
      <c r="O11" s="347"/>
      <c r="P11" s="347">
        <f t="shared" ref="P11:P13" si="12">ROUNDUP(((G10+G11)*0.5)*(C11-C10)/27,0)</f>
        <v>0</v>
      </c>
      <c r="Q11" s="347">
        <f t="shared" ref="Q11:Q13" si="13">ROUNDUP(((H11+H10)*0.5)*(C11-C10)/27,0)</f>
        <v>0</v>
      </c>
      <c r="R11" s="347">
        <f t="shared" ref="R11:R13" si="14">ROUNDUP(((I11+I10)*0.5)*(C11-C10)/27,0)</f>
        <v>0</v>
      </c>
      <c r="S11" s="347">
        <f t="shared" ref="S11:S13" si="15">ROUNDUP(((J11+J10)*0.5)*(C11-C10)/9,0)</f>
        <v>0</v>
      </c>
      <c r="T11" s="347">
        <f t="shared" ref="T11:T13" si="16">ROUNDUP(((K11+K10)*0.5)*(C11-C10)/9,0)</f>
        <v>0</v>
      </c>
      <c r="U11" s="347">
        <f t="shared" ref="U11:U25" si="17">ROUNDUP(((L11+L10)*0.5)*(C11-C10)/9,0)</f>
        <v>70</v>
      </c>
      <c r="V11" s="56"/>
      <c r="W11" s="105"/>
      <c r="X11" s="58"/>
      <c r="Y11" s="58"/>
      <c r="Z11" s="58"/>
      <c r="AA11" s="58"/>
      <c r="AB11" s="58"/>
      <c r="AC11" s="58"/>
      <c r="AD11" s="58"/>
      <c r="AE11" s="138"/>
      <c r="AF11" s="55"/>
      <c r="AG11" s="57">
        <f t="shared" si="0"/>
        <v>11700</v>
      </c>
      <c r="AH11" s="58">
        <v>5.8739999999999997</v>
      </c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>
        <v>3.8290000000000002</v>
      </c>
      <c r="AZ11" s="58">
        <v>13.226000000000001</v>
      </c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262">
        <v>14.429</v>
      </c>
      <c r="CC11" s="1">
        <f t="shared" si="9"/>
        <v>11700</v>
      </c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</row>
    <row r="12" spans="1:113" s="168" customFormat="1" ht="15.75" thickBot="1" x14ac:dyDescent="0.3">
      <c r="A12" s="507"/>
      <c r="B12" s="211"/>
      <c r="C12" s="212">
        <v>11750</v>
      </c>
      <c r="D12" s="348">
        <f t="shared" si="1"/>
        <v>3.282</v>
      </c>
      <c r="E12" s="348">
        <f t="shared" si="2"/>
        <v>34.049999999999997</v>
      </c>
      <c r="F12" s="144"/>
      <c r="G12" s="348">
        <f t="shared" si="3"/>
        <v>0</v>
      </c>
      <c r="H12" s="348">
        <f t="shared" si="4"/>
        <v>0</v>
      </c>
      <c r="I12" s="348">
        <f t="shared" si="5"/>
        <v>0</v>
      </c>
      <c r="J12" s="348">
        <f t="shared" si="6"/>
        <v>0</v>
      </c>
      <c r="K12" s="348">
        <f t="shared" si="7"/>
        <v>0</v>
      </c>
      <c r="L12" s="351">
        <f t="shared" si="8"/>
        <v>20.745999999999999</v>
      </c>
      <c r="M12" s="354">
        <f t="shared" si="10"/>
        <v>9</v>
      </c>
      <c r="N12" s="348">
        <f t="shared" si="11"/>
        <v>48</v>
      </c>
      <c r="O12" s="348"/>
      <c r="P12" s="348">
        <f t="shared" si="12"/>
        <v>0</v>
      </c>
      <c r="Q12" s="348">
        <f t="shared" si="13"/>
        <v>0</v>
      </c>
      <c r="R12" s="348">
        <f t="shared" si="14"/>
        <v>0</v>
      </c>
      <c r="S12" s="348">
        <f t="shared" si="15"/>
        <v>0</v>
      </c>
      <c r="T12" s="348">
        <f t="shared" si="16"/>
        <v>0</v>
      </c>
      <c r="U12" s="348">
        <f t="shared" si="17"/>
        <v>98</v>
      </c>
      <c r="V12" s="154"/>
      <c r="W12" s="255">
        <f>M9+M10+M11+M12</f>
        <v>28</v>
      </c>
      <c r="X12" s="255">
        <f>N9+N10+N11+N12</f>
        <v>68</v>
      </c>
      <c r="Y12" s="255"/>
      <c r="Z12" s="255">
        <f t="shared" ref="Z12:AE12" si="18">P9+P10+P11+P12</f>
        <v>0</v>
      </c>
      <c r="AA12" s="255">
        <f t="shared" si="18"/>
        <v>0</v>
      </c>
      <c r="AB12" s="255">
        <f t="shared" si="18"/>
        <v>0</v>
      </c>
      <c r="AC12" s="255">
        <f t="shared" si="18"/>
        <v>0</v>
      </c>
      <c r="AD12" s="255">
        <f t="shared" si="18"/>
        <v>0</v>
      </c>
      <c r="AE12" s="255">
        <f t="shared" si="18"/>
        <v>190</v>
      </c>
      <c r="AF12" s="153"/>
      <c r="AG12" s="158">
        <f t="shared" si="0"/>
        <v>11750</v>
      </c>
      <c r="AH12" s="144">
        <v>3.282</v>
      </c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>
        <v>8.1349999999999998</v>
      </c>
      <c r="AZ12" s="144">
        <v>2.4889999999999999</v>
      </c>
      <c r="BA12" s="144">
        <v>23.425999999999998</v>
      </c>
      <c r="BB12" s="144"/>
      <c r="BC12" s="144"/>
      <c r="BD12" s="144"/>
      <c r="BE12" s="144"/>
      <c r="BF12" s="144"/>
      <c r="BG12" s="144"/>
      <c r="BH12" s="144"/>
      <c r="BI12" s="144"/>
      <c r="BJ12" s="144"/>
      <c r="BK12" s="144"/>
      <c r="BL12" s="144"/>
      <c r="BM12" s="144"/>
      <c r="BN12" s="144"/>
      <c r="BO12" s="144"/>
      <c r="BP12" s="144"/>
      <c r="BQ12" s="144"/>
      <c r="BR12" s="144"/>
      <c r="BS12" s="144"/>
      <c r="BT12" s="144"/>
      <c r="BU12" s="144"/>
      <c r="BV12" s="144"/>
      <c r="BW12" s="144"/>
      <c r="BX12" s="144"/>
      <c r="BY12" s="144"/>
      <c r="BZ12" s="144"/>
      <c r="CA12" s="144"/>
      <c r="CB12" s="264">
        <v>20.745999999999999</v>
      </c>
      <c r="CC12" s="1">
        <f t="shared" si="9"/>
        <v>11750</v>
      </c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167"/>
    </row>
    <row r="13" spans="1:113" s="2" customFormat="1" x14ac:dyDescent="0.25">
      <c r="A13" s="507"/>
      <c r="B13" s="125"/>
      <c r="C13" s="210">
        <v>11800</v>
      </c>
      <c r="D13" s="349">
        <f t="shared" si="1"/>
        <v>0.83099999999999996</v>
      </c>
      <c r="E13" s="349">
        <f t="shared" si="2"/>
        <v>58.504000000000005</v>
      </c>
      <c r="F13" s="147"/>
      <c r="G13" s="349">
        <f t="shared" si="3"/>
        <v>0</v>
      </c>
      <c r="H13" s="349">
        <f t="shared" si="4"/>
        <v>0</v>
      </c>
      <c r="I13" s="349">
        <f t="shared" si="5"/>
        <v>0</v>
      </c>
      <c r="J13" s="349">
        <f t="shared" si="6"/>
        <v>0</v>
      </c>
      <c r="K13" s="349">
        <f t="shared" si="7"/>
        <v>0</v>
      </c>
      <c r="L13" s="352">
        <f t="shared" si="8"/>
        <v>41.206000000000003</v>
      </c>
      <c r="M13" s="355">
        <f t="shared" si="10"/>
        <v>4</v>
      </c>
      <c r="N13" s="349">
        <f t="shared" si="11"/>
        <v>86</v>
      </c>
      <c r="O13" s="349"/>
      <c r="P13" s="349">
        <f t="shared" si="12"/>
        <v>0</v>
      </c>
      <c r="Q13" s="349">
        <f t="shared" si="13"/>
        <v>0</v>
      </c>
      <c r="R13" s="349">
        <f t="shared" si="14"/>
        <v>0</v>
      </c>
      <c r="S13" s="349">
        <f t="shared" si="15"/>
        <v>0</v>
      </c>
      <c r="T13" s="349">
        <f t="shared" si="16"/>
        <v>0</v>
      </c>
      <c r="U13" s="349">
        <f t="shared" si="17"/>
        <v>173</v>
      </c>
      <c r="V13" s="56"/>
      <c r="W13" s="151"/>
      <c r="X13" s="147"/>
      <c r="Y13" s="147"/>
      <c r="Z13" s="147"/>
      <c r="AA13" s="147"/>
      <c r="AB13" s="147"/>
      <c r="AC13" s="147"/>
      <c r="AD13" s="147"/>
      <c r="AE13" s="148"/>
      <c r="AF13" s="55"/>
      <c r="AG13" s="155">
        <f t="shared" si="0"/>
        <v>11800</v>
      </c>
      <c r="AH13" s="147">
        <v>0.83099999999999996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>
        <v>13.554</v>
      </c>
      <c r="AZ13" s="147">
        <v>6.8490000000000002</v>
      </c>
      <c r="BA13" s="147">
        <v>2.7210000000000001</v>
      </c>
      <c r="BB13" s="147">
        <v>35.380000000000003</v>
      </c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  <c r="BR13" s="147"/>
      <c r="BS13" s="147"/>
      <c r="BT13" s="147"/>
      <c r="BU13" s="147"/>
      <c r="BV13" s="147"/>
      <c r="BW13" s="147"/>
      <c r="BX13" s="147"/>
      <c r="BY13" s="147"/>
      <c r="BZ13" s="147"/>
      <c r="CA13" s="147"/>
      <c r="CB13" s="262">
        <v>41.206000000000003</v>
      </c>
      <c r="CC13" s="1">
        <f t="shared" si="9"/>
        <v>11800</v>
      </c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 s="41"/>
    </row>
    <row r="14" spans="1:113" x14ac:dyDescent="0.25">
      <c r="A14" s="507"/>
      <c r="B14" s="125"/>
      <c r="C14" s="121">
        <v>11850</v>
      </c>
      <c r="D14" s="347">
        <f t="shared" si="1"/>
        <v>9.968</v>
      </c>
      <c r="E14" s="347">
        <f t="shared" ref="E14:E25" si="19">SUM(AY14:BG14)</f>
        <v>113.66300000000001</v>
      </c>
      <c r="F14" s="58"/>
      <c r="G14" s="347">
        <f t="shared" ref="G14:G25" si="20">SUM(BL14:BN14)</f>
        <v>0</v>
      </c>
      <c r="H14" s="347">
        <f t="shared" si="4"/>
        <v>0</v>
      </c>
      <c r="I14" s="347">
        <f t="shared" si="5"/>
        <v>0</v>
      </c>
      <c r="J14" s="347">
        <f t="shared" si="6"/>
        <v>0</v>
      </c>
      <c r="K14" s="347">
        <f t="shared" si="7"/>
        <v>0</v>
      </c>
      <c r="L14" s="350">
        <f t="shared" ref="L14:L25" si="21">SUM(BY14:CB14)</f>
        <v>71.977000000000004</v>
      </c>
      <c r="M14" s="353">
        <f t="shared" ref="M14:M25" si="22">ROUNDUP(((D13+D14)*0.5)*(C14-C13)/27,0)</f>
        <v>10</v>
      </c>
      <c r="N14" s="347">
        <f t="shared" ref="N14:N25" si="23">ROUNDUP(((E13+E14)*0.5)*(C14-C13)/27,0)</f>
        <v>160</v>
      </c>
      <c r="O14" s="347"/>
      <c r="P14" s="347">
        <f t="shared" ref="P14:P25" si="24">ROUNDUP(((G13+G14)*0.5)*(C14-C13)/27,0)</f>
        <v>0</v>
      </c>
      <c r="Q14" s="347">
        <f t="shared" ref="Q14:Q25" si="25">ROUNDUP(((H14+H13)*0.5)*(C14-C13)/27,0)</f>
        <v>0</v>
      </c>
      <c r="R14" s="347">
        <f t="shared" ref="R14:R25" si="26">ROUNDUP(((I14+I13)*0.5)*(C14-C13)/27,0)</f>
        <v>0</v>
      </c>
      <c r="S14" s="347">
        <f t="shared" ref="S14:S25" si="27">ROUNDUP(((J14+J13)*0.5)*(C14-C13)/9,0)</f>
        <v>0</v>
      </c>
      <c r="T14" s="347">
        <f t="shared" ref="T14:T25" si="28">ROUNDUP(((K14+K13)*0.5)*(C14-C13)/9,0)</f>
        <v>0</v>
      </c>
      <c r="U14" s="347">
        <f t="shared" si="17"/>
        <v>315</v>
      </c>
      <c r="W14" s="105"/>
      <c r="X14" s="58"/>
      <c r="Y14" s="58"/>
      <c r="Z14" s="58"/>
      <c r="AA14" s="58"/>
      <c r="AB14" s="58"/>
      <c r="AC14" s="58"/>
      <c r="AD14" s="58"/>
      <c r="AE14" s="138"/>
      <c r="AG14" s="57">
        <f t="shared" ref="AG14:AG25" si="29">C14</f>
        <v>11850</v>
      </c>
      <c r="AH14" s="58">
        <v>9.968</v>
      </c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>
        <v>81.905000000000001</v>
      </c>
      <c r="AZ14" s="58">
        <v>18.068999999999999</v>
      </c>
      <c r="BA14" s="58">
        <v>13.689</v>
      </c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262">
        <v>71.977000000000004</v>
      </c>
      <c r="CC14" s="1">
        <f t="shared" si="9"/>
        <v>11850</v>
      </c>
    </row>
    <row r="15" spans="1:113" x14ac:dyDescent="0.25">
      <c r="A15" s="507"/>
      <c r="B15" s="125"/>
      <c r="C15" s="121">
        <v>11900</v>
      </c>
      <c r="D15" s="347">
        <f t="shared" si="1"/>
        <v>13.878000000000002</v>
      </c>
      <c r="E15" s="347">
        <f t="shared" si="19"/>
        <v>180.21099999999998</v>
      </c>
      <c r="F15" s="58"/>
      <c r="G15" s="347">
        <f t="shared" si="20"/>
        <v>0</v>
      </c>
      <c r="H15" s="347">
        <f t="shared" si="4"/>
        <v>0</v>
      </c>
      <c r="I15" s="347">
        <f t="shared" si="5"/>
        <v>0</v>
      </c>
      <c r="J15" s="347">
        <f t="shared" si="6"/>
        <v>0</v>
      </c>
      <c r="K15" s="347">
        <f t="shared" si="7"/>
        <v>0</v>
      </c>
      <c r="L15" s="350">
        <f t="shared" si="21"/>
        <v>99.05</v>
      </c>
      <c r="M15" s="353">
        <f t="shared" si="22"/>
        <v>23</v>
      </c>
      <c r="N15" s="347">
        <f t="shared" si="23"/>
        <v>273</v>
      </c>
      <c r="O15" s="347"/>
      <c r="P15" s="347">
        <f t="shared" si="24"/>
        <v>0</v>
      </c>
      <c r="Q15" s="347">
        <f t="shared" si="25"/>
        <v>0</v>
      </c>
      <c r="R15" s="347">
        <f t="shared" si="26"/>
        <v>0</v>
      </c>
      <c r="S15" s="347">
        <f t="shared" si="27"/>
        <v>0</v>
      </c>
      <c r="T15" s="347">
        <f t="shared" si="28"/>
        <v>0</v>
      </c>
      <c r="U15" s="347">
        <f t="shared" si="17"/>
        <v>476</v>
      </c>
      <c r="W15" s="105"/>
      <c r="X15" s="58"/>
      <c r="Y15" s="58"/>
      <c r="Z15" s="58"/>
      <c r="AA15" s="58"/>
      <c r="AB15" s="58"/>
      <c r="AC15" s="58"/>
      <c r="AD15" s="58"/>
      <c r="AE15" s="138"/>
      <c r="AG15" s="57">
        <f t="shared" si="29"/>
        <v>11900</v>
      </c>
      <c r="AH15" s="58">
        <v>12.239000000000001</v>
      </c>
      <c r="AI15" s="58">
        <v>0.22600000000000001</v>
      </c>
      <c r="AJ15" s="58">
        <v>1.413</v>
      </c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>
        <v>180.18799999999999</v>
      </c>
      <c r="AZ15" s="58">
        <v>2.3E-2</v>
      </c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262">
        <v>99.05</v>
      </c>
      <c r="CC15" s="1">
        <f t="shared" si="9"/>
        <v>11900</v>
      </c>
    </row>
    <row r="16" spans="1:113" s="3" customFormat="1" ht="15.75" thickBot="1" x14ac:dyDescent="0.3">
      <c r="A16" s="507"/>
      <c r="B16" s="211"/>
      <c r="C16" s="212">
        <v>11950</v>
      </c>
      <c r="D16" s="348">
        <f t="shared" si="1"/>
        <v>131.22800000000001</v>
      </c>
      <c r="E16" s="348">
        <f t="shared" si="19"/>
        <v>78.992999999999995</v>
      </c>
      <c r="F16" s="144"/>
      <c r="G16" s="348">
        <f t="shared" si="20"/>
        <v>0</v>
      </c>
      <c r="H16" s="348">
        <f t="shared" si="4"/>
        <v>0</v>
      </c>
      <c r="I16" s="348">
        <f t="shared" si="5"/>
        <v>0</v>
      </c>
      <c r="J16" s="348">
        <f t="shared" si="6"/>
        <v>0</v>
      </c>
      <c r="K16" s="348">
        <f t="shared" si="7"/>
        <v>0</v>
      </c>
      <c r="L16" s="351">
        <f t="shared" si="21"/>
        <v>118.489</v>
      </c>
      <c r="M16" s="354">
        <f t="shared" si="22"/>
        <v>135</v>
      </c>
      <c r="N16" s="348">
        <f t="shared" si="23"/>
        <v>241</v>
      </c>
      <c r="O16" s="348"/>
      <c r="P16" s="348">
        <f t="shared" si="24"/>
        <v>0</v>
      </c>
      <c r="Q16" s="348">
        <f t="shared" si="25"/>
        <v>0</v>
      </c>
      <c r="R16" s="348">
        <f t="shared" si="26"/>
        <v>0</v>
      </c>
      <c r="S16" s="348">
        <f t="shared" si="27"/>
        <v>0</v>
      </c>
      <c r="T16" s="348">
        <f t="shared" si="28"/>
        <v>0</v>
      </c>
      <c r="U16" s="348">
        <f t="shared" si="17"/>
        <v>605</v>
      </c>
      <c r="W16" s="255">
        <f>M13+M14+M15+M16</f>
        <v>172</v>
      </c>
      <c r="X16" s="255">
        <f>N13+N14+N15+N16</f>
        <v>760</v>
      </c>
      <c r="Y16" s="255"/>
      <c r="Z16" s="255">
        <f t="shared" ref="Z16" si="30">P13+P14+P15+P16</f>
        <v>0</v>
      </c>
      <c r="AA16" s="255">
        <f t="shared" ref="AA16" si="31">Q13+Q14+Q15+Q16</f>
        <v>0</v>
      </c>
      <c r="AB16" s="255">
        <f t="shared" ref="AB16" si="32">R13+R14+R15+R16</f>
        <v>0</v>
      </c>
      <c r="AC16" s="255">
        <f t="shared" ref="AC16" si="33">S13+S14+S15+S16</f>
        <v>0</v>
      </c>
      <c r="AD16" s="255">
        <f t="shared" ref="AD16" si="34">T13+T14+T15+T16</f>
        <v>0</v>
      </c>
      <c r="AE16" s="255">
        <f t="shared" ref="AE16" si="35">U13+U14+U15+U16</f>
        <v>1569</v>
      </c>
      <c r="AG16" s="158">
        <f t="shared" si="29"/>
        <v>11950</v>
      </c>
      <c r="AH16" s="144">
        <v>122.654</v>
      </c>
      <c r="AI16" s="144">
        <v>8.5739999999999998</v>
      </c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>
        <v>78.992999999999995</v>
      </c>
      <c r="AZ16" s="144"/>
      <c r="BA16" s="144"/>
      <c r="BB16" s="144"/>
      <c r="BC16" s="144"/>
      <c r="BD16" s="144"/>
      <c r="BE16" s="144"/>
      <c r="BF16" s="144"/>
      <c r="BG16" s="144"/>
      <c r="BH16" s="144"/>
      <c r="BI16" s="144"/>
      <c r="BJ16" s="144"/>
      <c r="BK16" s="144"/>
      <c r="BL16" s="144"/>
      <c r="BM16" s="144"/>
      <c r="BN16" s="144"/>
      <c r="BO16" s="144"/>
      <c r="BP16" s="144"/>
      <c r="BQ16" s="144"/>
      <c r="BR16" s="144"/>
      <c r="BS16" s="144"/>
      <c r="BT16" s="144"/>
      <c r="BU16" s="144"/>
      <c r="BV16" s="144"/>
      <c r="BW16" s="144"/>
      <c r="BX16" s="144"/>
      <c r="BY16" s="144"/>
      <c r="BZ16" s="144"/>
      <c r="CA16" s="144"/>
      <c r="CB16" s="264">
        <v>118.489</v>
      </c>
      <c r="CC16" s="1">
        <f t="shared" si="9"/>
        <v>11950</v>
      </c>
    </row>
    <row r="17" spans="1:113" x14ac:dyDescent="0.25">
      <c r="A17" s="507"/>
      <c r="B17" s="125"/>
      <c r="C17" s="210">
        <v>12000</v>
      </c>
      <c r="D17" s="349">
        <f t="shared" si="1"/>
        <v>14.103999999999999</v>
      </c>
      <c r="E17" s="349">
        <f t="shared" si="19"/>
        <v>376.07799999999997</v>
      </c>
      <c r="F17" s="147"/>
      <c r="G17" s="349">
        <f t="shared" si="20"/>
        <v>0</v>
      </c>
      <c r="H17" s="349">
        <f t="shared" si="4"/>
        <v>0</v>
      </c>
      <c r="I17" s="349">
        <f t="shared" si="5"/>
        <v>0</v>
      </c>
      <c r="J17" s="349">
        <f t="shared" si="6"/>
        <v>0</v>
      </c>
      <c r="K17" s="349">
        <f t="shared" si="7"/>
        <v>0</v>
      </c>
      <c r="L17" s="352">
        <f t="shared" si="21"/>
        <v>126.773</v>
      </c>
      <c r="M17" s="355">
        <f t="shared" si="22"/>
        <v>135</v>
      </c>
      <c r="N17" s="349">
        <f t="shared" si="23"/>
        <v>422</v>
      </c>
      <c r="O17" s="349"/>
      <c r="P17" s="349">
        <f t="shared" si="24"/>
        <v>0</v>
      </c>
      <c r="Q17" s="349">
        <f t="shared" si="25"/>
        <v>0</v>
      </c>
      <c r="R17" s="349">
        <f t="shared" si="26"/>
        <v>0</v>
      </c>
      <c r="S17" s="349">
        <f t="shared" si="27"/>
        <v>0</v>
      </c>
      <c r="T17" s="349">
        <f t="shared" si="28"/>
        <v>0</v>
      </c>
      <c r="U17" s="349">
        <f t="shared" si="17"/>
        <v>682</v>
      </c>
      <c r="W17" s="151"/>
      <c r="X17" s="147"/>
      <c r="Y17" s="147"/>
      <c r="Z17" s="147"/>
      <c r="AA17" s="147"/>
      <c r="AB17" s="147"/>
      <c r="AC17" s="147"/>
      <c r="AD17" s="147"/>
      <c r="AE17" s="148"/>
      <c r="AG17" s="155">
        <f t="shared" si="29"/>
        <v>12000</v>
      </c>
      <c r="AH17" s="147">
        <v>13.51</v>
      </c>
      <c r="AI17" s="147">
        <v>0.59399999999999997</v>
      </c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>
        <v>376.07799999999997</v>
      </c>
      <c r="AZ17" s="147"/>
      <c r="BA17" s="147"/>
      <c r="BB17" s="147"/>
      <c r="BC17" s="147"/>
      <c r="BD17" s="147"/>
      <c r="BE17" s="147"/>
      <c r="BF17" s="147"/>
      <c r="BG17" s="147"/>
      <c r="BH17" s="147"/>
      <c r="BI17" s="147"/>
      <c r="BJ17" s="147"/>
      <c r="BK17" s="147"/>
      <c r="BL17" s="147"/>
      <c r="BM17" s="147"/>
      <c r="BN17" s="147"/>
      <c r="BO17" s="147"/>
      <c r="BP17" s="147"/>
      <c r="BQ17" s="147"/>
      <c r="BR17" s="147"/>
      <c r="BS17" s="147"/>
      <c r="BT17" s="147"/>
      <c r="BU17" s="147"/>
      <c r="BV17" s="147"/>
      <c r="BW17" s="147"/>
      <c r="BX17" s="147"/>
      <c r="BY17" s="147"/>
      <c r="BZ17" s="147"/>
      <c r="CA17" s="147"/>
      <c r="CB17" s="262">
        <v>126.773</v>
      </c>
      <c r="CC17" s="1">
        <f t="shared" si="9"/>
        <v>12000</v>
      </c>
    </row>
    <row r="18" spans="1:113" x14ac:dyDescent="0.25">
      <c r="A18" s="507"/>
      <c r="B18" s="125"/>
      <c r="C18" s="121">
        <v>12050</v>
      </c>
      <c r="D18" s="347">
        <f t="shared" si="1"/>
        <v>53.003999999999998</v>
      </c>
      <c r="E18" s="347">
        <f t="shared" si="19"/>
        <v>257.11099999999999</v>
      </c>
      <c r="F18" s="58"/>
      <c r="G18" s="347">
        <f t="shared" si="20"/>
        <v>0</v>
      </c>
      <c r="H18" s="347">
        <f t="shared" si="4"/>
        <v>0</v>
      </c>
      <c r="I18" s="347">
        <f t="shared" si="5"/>
        <v>0</v>
      </c>
      <c r="J18" s="347">
        <f t="shared" si="6"/>
        <v>0</v>
      </c>
      <c r="K18" s="347">
        <f t="shared" si="7"/>
        <v>0</v>
      </c>
      <c r="L18" s="350">
        <f t="shared" si="21"/>
        <v>126.36199999999999</v>
      </c>
      <c r="M18" s="353">
        <f t="shared" si="22"/>
        <v>63</v>
      </c>
      <c r="N18" s="347">
        <f t="shared" si="23"/>
        <v>587</v>
      </c>
      <c r="O18" s="347"/>
      <c r="P18" s="347">
        <f t="shared" si="24"/>
        <v>0</v>
      </c>
      <c r="Q18" s="347">
        <f t="shared" si="25"/>
        <v>0</v>
      </c>
      <c r="R18" s="347">
        <f t="shared" si="26"/>
        <v>0</v>
      </c>
      <c r="S18" s="347">
        <f t="shared" si="27"/>
        <v>0</v>
      </c>
      <c r="T18" s="347">
        <f t="shared" si="28"/>
        <v>0</v>
      </c>
      <c r="U18" s="347">
        <f t="shared" si="17"/>
        <v>704</v>
      </c>
      <c r="W18" s="105"/>
      <c r="X18" s="58"/>
      <c r="Y18" s="58"/>
      <c r="Z18" s="58"/>
      <c r="AA18" s="58"/>
      <c r="AB18" s="58"/>
      <c r="AC18" s="58"/>
      <c r="AD18" s="58"/>
      <c r="AE18" s="138"/>
      <c r="AG18" s="57">
        <f t="shared" si="29"/>
        <v>12050</v>
      </c>
      <c r="AH18" s="58">
        <v>41.51</v>
      </c>
      <c r="AI18" s="58">
        <v>11.494</v>
      </c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>
        <v>257.11099999999999</v>
      </c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262">
        <v>126.36199999999999</v>
      </c>
      <c r="CC18" s="1">
        <f t="shared" si="9"/>
        <v>12050</v>
      </c>
    </row>
    <row r="19" spans="1:113" s="3" customFormat="1" ht="15.75" thickBot="1" x14ac:dyDescent="0.3">
      <c r="A19" s="507"/>
      <c r="B19" s="211"/>
      <c r="C19" s="212">
        <v>12100</v>
      </c>
      <c r="D19" s="348">
        <f t="shared" si="1"/>
        <v>59.16</v>
      </c>
      <c r="E19" s="348">
        <f t="shared" si="19"/>
        <v>217.03399999999999</v>
      </c>
      <c r="F19" s="144"/>
      <c r="G19" s="348">
        <f t="shared" si="20"/>
        <v>0</v>
      </c>
      <c r="H19" s="348">
        <f t="shared" si="4"/>
        <v>0</v>
      </c>
      <c r="I19" s="348">
        <f t="shared" si="5"/>
        <v>0</v>
      </c>
      <c r="J19" s="348">
        <f t="shared" si="6"/>
        <v>0</v>
      </c>
      <c r="K19" s="348">
        <f t="shared" si="7"/>
        <v>0</v>
      </c>
      <c r="L19" s="351">
        <f t="shared" si="21"/>
        <v>120.04</v>
      </c>
      <c r="M19" s="354">
        <f t="shared" si="22"/>
        <v>104</v>
      </c>
      <c r="N19" s="348">
        <f t="shared" si="23"/>
        <v>440</v>
      </c>
      <c r="O19" s="348"/>
      <c r="P19" s="348">
        <f t="shared" si="24"/>
        <v>0</v>
      </c>
      <c r="Q19" s="348">
        <f t="shared" si="25"/>
        <v>0</v>
      </c>
      <c r="R19" s="348">
        <f t="shared" si="26"/>
        <v>0</v>
      </c>
      <c r="S19" s="348">
        <f t="shared" si="27"/>
        <v>0</v>
      </c>
      <c r="T19" s="348">
        <f t="shared" si="28"/>
        <v>0</v>
      </c>
      <c r="U19" s="348">
        <f t="shared" si="17"/>
        <v>685</v>
      </c>
      <c r="W19" s="255">
        <f>M17+M18+M19</f>
        <v>302</v>
      </c>
      <c r="X19" s="255">
        <f>N17+N18+N19</f>
        <v>1449</v>
      </c>
      <c r="Y19" s="255"/>
      <c r="Z19" s="255">
        <f t="shared" ref="Z19:AE19" si="36">P17+P18+P19</f>
        <v>0</v>
      </c>
      <c r="AA19" s="255">
        <f t="shared" si="36"/>
        <v>0</v>
      </c>
      <c r="AB19" s="255">
        <f t="shared" si="36"/>
        <v>0</v>
      </c>
      <c r="AC19" s="255">
        <f t="shared" si="36"/>
        <v>0</v>
      </c>
      <c r="AD19" s="255">
        <f t="shared" si="36"/>
        <v>0</v>
      </c>
      <c r="AE19" s="255">
        <f t="shared" si="36"/>
        <v>2071</v>
      </c>
      <c r="AG19" s="158">
        <f t="shared" si="29"/>
        <v>12100</v>
      </c>
      <c r="AH19" s="144">
        <v>51.314999999999998</v>
      </c>
      <c r="AI19" s="144">
        <v>7.8449999999999998</v>
      </c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>
        <v>217.03399999999999</v>
      </c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4"/>
      <c r="BL19" s="144"/>
      <c r="BM19" s="144"/>
      <c r="BN19" s="144"/>
      <c r="BO19" s="144"/>
      <c r="BP19" s="144"/>
      <c r="BQ19" s="144"/>
      <c r="BR19" s="144"/>
      <c r="BS19" s="144"/>
      <c r="BT19" s="144"/>
      <c r="BU19" s="144"/>
      <c r="BV19" s="144"/>
      <c r="BW19" s="144"/>
      <c r="BX19" s="144"/>
      <c r="BY19" s="144"/>
      <c r="BZ19" s="144"/>
      <c r="CA19" s="144"/>
      <c r="CB19" s="264">
        <v>120.04</v>
      </c>
      <c r="CC19" s="1">
        <f t="shared" si="9"/>
        <v>12100</v>
      </c>
    </row>
    <row r="20" spans="1:113" x14ac:dyDescent="0.25">
      <c r="A20" s="507"/>
      <c r="B20" s="125"/>
      <c r="C20" s="210">
        <v>12150</v>
      </c>
      <c r="D20" s="349">
        <f t="shared" si="1"/>
        <v>57.713000000000001</v>
      </c>
      <c r="E20" s="349">
        <f t="shared" si="19"/>
        <v>197.74100000000001</v>
      </c>
      <c r="F20" s="147"/>
      <c r="G20" s="349">
        <f t="shared" si="20"/>
        <v>0</v>
      </c>
      <c r="H20" s="349">
        <f t="shared" si="4"/>
        <v>0</v>
      </c>
      <c r="I20" s="349">
        <f t="shared" si="5"/>
        <v>0</v>
      </c>
      <c r="J20" s="349">
        <f t="shared" si="6"/>
        <v>0</v>
      </c>
      <c r="K20" s="349">
        <f t="shared" si="7"/>
        <v>0</v>
      </c>
      <c r="L20" s="352">
        <f t="shared" si="21"/>
        <v>106.068</v>
      </c>
      <c r="M20" s="355">
        <f t="shared" si="22"/>
        <v>109</v>
      </c>
      <c r="N20" s="349">
        <f t="shared" si="23"/>
        <v>385</v>
      </c>
      <c r="O20" s="349"/>
      <c r="P20" s="349">
        <f t="shared" si="24"/>
        <v>0</v>
      </c>
      <c r="Q20" s="349">
        <f t="shared" si="25"/>
        <v>0</v>
      </c>
      <c r="R20" s="349">
        <f t="shared" si="26"/>
        <v>0</v>
      </c>
      <c r="S20" s="349">
        <f t="shared" si="27"/>
        <v>0</v>
      </c>
      <c r="T20" s="349">
        <f t="shared" si="28"/>
        <v>0</v>
      </c>
      <c r="U20" s="349">
        <f t="shared" si="17"/>
        <v>629</v>
      </c>
      <c r="W20" s="151"/>
      <c r="X20" s="147"/>
      <c r="Y20" s="147"/>
      <c r="Z20" s="147"/>
      <c r="AA20" s="147"/>
      <c r="AB20" s="147"/>
      <c r="AC20" s="147"/>
      <c r="AD20" s="147"/>
      <c r="AE20" s="148"/>
      <c r="AG20" s="155">
        <f t="shared" si="29"/>
        <v>12150</v>
      </c>
      <c r="AH20" s="147">
        <v>57.713000000000001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>
        <v>197.74100000000001</v>
      </c>
      <c r="AZ20" s="147"/>
      <c r="BA20" s="147"/>
      <c r="BB20" s="147"/>
      <c r="BC20" s="147"/>
      <c r="BD20" s="147"/>
      <c r="BE20" s="147"/>
      <c r="BF20" s="147"/>
      <c r="BG20" s="147"/>
      <c r="BH20" s="147"/>
      <c r="BI20" s="147"/>
      <c r="BJ20" s="147"/>
      <c r="BK20" s="147"/>
      <c r="BL20" s="147"/>
      <c r="BM20" s="147"/>
      <c r="BN20" s="147"/>
      <c r="BO20" s="147"/>
      <c r="BP20" s="147"/>
      <c r="BQ20" s="147"/>
      <c r="BR20" s="147"/>
      <c r="BS20" s="147"/>
      <c r="BT20" s="147"/>
      <c r="BU20" s="147"/>
      <c r="BV20" s="147"/>
      <c r="BW20" s="147"/>
      <c r="BX20" s="147"/>
      <c r="BY20" s="147"/>
      <c r="BZ20" s="147"/>
      <c r="CA20" s="147"/>
      <c r="CB20" s="262">
        <v>106.068</v>
      </c>
      <c r="CC20" s="1">
        <f t="shared" si="9"/>
        <v>12150</v>
      </c>
    </row>
    <row r="21" spans="1:113" x14ac:dyDescent="0.25">
      <c r="A21" s="507"/>
      <c r="B21" s="125"/>
      <c r="C21" s="121">
        <v>12200</v>
      </c>
      <c r="D21" s="347">
        <f t="shared" si="1"/>
        <v>44.375</v>
      </c>
      <c r="E21" s="347">
        <f t="shared" si="19"/>
        <v>165.69399999999999</v>
      </c>
      <c r="F21" s="58"/>
      <c r="G21" s="347">
        <f t="shared" si="20"/>
        <v>0</v>
      </c>
      <c r="H21" s="347">
        <f t="shared" si="4"/>
        <v>0</v>
      </c>
      <c r="I21" s="347">
        <f t="shared" si="5"/>
        <v>0</v>
      </c>
      <c r="J21" s="347">
        <f t="shared" si="6"/>
        <v>0</v>
      </c>
      <c r="K21" s="347">
        <f t="shared" si="7"/>
        <v>0</v>
      </c>
      <c r="L21" s="350">
        <f t="shared" si="21"/>
        <v>90.438000000000002</v>
      </c>
      <c r="M21" s="353">
        <f t="shared" si="22"/>
        <v>95</v>
      </c>
      <c r="N21" s="347">
        <f t="shared" si="23"/>
        <v>337</v>
      </c>
      <c r="O21" s="347"/>
      <c r="P21" s="347">
        <f t="shared" si="24"/>
        <v>0</v>
      </c>
      <c r="Q21" s="347">
        <f t="shared" si="25"/>
        <v>0</v>
      </c>
      <c r="R21" s="347">
        <f t="shared" si="26"/>
        <v>0</v>
      </c>
      <c r="S21" s="347">
        <f t="shared" si="27"/>
        <v>0</v>
      </c>
      <c r="T21" s="347">
        <f t="shared" si="28"/>
        <v>0</v>
      </c>
      <c r="U21" s="347">
        <f t="shared" si="17"/>
        <v>546</v>
      </c>
      <c r="W21" s="105"/>
      <c r="X21" s="58"/>
      <c r="Y21" s="58"/>
      <c r="Z21" s="58"/>
      <c r="AA21" s="58"/>
      <c r="AB21" s="58"/>
      <c r="AC21" s="58"/>
      <c r="AD21" s="58"/>
      <c r="AE21" s="138"/>
      <c r="AG21" s="57">
        <f t="shared" si="29"/>
        <v>12200</v>
      </c>
      <c r="AH21" s="58">
        <v>44.375</v>
      </c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>
        <v>165.69399999999999</v>
      </c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262">
        <v>90.438000000000002</v>
      </c>
      <c r="CC21" s="1">
        <f t="shared" si="9"/>
        <v>12200</v>
      </c>
    </row>
    <row r="22" spans="1:113" s="3" customFormat="1" ht="15.75" thickBot="1" x14ac:dyDescent="0.3">
      <c r="A22" s="507"/>
      <c r="B22" s="211"/>
      <c r="C22" s="212">
        <v>12250</v>
      </c>
      <c r="D22" s="348">
        <f t="shared" si="1"/>
        <v>19.790999999999997</v>
      </c>
      <c r="E22" s="348">
        <f t="shared" si="19"/>
        <v>122.715</v>
      </c>
      <c r="F22" s="144"/>
      <c r="G22" s="348">
        <f t="shared" si="20"/>
        <v>0</v>
      </c>
      <c r="H22" s="348">
        <f t="shared" si="4"/>
        <v>0</v>
      </c>
      <c r="I22" s="348">
        <f t="shared" si="5"/>
        <v>0</v>
      </c>
      <c r="J22" s="348">
        <f t="shared" si="6"/>
        <v>0</v>
      </c>
      <c r="K22" s="348">
        <f t="shared" si="7"/>
        <v>0</v>
      </c>
      <c r="L22" s="351">
        <f t="shared" si="21"/>
        <v>70.626999999999995</v>
      </c>
      <c r="M22" s="354">
        <f t="shared" si="22"/>
        <v>60</v>
      </c>
      <c r="N22" s="348">
        <f t="shared" si="23"/>
        <v>268</v>
      </c>
      <c r="O22" s="348"/>
      <c r="P22" s="348">
        <f t="shared" si="24"/>
        <v>0</v>
      </c>
      <c r="Q22" s="348">
        <f t="shared" si="25"/>
        <v>0</v>
      </c>
      <c r="R22" s="348">
        <f t="shared" si="26"/>
        <v>0</v>
      </c>
      <c r="S22" s="348">
        <f t="shared" si="27"/>
        <v>0</v>
      </c>
      <c r="T22" s="348">
        <f t="shared" si="28"/>
        <v>0</v>
      </c>
      <c r="U22" s="348">
        <f t="shared" si="17"/>
        <v>448</v>
      </c>
      <c r="W22" s="255">
        <f>M20+M21+M22</f>
        <v>264</v>
      </c>
      <c r="X22" s="255">
        <f t="shared" ref="X22" si="37">N20+N21+N22</f>
        <v>990</v>
      </c>
      <c r="Y22" s="255"/>
      <c r="Z22" s="255">
        <f t="shared" ref="Z22" si="38">P20+P21+P22</f>
        <v>0</v>
      </c>
      <c r="AA22" s="255">
        <f t="shared" ref="AA22" si="39">Q20+Q21+Q22</f>
        <v>0</v>
      </c>
      <c r="AB22" s="255">
        <f t="shared" ref="AB22" si="40">R20+R21+R22</f>
        <v>0</v>
      </c>
      <c r="AC22" s="255">
        <f t="shared" ref="AC22" si="41">S20+S21+S22</f>
        <v>0</v>
      </c>
      <c r="AD22" s="255">
        <f t="shared" ref="AD22" si="42">T20+T21+T22</f>
        <v>0</v>
      </c>
      <c r="AE22" s="255">
        <f t="shared" ref="AE22" si="43">U20+U21+U22</f>
        <v>1623</v>
      </c>
      <c r="AG22" s="158">
        <f t="shared" si="29"/>
        <v>12250</v>
      </c>
      <c r="AH22" s="144">
        <v>18.556999999999999</v>
      </c>
      <c r="AI22" s="144">
        <v>1.234</v>
      </c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>
        <v>121.351</v>
      </c>
      <c r="AZ22" s="144">
        <v>1.3640000000000001</v>
      </c>
      <c r="BA22" s="144"/>
      <c r="BB22" s="144"/>
      <c r="BC22" s="144"/>
      <c r="BD22" s="144"/>
      <c r="BE22" s="144"/>
      <c r="BF22" s="144"/>
      <c r="BG22" s="144"/>
      <c r="BH22" s="144"/>
      <c r="BI22" s="144"/>
      <c r="BJ22" s="144"/>
      <c r="BK22" s="144"/>
      <c r="BL22" s="144"/>
      <c r="BM22" s="144"/>
      <c r="BN22" s="144"/>
      <c r="BO22" s="144"/>
      <c r="BP22" s="144"/>
      <c r="BQ22" s="144"/>
      <c r="BR22" s="144"/>
      <c r="BS22" s="144"/>
      <c r="BT22" s="144"/>
      <c r="BU22" s="144"/>
      <c r="BV22" s="144"/>
      <c r="BW22" s="144"/>
      <c r="BX22" s="144"/>
      <c r="BY22" s="144"/>
      <c r="BZ22" s="144"/>
      <c r="CA22" s="144"/>
      <c r="CB22" s="264">
        <v>70.626999999999995</v>
      </c>
      <c r="CC22" s="1">
        <f t="shared" si="9"/>
        <v>12250</v>
      </c>
    </row>
    <row r="23" spans="1:113" x14ac:dyDescent="0.25">
      <c r="A23" s="507"/>
      <c r="B23" s="125"/>
      <c r="C23" s="210">
        <v>12300</v>
      </c>
      <c r="D23" s="349">
        <f t="shared" si="1"/>
        <v>36.335000000000001</v>
      </c>
      <c r="E23" s="349">
        <f t="shared" si="19"/>
        <v>81.28</v>
      </c>
      <c r="F23" s="147"/>
      <c r="G23" s="349">
        <f t="shared" si="20"/>
        <v>0</v>
      </c>
      <c r="H23" s="349">
        <f t="shared" si="4"/>
        <v>0</v>
      </c>
      <c r="I23" s="349">
        <f t="shared" si="5"/>
        <v>0</v>
      </c>
      <c r="J23" s="349">
        <f t="shared" si="6"/>
        <v>0</v>
      </c>
      <c r="K23" s="349">
        <f t="shared" si="7"/>
        <v>0</v>
      </c>
      <c r="L23" s="352">
        <f t="shared" si="21"/>
        <v>50.127000000000002</v>
      </c>
      <c r="M23" s="355">
        <f t="shared" si="22"/>
        <v>52</v>
      </c>
      <c r="N23" s="349">
        <f t="shared" si="23"/>
        <v>189</v>
      </c>
      <c r="O23" s="349"/>
      <c r="P23" s="349">
        <f t="shared" si="24"/>
        <v>0</v>
      </c>
      <c r="Q23" s="349">
        <f t="shared" si="25"/>
        <v>0</v>
      </c>
      <c r="R23" s="349">
        <f t="shared" si="26"/>
        <v>0</v>
      </c>
      <c r="S23" s="349">
        <f t="shared" si="27"/>
        <v>0</v>
      </c>
      <c r="T23" s="349">
        <f t="shared" si="28"/>
        <v>0</v>
      </c>
      <c r="U23" s="349">
        <f t="shared" si="17"/>
        <v>336</v>
      </c>
      <c r="W23" s="151"/>
      <c r="X23" s="147"/>
      <c r="Y23" s="147"/>
      <c r="Z23" s="147"/>
      <c r="AA23" s="147"/>
      <c r="AB23" s="147"/>
      <c r="AC23" s="147"/>
      <c r="AD23" s="147"/>
      <c r="AE23" s="148"/>
      <c r="AG23" s="155">
        <f t="shared" si="29"/>
        <v>12300</v>
      </c>
      <c r="AH23" s="147">
        <v>36.335000000000001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>
        <v>81.28</v>
      </c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  <c r="BP23" s="147"/>
      <c r="BQ23" s="147"/>
      <c r="BR23" s="147"/>
      <c r="BS23" s="147"/>
      <c r="BT23" s="147"/>
      <c r="BU23" s="147"/>
      <c r="BV23" s="147"/>
      <c r="BW23" s="147"/>
      <c r="BX23" s="147"/>
      <c r="BY23" s="147"/>
      <c r="BZ23" s="147"/>
      <c r="CA23" s="147"/>
      <c r="CB23" s="262">
        <v>50.127000000000002</v>
      </c>
      <c r="CC23" s="1">
        <f t="shared" si="9"/>
        <v>12300</v>
      </c>
    </row>
    <row r="24" spans="1:113" x14ac:dyDescent="0.25">
      <c r="A24" s="507"/>
      <c r="B24" s="125"/>
      <c r="C24" s="121">
        <v>12350</v>
      </c>
      <c r="D24" s="347">
        <f t="shared" si="1"/>
        <v>536.74099999999999</v>
      </c>
      <c r="E24" s="347">
        <f t="shared" si="19"/>
        <v>728.74300000000005</v>
      </c>
      <c r="F24" s="58"/>
      <c r="G24" s="347">
        <f t="shared" si="20"/>
        <v>0</v>
      </c>
      <c r="H24" s="347">
        <f t="shared" si="4"/>
        <v>0</v>
      </c>
      <c r="I24" s="347">
        <f t="shared" si="5"/>
        <v>0</v>
      </c>
      <c r="J24" s="347">
        <f t="shared" si="6"/>
        <v>0</v>
      </c>
      <c r="K24" s="347">
        <f t="shared" si="7"/>
        <v>0</v>
      </c>
      <c r="L24" s="350">
        <f t="shared" si="21"/>
        <v>77.694999999999993</v>
      </c>
      <c r="M24" s="353">
        <f t="shared" si="22"/>
        <v>531</v>
      </c>
      <c r="N24" s="347">
        <f t="shared" si="23"/>
        <v>751</v>
      </c>
      <c r="O24" s="347"/>
      <c r="P24" s="347">
        <f t="shared" si="24"/>
        <v>0</v>
      </c>
      <c r="Q24" s="347">
        <f t="shared" si="25"/>
        <v>0</v>
      </c>
      <c r="R24" s="347">
        <f t="shared" si="26"/>
        <v>0</v>
      </c>
      <c r="S24" s="347">
        <f t="shared" si="27"/>
        <v>0</v>
      </c>
      <c r="T24" s="347">
        <f t="shared" si="28"/>
        <v>0</v>
      </c>
      <c r="U24" s="347">
        <f t="shared" si="17"/>
        <v>356</v>
      </c>
      <c r="W24" s="105"/>
      <c r="X24" s="58"/>
      <c r="Y24" s="58"/>
      <c r="Z24" s="58"/>
      <c r="AA24" s="58"/>
      <c r="AB24" s="58"/>
      <c r="AC24" s="58"/>
      <c r="AD24" s="58"/>
      <c r="AE24" s="138"/>
      <c r="AG24" s="57">
        <f t="shared" si="29"/>
        <v>12350</v>
      </c>
      <c r="AH24" s="119">
        <v>511.90499999999997</v>
      </c>
      <c r="AI24" s="58">
        <v>24.835999999999999</v>
      </c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119">
        <v>511.90499999999997</v>
      </c>
      <c r="AZ24" s="58">
        <v>203.46899999999999</v>
      </c>
      <c r="BA24" s="58">
        <v>13.369</v>
      </c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262">
        <v>77.694999999999993</v>
      </c>
      <c r="CC24" s="1">
        <f t="shared" si="9"/>
        <v>12350</v>
      </c>
    </row>
    <row r="25" spans="1:113" ht="15.75" thickBot="1" x14ac:dyDescent="0.3">
      <c r="A25" s="507"/>
      <c r="B25" s="125"/>
      <c r="C25" s="121">
        <v>12368.17</v>
      </c>
      <c r="D25" s="347">
        <f t="shared" si="1"/>
        <v>492.161</v>
      </c>
      <c r="E25" s="347">
        <f t="shared" si="19"/>
        <v>871.7639999999999</v>
      </c>
      <c r="F25" s="58"/>
      <c r="G25" s="347">
        <f t="shared" si="20"/>
        <v>0</v>
      </c>
      <c r="H25" s="347">
        <f t="shared" si="4"/>
        <v>0</v>
      </c>
      <c r="I25" s="347">
        <f t="shared" si="5"/>
        <v>0</v>
      </c>
      <c r="J25" s="347">
        <f t="shared" si="6"/>
        <v>0</v>
      </c>
      <c r="K25" s="347">
        <f t="shared" si="7"/>
        <v>0</v>
      </c>
      <c r="L25" s="350">
        <f t="shared" si="21"/>
        <v>99.906999999999996</v>
      </c>
      <c r="M25" s="353">
        <f t="shared" si="22"/>
        <v>347</v>
      </c>
      <c r="N25" s="347">
        <f t="shared" si="23"/>
        <v>539</v>
      </c>
      <c r="O25" s="347"/>
      <c r="P25" s="347">
        <f t="shared" si="24"/>
        <v>0</v>
      </c>
      <c r="Q25" s="347">
        <f t="shared" si="25"/>
        <v>0</v>
      </c>
      <c r="R25" s="347">
        <f t="shared" si="26"/>
        <v>0</v>
      </c>
      <c r="S25" s="347">
        <f t="shared" si="27"/>
        <v>0</v>
      </c>
      <c r="T25" s="347">
        <f t="shared" si="28"/>
        <v>0</v>
      </c>
      <c r="U25" s="347">
        <f t="shared" si="17"/>
        <v>180</v>
      </c>
      <c r="W25" s="255">
        <f>M23+M24+M25</f>
        <v>930</v>
      </c>
      <c r="X25" s="255">
        <f t="shared" ref="X25" si="44">N23+N24+N25</f>
        <v>1479</v>
      </c>
      <c r="Y25" s="255"/>
      <c r="Z25" s="255">
        <f t="shared" ref="Z25" si="45">P23+P24+P25</f>
        <v>0</v>
      </c>
      <c r="AA25" s="255">
        <f t="shared" ref="AA25" si="46">Q23+Q24+Q25</f>
        <v>0</v>
      </c>
      <c r="AB25" s="255">
        <f t="shared" ref="AB25" si="47">R23+R24+R25</f>
        <v>0</v>
      </c>
      <c r="AC25" s="255">
        <f t="shared" ref="AC25" si="48">S23+S24+S25</f>
        <v>0</v>
      </c>
      <c r="AD25" s="255">
        <f t="shared" ref="AD25" si="49">T23+T24+T25</f>
        <v>0</v>
      </c>
      <c r="AE25" s="255">
        <f t="shared" ref="AE25" si="50">U23+U24+U25</f>
        <v>872</v>
      </c>
      <c r="AG25" s="57">
        <f t="shared" si="29"/>
        <v>12368.17</v>
      </c>
      <c r="AH25" s="119">
        <v>480.45299999999997</v>
      </c>
      <c r="AI25" s="58">
        <v>11.708</v>
      </c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119">
        <v>480.45299999999997</v>
      </c>
      <c r="AZ25" s="58">
        <v>391.31099999999998</v>
      </c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263">
        <v>99.906999999999996</v>
      </c>
      <c r="CC25" s="1">
        <f t="shared" si="9"/>
        <v>12368.17</v>
      </c>
    </row>
    <row r="26" spans="1:113" x14ac:dyDescent="0.25">
      <c r="A26" s="507"/>
      <c r="B26" s="125"/>
      <c r="AE26" s="208"/>
    </row>
    <row r="27" spans="1:113" ht="21.75" thickBot="1" x14ac:dyDescent="0.4">
      <c r="A27" s="508"/>
      <c r="B27" s="125"/>
      <c r="M27" s="385">
        <f>SUM(M9:M25)</f>
        <v>1696</v>
      </c>
      <c r="N27" s="120">
        <f t="shared" ref="N27:U27" si="51">SUM(N9:N25)</f>
        <v>4746</v>
      </c>
      <c r="O27" s="120"/>
      <c r="P27" s="120">
        <f t="shared" si="51"/>
        <v>0</v>
      </c>
      <c r="Q27" s="120">
        <f t="shared" si="51"/>
        <v>0</v>
      </c>
      <c r="R27" s="120">
        <f t="shared" si="51"/>
        <v>0</v>
      </c>
      <c r="S27" s="120">
        <f t="shared" si="51"/>
        <v>0</v>
      </c>
      <c r="T27" s="120">
        <f t="shared" si="51"/>
        <v>0</v>
      </c>
      <c r="U27" s="385">
        <f t="shared" si="51"/>
        <v>6325</v>
      </c>
      <c r="W27" s="120">
        <f>SUM(W9:W25)</f>
        <v>1696</v>
      </c>
      <c r="X27" s="120">
        <f t="shared" ref="X27:AE27" si="52">SUM(X9:X25)</f>
        <v>4746</v>
      </c>
      <c r="Y27" s="120"/>
      <c r="Z27" s="120">
        <f t="shared" si="52"/>
        <v>0</v>
      </c>
      <c r="AA27" s="120">
        <f t="shared" si="52"/>
        <v>0</v>
      </c>
      <c r="AB27" s="120">
        <f t="shared" si="52"/>
        <v>0</v>
      </c>
      <c r="AC27" s="120">
        <f t="shared" si="52"/>
        <v>0</v>
      </c>
      <c r="AD27" s="120">
        <f t="shared" si="52"/>
        <v>0</v>
      </c>
      <c r="AE27" s="209">
        <f t="shared" si="52"/>
        <v>6325</v>
      </c>
    </row>
    <row r="28" spans="1:113" x14ac:dyDescent="0.25">
      <c r="AE28" s="208"/>
    </row>
    <row r="29" spans="1:113" x14ac:dyDescent="0.25">
      <c r="AE29" s="208"/>
      <c r="CC29" s="1"/>
    </row>
    <row r="30" spans="1:113" x14ac:dyDescent="0.25">
      <c r="AE30" s="208"/>
      <c r="CC30" s="1"/>
    </row>
    <row r="31" spans="1:113" s="2" customFormat="1" x14ac:dyDescent="0.25">
      <c r="A31" s="518" t="s">
        <v>56</v>
      </c>
      <c r="B31" s="126"/>
      <c r="C31" s="121">
        <v>11519</v>
      </c>
      <c r="D31" s="347">
        <f>SUM(AH31:AX31)</f>
        <v>17.764199999999999</v>
      </c>
      <c r="E31" s="347">
        <f>SUM(AY31:BG31)</f>
        <v>0</v>
      </c>
      <c r="F31" s="58"/>
      <c r="G31" s="58">
        <f>SUM(BL31:BN31)</f>
        <v>0</v>
      </c>
      <c r="H31" s="58">
        <f t="shared" ref="H31:H43" si="53">SUM(BO31:BQ31)</f>
        <v>0</v>
      </c>
      <c r="I31" s="58">
        <f t="shared" ref="I31:I43" si="54">SUM(BR31:BT31)</f>
        <v>0</v>
      </c>
      <c r="J31" s="58">
        <f t="shared" ref="J31:J43" si="55">SUM(BU31:BV31)</f>
        <v>0</v>
      </c>
      <c r="K31" s="51">
        <f t="shared" ref="K31:K43" si="56">BW31+BX31</f>
        <v>0</v>
      </c>
      <c r="L31" s="350">
        <f>SUM(BY31:CB31)</f>
        <v>0</v>
      </c>
      <c r="M31" s="353"/>
      <c r="N31" s="58"/>
      <c r="O31" s="58"/>
      <c r="P31" s="58"/>
      <c r="Q31" s="58"/>
      <c r="R31" s="58"/>
      <c r="S31" s="58"/>
      <c r="T31" s="58"/>
      <c r="U31" s="347"/>
      <c r="V31" s="56"/>
      <c r="W31" s="105"/>
      <c r="X31" s="58"/>
      <c r="Y31" s="58"/>
      <c r="Z31" s="58"/>
      <c r="AA31" s="58"/>
      <c r="AB31" s="58"/>
      <c r="AC31" s="58"/>
      <c r="AD31" s="58"/>
      <c r="AE31" s="138"/>
      <c r="AF31" s="55"/>
      <c r="AG31" s="57">
        <f t="shared" ref="AG31:AG32" si="57">C31</f>
        <v>11519</v>
      </c>
      <c r="AH31" s="58">
        <v>17.764199999999999</v>
      </c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263">
        <v>0</v>
      </c>
      <c r="CC31" s="1">
        <f t="shared" ref="CC31:CC43" si="58">C31</f>
        <v>11519</v>
      </c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 s="41"/>
    </row>
    <row r="32" spans="1:113" x14ac:dyDescent="0.25">
      <c r="A32" s="518"/>
      <c r="B32" s="126"/>
      <c r="C32" s="121">
        <v>11550</v>
      </c>
      <c r="D32" s="347">
        <f t="shared" ref="D32:D43" si="59">SUM(AH32:AX32)</f>
        <v>99.753500000000003</v>
      </c>
      <c r="E32" s="347">
        <f t="shared" ref="E32" si="60">SUM(AY32:BG32)</f>
        <v>0</v>
      </c>
      <c r="F32" s="58"/>
      <c r="G32" s="58">
        <f t="shared" ref="G32" si="61">SUM(BL32:BN32)</f>
        <v>0</v>
      </c>
      <c r="H32" s="58">
        <f t="shared" si="53"/>
        <v>0</v>
      </c>
      <c r="I32" s="58">
        <f t="shared" si="54"/>
        <v>0</v>
      </c>
      <c r="J32" s="58">
        <f t="shared" si="55"/>
        <v>0</v>
      </c>
      <c r="K32" s="51">
        <f t="shared" si="56"/>
        <v>0</v>
      </c>
      <c r="L32" s="350">
        <f t="shared" ref="L32" si="62">SUM(BY32:CB32)</f>
        <v>49.082000000000001</v>
      </c>
      <c r="M32" s="353">
        <f>ROUNDUP(((D31+D32)*0.5)*(C32-C31)/27,0)</f>
        <v>68</v>
      </c>
      <c r="N32" s="58">
        <f>ROUNDUP(((E31+E32)*0.5)*(C32-C31)/27,0)</f>
        <v>0</v>
      </c>
      <c r="O32" s="58"/>
      <c r="P32" s="58">
        <f>ROUNDUP(((G31+G32)*0.5)*(C32-C31)/27,0)</f>
        <v>0</v>
      </c>
      <c r="Q32" s="58">
        <f>ROUNDUP(((H32+H31)*0.5)*(C32-C31)/27,0)</f>
        <v>0</v>
      </c>
      <c r="R32" s="58">
        <f>ROUNDUP(((I32+I31)*0.5)*(C32-C31)/27,0)</f>
        <v>0</v>
      </c>
      <c r="S32" s="58">
        <f>ROUNDUP(((J32+J31)*0.5)*(C32-C31)/9,0)</f>
        <v>0</v>
      </c>
      <c r="T32" s="58">
        <f>ROUNDUP(((K32+K31)*0.5)*(C32-C31)/9,0)</f>
        <v>0</v>
      </c>
      <c r="U32" s="347">
        <f t="shared" ref="U32:U43" si="63">ROUNDUP(((L32+L31)*0.5)*(C32-C31)/9,0)</f>
        <v>85</v>
      </c>
      <c r="V32" s="56"/>
      <c r="W32" s="105"/>
      <c r="X32" s="58"/>
      <c r="Y32" s="58"/>
      <c r="Z32" s="58"/>
      <c r="AA32" s="58"/>
      <c r="AB32" s="58"/>
      <c r="AC32" s="58"/>
      <c r="AD32" s="58"/>
      <c r="AE32" s="138"/>
      <c r="AF32" s="55"/>
      <c r="AG32" s="57">
        <f t="shared" si="57"/>
        <v>11550</v>
      </c>
      <c r="AH32" s="58">
        <v>99.753500000000003</v>
      </c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263">
        <v>49.082000000000001</v>
      </c>
      <c r="CC32" s="1">
        <f t="shared" si="58"/>
        <v>11550</v>
      </c>
    </row>
    <row r="33" spans="1:81" x14ac:dyDescent="0.25">
      <c r="A33" s="518"/>
      <c r="B33" s="126"/>
      <c r="C33" s="121">
        <v>11600</v>
      </c>
      <c r="D33" s="347">
        <f t="shared" si="59"/>
        <v>276.8184</v>
      </c>
      <c r="E33" s="347">
        <f t="shared" ref="E33:E43" si="64">SUM(AY33:BG33)</f>
        <v>0</v>
      </c>
      <c r="F33" s="58"/>
      <c r="G33" s="58">
        <f t="shared" ref="G33:G43" si="65">SUM(BL33:BN33)</f>
        <v>0</v>
      </c>
      <c r="H33" s="58">
        <f t="shared" si="53"/>
        <v>0</v>
      </c>
      <c r="I33" s="58">
        <f t="shared" si="54"/>
        <v>0</v>
      </c>
      <c r="J33" s="58">
        <f t="shared" si="55"/>
        <v>0</v>
      </c>
      <c r="K33" s="51">
        <f t="shared" si="56"/>
        <v>0</v>
      </c>
      <c r="L33" s="350">
        <f t="shared" ref="L33:L43" si="66">SUM(BY33:CB33)</f>
        <v>62.8</v>
      </c>
      <c r="M33" s="353">
        <f t="shared" ref="M33:M43" si="67">ROUNDUP(((D32+D33)*0.5)*(C33-C32)/27,0)</f>
        <v>349</v>
      </c>
      <c r="N33" s="58">
        <f t="shared" ref="N33:N43" si="68">ROUNDUP(((E32+E33)*0.5)*(C33-C32)/27,0)</f>
        <v>0</v>
      </c>
      <c r="O33" s="58"/>
      <c r="P33" s="58">
        <f t="shared" ref="P33:P43" si="69">ROUNDUP(((G32+G33)*0.5)*(C33-C32)/27,0)</f>
        <v>0</v>
      </c>
      <c r="Q33" s="58">
        <f t="shared" ref="Q33:Q43" si="70">ROUNDUP(((H33+H32)*0.5)*(C33-C32)/27,0)</f>
        <v>0</v>
      </c>
      <c r="R33" s="58">
        <f t="shared" ref="R33:R43" si="71">ROUNDUP(((I33+I32)*0.5)*(C33-C32)/27,0)</f>
        <v>0</v>
      </c>
      <c r="S33" s="58">
        <f t="shared" ref="S33:S43" si="72">ROUNDUP(((J33+J32)*0.5)*(C33-C32)/9,0)</f>
        <v>0</v>
      </c>
      <c r="T33" s="58">
        <f t="shared" ref="T33:T43" si="73">ROUNDUP(((K33+K32)*0.5)*(C33-C32)/9,0)</f>
        <v>0</v>
      </c>
      <c r="U33" s="347">
        <f t="shared" si="63"/>
        <v>311</v>
      </c>
      <c r="V33" s="56"/>
      <c r="W33" s="105"/>
      <c r="X33" s="58"/>
      <c r="Y33" s="58"/>
      <c r="Z33" s="58"/>
      <c r="AA33" s="58"/>
      <c r="AB33" s="58"/>
      <c r="AC33" s="58"/>
      <c r="AD33" s="58"/>
      <c r="AE33" s="138"/>
      <c r="AF33" s="55"/>
      <c r="AG33" s="57">
        <f t="shared" ref="AG33:AG43" si="74">C33</f>
        <v>11600</v>
      </c>
      <c r="AH33" s="58">
        <v>276.8184</v>
      </c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263">
        <f>54.8+8</f>
        <v>62.8</v>
      </c>
      <c r="CC33" s="1">
        <f t="shared" si="58"/>
        <v>11600</v>
      </c>
    </row>
    <row r="34" spans="1:81" s="3" customFormat="1" ht="15.75" thickBot="1" x14ac:dyDescent="0.3">
      <c r="A34" s="518"/>
      <c r="B34" s="213"/>
      <c r="C34" s="212">
        <v>11650</v>
      </c>
      <c r="D34" s="348">
        <f t="shared" si="59"/>
        <v>450.81970000000001</v>
      </c>
      <c r="E34" s="348">
        <f t="shared" si="64"/>
        <v>12.9063</v>
      </c>
      <c r="F34" s="144"/>
      <c r="G34" s="144">
        <f t="shared" si="65"/>
        <v>0</v>
      </c>
      <c r="H34" s="144">
        <f t="shared" si="53"/>
        <v>0</v>
      </c>
      <c r="I34" s="144">
        <f t="shared" si="54"/>
        <v>0</v>
      </c>
      <c r="J34" s="144">
        <f t="shared" si="55"/>
        <v>0</v>
      </c>
      <c r="K34" s="159">
        <f t="shared" si="56"/>
        <v>0</v>
      </c>
      <c r="L34" s="351">
        <f t="shared" si="66"/>
        <v>84.2</v>
      </c>
      <c r="M34" s="354">
        <f t="shared" si="67"/>
        <v>674</v>
      </c>
      <c r="N34" s="144">
        <f t="shared" si="68"/>
        <v>12</v>
      </c>
      <c r="O34" s="144"/>
      <c r="P34" s="144">
        <f t="shared" si="69"/>
        <v>0</v>
      </c>
      <c r="Q34" s="144">
        <f t="shared" si="70"/>
        <v>0</v>
      </c>
      <c r="R34" s="144">
        <f t="shared" si="71"/>
        <v>0</v>
      </c>
      <c r="S34" s="144">
        <f t="shared" si="72"/>
        <v>0</v>
      </c>
      <c r="T34" s="144">
        <f t="shared" si="73"/>
        <v>0</v>
      </c>
      <c r="U34" s="348">
        <f t="shared" si="63"/>
        <v>409</v>
      </c>
      <c r="V34" s="154"/>
      <c r="W34" s="255">
        <f>M31+M32+M33+M34</f>
        <v>1091</v>
      </c>
      <c r="X34" s="255">
        <f>N31+N32+N33+N34</f>
        <v>12</v>
      </c>
      <c r="Y34" s="255"/>
      <c r="Z34" s="255">
        <f t="shared" ref="Z34" si="75">P31+P32+P33+P34</f>
        <v>0</v>
      </c>
      <c r="AA34" s="255">
        <f t="shared" ref="AA34" si="76">Q31+Q32+Q33+Q34</f>
        <v>0</v>
      </c>
      <c r="AB34" s="255">
        <f t="shared" ref="AB34" si="77">R31+R32+R33+R34</f>
        <v>0</v>
      </c>
      <c r="AC34" s="255">
        <f t="shared" ref="AC34" si="78">S31+S32+S33+S34</f>
        <v>0</v>
      </c>
      <c r="AD34" s="255">
        <f t="shared" ref="AD34" si="79">T31+T32+T33+T34</f>
        <v>0</v>
      </c>
      <c r="AE34" s="255">
        <f t="shared" ref="AE34" si="80">U31+U32+U33+U34</f>
        <v>805</v>
      </c>
      <c r="AF34" s="153"/>
      <c r="AG34" s="158">
        <f t="shared" si="74"/>
        <v>11650</v>
      </c>
      <c r="AH34" s="144">
        <v>450.81970000000001</v>
      </c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>
        <v>12.9063</v>
      </c>
      <c r="AZ34" s="144"/>
      <c r="BA34" s="144"/>
      <c r="BB34" s="144"/>
      <c r="BC34" s="144"/>
      <c r="BD34" s="144"/>
      <c r="BE34" s="144"/>
      <c r="BF34" s="144"/>
      <c r="BG34" s="144"/>
      <c r="BH34" s="144"/>
      <c r="BI34" s="144"/>
      <c r="BJ34" s="144"/>
      <c r="BK34" s="144"/>
      <c r="BL34" s="144"/>
      <c r="BM34" s="144"/>
      <c r="BN34" s="144"/>
      <c r="BO34" s="144"/>
      <c r="BP34" s="144"/>
      <c r="BQ34" s="144"/>
      <c r="BR34" s="144"/>
      <c r="BS34" s="144"/>
      <c r="BT34" s="144"/>
      <c r="BU34" s="144"/>
      <c r="BV34" s="144"/>
      <c r="BW34" s="144"/>
      <c r="BX34" s="144"/>
      <c r="BY34" s="144"/>
      <c r="BZ34" s="144"/>
      <c r="CA34" s="144"/>
      <c r="CB34" s="265">
        <f>76.2+8</f>
        <v>84.2</v>
      </c>
      <c r="CC34" s="1">
        <f t="shared" si="58"/>
        <v>11650</v>
      </c>
    </row>
    <row r="35" spans="1:81" x14ac:dyDescent="0.25">
      <c r="A35" s="518"/>
      <c r="B35" s="126"/>
      <c r="C35" s="210">
        <v>11700</v>
      </c>
      <c r="D35" s="349">
        <f t="shared" si="59"/>
        <v>652.3288</v>
      </c>
      <c r="E35" s="349">
        <f t="shared" si="64"/>
        <v>8.4876000000000005</v>
      </c>
      <c r="F35" s="147"/>
      <c r="G35" s="147">
        <f t="shared" si="65"/>
        <v>0</v>
      </c>
      <c r="H35" s="147">
        <f t="shared" si="53"/>
        <v>0</v>
      </c>
      <c r="I35" s="147">
        <f t="shared" si="54"/>
        <v>0</v>
      </c>
      <c r="J35" s="147">
        <f t="shared" si="55"/>
        <v>0</v>
      </c>
      <c r="K35" s="156">
        <f t="shared" si="56"/>
        <v>0</v>
      </c>
      <c r="L35" s="352">
        <f t="shared" si="66"/>
        <v>93.3</v>
      </c>
      <c r="M35" s="355">
        <f t="shared" si="67"/>
        <v>1022</v>
      </c>
      <c r="N35" s="147">
        <f t="shared" si="68"/>
        <v>20</v>
      </c>
      <c r="O35" s="147"/>
      <c r="P35" s="147">
        <f t="shared" si="69"/>
        <v>0</v>
      </c>
      <c r="Q35" s="147">
        <f t="shared" si="70"/>
        <v>0</v>
      </c>
      <c r="R35" s="147">
        <f t="shared" si="71"/>
        <v>0</v>
      </c>
      <c r="S35" s="147">
        <f t="shared" si="72"/>
        <v>0</v>
      </c>
      <c r="T35" s="147">
        <f t="shared" si="73"/>
        <v>0</v>
      </c>
      <c r="U35" s="349">
        <f t="shared" si="63"/>
        <v>494</v>
      </c>
      <c r="V35" s="56"/>
      <c r="W35" s="151"/>
      <c r="X35" s="147"/>
      <c r="Y35" s="147"/>
      <c r="Z35" s="147"/>
      <c r="AA35" s="147"/>
      <c r="AB35" s="147"/>
      <c r="AC35" s="147"/>
      <c r="AD35" s="147"/>
      <c r="AE35" s="148"/>
      <c r="AF35" s="55"/>
      <c r="AG35" s="155">
        <f t="shared" si="74"/>
        <v>11700</v>
      </c>
      <c r="AH35" s="147">
        <v>652.3288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>
        <v>8.4876000000000005</v>
      </c>
      <c r="AZ35" s="147"/>
      <c r="BA35" s="147"/>
      <c r="BB35" s="147"/>
      <c r="BC35" s="147"/>
      <c r="BD35" s="147"/>
      <c r="BE35" s="147"/>
      <c r="BF35" s="147"/>
      <c r="BG35" s="147"/>
      <c r="BH35" s="147"/>
      <c r="BI35" s="147"/>
      <c r="BJ35" s="147"/>
      <c r="BK35" s="147"/>
      <c r="BL35" s="147"/>
      <c r="BM35" s="147"/>
      <c r="BN35" s="147"/>
      <c r="BO35" s="147"/>
      <c r="BP35" s="147"/>
      <c r="BQ35" s="147"/>
      <c r="BR35" s="147"/>
      <c r="BS35" s="147"/>
      <c r="BT35" s="147"/>
      <c r="BU35" s="147"/>
      <c r="BV35" s="147"/>
      <c r="BW35" s="147"/>
      <c r="BX35" s="147"/>
      <c r="BY35" s="147"/>
      <c r="BZ35" s="147"/>
      <c r="CA35" s="147"/>
      <c r="CB35" s="266">
        <f>85.3+8</f>
        <v>93.3</v>
      </c>
      <c r="CC35" s="1">
        <f t="shared" si="58"/>
        <v>11700</v>
      </c>
    </row>
    <row r="36" spans="1:81" x14ac:dyDescent="0.25">
      <c r="A36" s="518"/>
      <c r="B36" s="126"/>
      <c r="C36" s="121">
        <v>11750</v>
      </c>
      <c r="D36" s="347">
        <f t="shared" si="59"/>
        <v>945.41589999999997</v>
      </c>
      <c r="E36" s="347">
        <f t="shared" si="64"/>
        <v>0</v>
      </c>
      <c r="F36" s="58"/>
      <c r="G36" s="58">
        <f t="shared" si="65"/>
        <v>0</v>
      </c>
      <c r="H36" s="58">
        <f t="shared" si="53"/>
        <v>85.511399999999995</v>
      </c>
      <c r="I36" s="58">
        <f t="shared" si="54"/>
        <v>85.511399999999995</v>
      </c>
      <c r="J36" s="58">
        <f t="shared" si="55"/>
        <v>28.058599999999998</v>
      </c>
      <c r="K36" s="51">
        <f t="shared" si="56"/>
        <v>28.058599999999998</v>
      </c>
      <c r="L36" s="350">
        <f t="shared" si="66"/>
        <v>141.5</v>
      </c>
      <c r="M36" s="353">
        <f t="shared" si="67"/>
        <v>1480</v>
      </c>
      <c r="N36" s="58">
        <f t="shared" si="68"/>
        <v>8</v>
      </c>
      <c r="O36" s="58"/>
      <c r="P36" s="58">
        <f t="shared" si="69"/>
        <v>0</v>
      </c>
      <c r="Q36" s="58">
        <f t="shared" si="70"/>
        <v>80</v>
      </c>
      <c r="R36" s="58">
        <f t="shared" si="71"/>
        <v>80</v>
      </c>
      <c r="S36" s="58">
        <f t="shared" si="72"/>
        <v>78</v>
      </c>
      <c r="T36" s="58">
        <f t="shared" si="73"/>
        <v>78</v>
      </c>
      <c r="U36" s="347">
        <f t="shared" si="63"/>
        <v>653</v>
      </c>
      <c r="V36" s="56"/>
      <c r="W36" s="105"/>
      <c r="X36" s="58"/>
      <c r="Y36" s="58"/>
      <c r="Z36" s="58"/>
      <c r="AA36" s="58"/>
      <c r="AB36" s="58"/>
      <c r="AC36" s="58"/>
      <c r="AD36" s="58"/>
      <c r="AE36" s="138"/>
      <c r="AF36" s="55"/>
      <c r="AG36" s="57">
        <f t="shared" si="74"/>
        <v>11750</v>
      </c>
      <c r="AH36" s="58">
        <v>945.41589999999997</v>
      </c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>
        <v>85.511399999999995</v>
      </c>
      <c r="BP36" s="58"/>
      <c r="BQ36" s="58"/>
      <c r="BR36" s="58">
        <f>BO36</f>
        <v>85.511399999999995</v>
      </c>
      <c r="BS36" s="58"/>
      <c r="BT36" s="58"/>
      <c r="BU36" s="58">
        <v>28.058599999999998</v>
      </c>
      <c r="BV36" s="58"/>
      <c r="BW36" s="58"/>
      <c r="BX36" s="58">
        <f>BU36</f>
        <v>28.058599999999998</v>
      </c>
      <c r="BY36" s="58"/>
      <c r="BZ36" s="58"/>
      <c r="CA36" s="58"/>
      <c r="CB36" s="263">
        <f>133.5+8</f>
        <v>141.5</v>
      </c>
      <c r="CC36" s="1">
        <f t="shared" si="58"/>
        <v>11750</v>
      </c>
    </row>
    <row r="37" spans="1:81" x14ac:dyDescent="0.25">
      <c r="A37" s="518"/>
      <c r="B37" s="126"/>
      <c r="C37" s="121">
        <v>11800</v>
      </c>
      <c r="D37" s="347">
        <f t="shared" si="59"/>
        <v>1196.6729</v>
      </c>
      <c r="E37" s="347">
        <f t="shared" si="64"/>
        <v>0</v>
      </c>
      <c r="F37" s="58"/>
      <c r="G37" s="58">
        <f t="shared" si="65"/>
        <v>0</v>
      </c>
      <c r="H37" s="58">
        <f t="shared" si="53"/>
        <v>85.504499999999993</v>
      </c>
      <c r="I37" s="58">
        <f t="shared" si="54"/>
        <v>85.504499999999993</v>
      </c>
      <c r="J37" s="58">
        <f t="shared" si="55"/>
        <v>28.030999999999999</v>
      </c>
      <c r="K37" s="51">
        <f t="shared" si="56"/>
        <v>28.030999999999999</v>
      </c>
      <c r="L37" s="350">
        <f t="shared" si="66"/>
        <v>159.5</v>
      </c>
      <c r="M37" s="353">
        <f t="shared" si="67"/>
        <v>1984</v>
      </c>
      <c r="N37" s="58">
        <f t="shared" si="68"/>
        <v>0</v>
      </c>
      <c r="O37" s="58"/>
      <c r="P37" s="58">
        <f t="shared" si="69"/>
        <v>0</v>
      </c>
      <c r="Q37" s="58">
        <f t="shared" si="70"/>
        <v>159</v>
      </c>
      <c r="R37" s="58">
        <f t="shared" si="71"/>
        <v>159</v>
      </c>
      <c r="S37" s="58">
        <f t="shared" si="72"/>
        <v>156</v>
      </c>
      <c r="T37" s="58">
        <f t="shared" si="73"/>
        <v>156</v>
      </c>
      <c r="U37" s="347">
        <f t="shared" si="63"/>
        <v>837</v>
      </c>
      <c r="V37" s="56"/>
      <c r="W37" s="105"/>
      <c r="X37" s="58"/>
      <c r="Y37" s="58"/>
      <c r="Z37" s="58"/>
      <c r="AA37" s="58"/>
      <c r="AB37" s="58"/>
      <c r="AC37" s="58"/>
      <c r="AD37" s="58"/>
      <c r="AE37" s="138"/>
      <c r="AF37" s="55"/>
      <c r="AG37" s="57">
        <f t="shared" si="74"/>
        <v>11800</v>
      </c>
      <c r="AH37" s="58">
        <v>1196.6729</v>
      </c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>
        <v>85.504499999999993</v>
      </c>
      <c r="BP37" s="58"/>
      <c r="BQ37" s="58"/>
      <c r="BR37" s="58">
        <f t="shared" ref="BR37:BR38" si="81">BO37</f>
        <v>85.504499999999993</v>
      </c>
      <c r="BS37" s="58"/>
      <c r="BT37" s="58"/>
      <c r="BU37" s="58">
        <v>28.030999999999999</v>
      </c>
      <c r="BV37" s="58"/>
      <c r="BW37" s="58"/>
      <c r="BX37" s="58">
        <f t="shared" ref="BX37:BX43" si="82">BU37</f>
        <v>28.030999999999999</v>
      </c>
      <c r="BY37" s="58"/>
      <c r="BZ37" s="58"/>
      <c r="CA37" s="58"/>
      <c r="CB37" s="263">
        <f>151.5+8</f>
        <v>159.5</v>
      </c>
      <c r="CC37" s="1">
        <f t="shared" si="58"/>
        <v>11800</v>
      </c>
    </row>
    <row r="38" spans="1:81" s="3" customFormat="1" ht="15.75" thickBot="1" x14ac:dyDescent="0.3">
      <c r="A38" s="518"/>
      <c r="B38" s="213"/>
      <c r="C38" s="212">
        <v>11850</v>
      </c>
      <c r="D38" s="348">
        <f t="shared" si="59"/>
        <v>1274.8887</v>
      </c>
      <c r="E38" s="348">
        <f t="shared" si="64"/>
        <v>0</v>
      </c>
      <c r="F38" s="144"/>
      <c r="G38" s="144">
        <f t="shared" si="65"/>
        <v>0</v>
      </c>
      <c r="H38" s="144">
        <f t="shared" si="53"/>
        <v>85.506699999999995</v>
      </c>
      <c r="I38" s="144">
        <f t="shared" si="54"/>
        <v>85.506699999999995</v>
      </c>
      <c r="J38" s="144">
        <f t="shared" si="55"/>
        <v>28.017399999999999</v>
      </c>
      <c r="K38" s="159">
        <f t="shared" si="56"/>
        <v>28.017399999999999</v>
      </c>
      <c r="L38" s="351">
        <f t="shared" si="66"/>
        <v>137.1</v>
      </c>
      <c r="M38" s="354">
        <f t="shared" si="67"/>
        <v>2289</v>
      </c>
      <c r="N38" s="144">
        <f t="shared" si="68"/>
        <v>0</v>
      </c>
      <c r="O38" s="144"/>
      <c r="P38" s="144">
        <f t="shared" si="69"/>
        <v>0</v>
      </c>
      <c r="Q38" s="144">
        <f t="shared" si="70"/>
        <v>159</v>
      </c>
      <c r="R38" s="144">
        <f t="shared" si="71"/>
        <v>159</v>
      </c>
      <c r="S38" s="144">
        <f t="shared" si="72"/>
        <v>156</v>
      </c>
      <c r="T38" s="144">
        <f t="shared" si="73"/>
        <v>156</v>
      </c>
      <c r="U38" s="348">
        <f t="shared" si="63"/>
        <v>824</v>
      </c>
      <c r="V38" s="154"/>
      <c r="W38" s="255">
        <f>M35+M36+M37+M38</f>
        <v>6775</v>
      </c>
      <c r="X38" s="255">
        <f>N35+N36+N37+N38</f>
        <v>28</v>
      </c>
      <c r="Y38" s="255"/>
      <c r="Z38" s="255">
        <f t="shared" ref="Z38" si="83">P35+P36+P37+P38</f>
        <v>0</v>
      </c>
      <c r="AA38" s="255">
        <f t="shared" ref="AA38" si="84">Q35+Q36+Q37+Q38</f>
        <v>398</v>
      </c>
      <c r="AB38" s="255">
        <f t="shared" ref="AB38" si="85">R35+R36+R37+R38</f>
        <v>398</v>
      </c>
      <c r="AC38" s="255">
        <f t="shared" ref="AC38" si="86">S35+S36+S37+S38</f>
        <v>390</v>
      </c>
      <c r="AD38" s="255">
        <f t="shared" ref="AD38" si="87">T35+T36+T37+T38</f>
        <v>390</v>
      </c>
      <c r="AE38" s="255">
        <f t="shared" ref="AE38" si="88">U35+U36+U37+U38</f>
        <v>2808</v>
      </c>
      <c r="AF38" s="153"/>
      <c r="AG38" s="158">
        <f t="shared" si="74"/>
        <v>11850</v>
      </c>
      <c r="AH38" s="144">
        <v>1274.8887</v>
      </c>
      <c r="AI38" s="144"/>
      <c r="AJ38" s="144"/>
      <c r="AK38" s="144"/>
      <c r="AL38" s="144"/>
      <c r="AM38" s="144"/>
      <c r="AN38" s="144"/>
      <c r="AO38" s="144"/>
      <c r="AP38" s="144"/>
      <c r="AQ38" s="144"/>
      <c r="AR38" s="144"/>
      <c r="AS38" s="144"/>
      <c r="AT38" s="144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  <c r="BI38" s="144"/>
      <c r="BJ38" s="144"/>
      <c r="BK38" s="144"/>
      <c r="BL38" s="144"/>
      <c r="BM38" s="144"/>
      <c r="BN38" s="144"/>
      <c r="BO38" s="144">
        <v>85.506699999999995</v>
      </c>
      <c r="BP38" s="144"/>
      <c r="BQ38" s="144"/>
      <c r="BR38" s="144">
        <f t="shared" si="81"/>
        <v>85.506699999999995</v>
      </c>
      <c r="BS38" s="144"/>
      <c r="BT38" s="144"/>
      <c r="BU38" s="144">
        <v>28.017399999999999</v>
      </c>
      <c r="BV38" s="144"/>
      <c r="BW38" s="144"/>
      <c r="BX38" s="144">
        <f t="shared" si="82"/>
        <v>28.017399999999999</v>
      </c>
      <c r="BY38" s="144"/>
      <c r="BZ38" s="144"/>
      <c r="CA38" s="144"/>
      <c r="CB38" s="265">
        <f>129.1+8</f>
        <v>137.1</v>
      </c>
      <c r="CC38" s="1">
        <f t="shared" si="58"/>
        <v>11850</v>
      </c>
    </row>
    <row r="39" spans="1:81" x14ac:dyDescent="0.25">
      <c r="A39" s="518"/>
      <c r="B39" s="126"/>
      <c r="C39" s="210">
        <v>11900</v>
      </c>
      <c r="D39" s="349">
        <f t="shared" si="59"/>
        <v>1313.9444000000001</v>
      </c>
      <c r="E39" s="349">
        <f t="shared" si="64"/>
        <v>0</v>
      </c>
      <c r="F39" s="147"/>
      <c r="G39" s="147">
        <f t="shared" si="65"/>
        <v>0</v>
      </c>
      <c r="H39" s="147">
        <f t="shared" si="53"/>
        <v>85.509799999999998</v>
      </c>
      <c r="I39" s="147">
        <f t="shared" si="54"/>
        <v>85.509799999999998</v>
      </c>
      <c r="J39" s="147">
        <f t="shared" si="55"/>
        <v>28.0108</v>
      </c>
      <c r="K39" s="156">
        <f t="shared" si="56"/>
        <v>28.0108</v>
      </c>
      <c r="L39" s="352">
        <f t="shared" si="66"/>
        <v>129.19999999999999</v>
      </c>
      <c r="M39" s="355">
        <f t="shared" si="67"/>
        <v>2398</v>
      </c>
      <c r="N39" s="147">
        <f t="shared" si="68"/>
        <v>0</v>
      </c>
      <c r="O39" s="147"/>
      <c r="P39" s="147">
        <f t="shared" si="69"/>
        <v>0</v>
      </c>
      <c r="Q39" s="147">
        <f t="shared" si="70"/>
        <v>159</v>
      </c>
      <c r="R39" s="147">
        <f t="shared" si="71"/>
        <v>159</v>
      </c>
      <c r="S39" s="147">
        <f t="shared" si="72"/>
        <v>156</v>
      </c>
      <c r="T39" s="147">
        <f t="shared" si="73"/>
        <v>156</v>
      </c>
      <c r="U39" s="349">
        <f t="shared" si="63"/>
        <v>740</v>
      </c>
      <c r="V39" s="56"/>
      <c r="W39" s="151"/>
      <c r="X39" s="147"/>
      <c r="Y39" s="147"/>
      <c r="Z39" s="147"/>
      <c r="AA39" s="147"/>
      <c r="AB39" s="147"/>
      <c r="AC39" s="147"/>
      <c r="AD39" s="147"/>
      <c r="AE39" s="148"/>
      <c r="AF39" s="55"/>
      <c r="AG39" s="155">
        <f t="shared" si="74"/>
        <v>11900</v>
      </c>
      <c r="AH39" s="147">
        <v>1313.9444000000001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  <c r="BI39" s="147"/>
      <c r="BJ39" s="147"/>
      <c r="BK39" s="147"/>
      <c r="BL39" s="147"/>
      <c r="BM39" s="147"/>
      <c r="BN39" s="147"/>
      <c r="BO39" s="147">
        <v>85.509799999999998</v>
      </c>
      <c r="BP39" s="147"/>
      <c r="BQ39" s="147"/>
      <c r="BR39" s="147">
        <f>BO39</f>
        <v>85.509799999999998</v>
      </c>
      <c r="BS39" s="147"/>
      <c r="BT39" s="147"/>
      <c r="BU39" s="147">
        <v>28.0108</v>
      </c>
      <c r="BV39" s="147"/>
      <c r="BW39" s="147"/>
      <c r="BX39" s="147">
        <f t="shared" si="82"/>
        <v>28.0108</v>
      </c>
      <c r="BY39" s="147"/>
      <c r="BZ39" s="147"/>
      <c r="CA39" s="147"/>
      <c r="CB39" s="266">
        <f>121.2+8</f>
        <v>129.19999999999999</v>
      </c>
      <c r="CC39" s="1">
        <f t="shared" si="58"/>
        <v>11900</v>
      </c>
    </row>
    <row r="40" spans="1:81" x14ac:dyDescent="0.25">
      <c r="A40" s="518"/>
      <c r="B40" s="126"/>
      <c r="C40" s="121">
        <v>11950</v>
      </c>
      <c r="D40" s="347">
        <f t="shared" si="59"/>
        <v>1168.4319</v>
      </c>
      <c r="E40" s="347">
        <f t="shared" si="64"/>
        <v>1.5685</v>
      </c>
      <c r="F40" s="58"/>
      <c r="G40" s="58">
        <f t="shared" si="65"/>
        <v>0</v>
      </c>
      <c r="H40" s="58">
        <f t="shared" si="53"/>
        <v>85.204099999999997</v>
      </c>
      <c r="I40" s="58">
        <f t="shared" si="54"/>
        <v>85.204099999999997</v>
      </c>
      <c r="J40" s="58">
        <f t="shared" si="55"/>
        <v>28.008700000000001</v>
      </c>
      <c r="K40" s="51">
        <f t="shared" si="56"/>
        <v>28.008700000000001</v>
      </c>
      <c r="L40" s="350">
        <f t="shared" si="66"/>
        <v>147.30000000000001</v>
      </c>
      <c r="M40" s="353">
        <f t="shared" si="67"/>
        <v>2299</v>
      </c>
      <c r="N40" s="58">
        <f t="shared" si="68"/>
        <v>2</v>
      </c>
      <c r="O40" s="58"/>
      <c r="P40" s="58">
        <f t="shared" si="69"/>
        <v>0</v>
      </c>
      <c r="Q40" s="58">
        <f t="shared" si="70"/>
        <v>159</v>
      </c>
      <c r="R40" s="58">
        <f t="shared" si="71"/>
        <v>159</v>
      </c>
      <c r="S40" s="58">
        <f t="shared" si="72"/>
        <v>156</v>
      </c>
      <c r="T40" s="58">
        <f t="shared" si="73"/>
        <v>156</v>
      </c>
      <c r="U40" s="347">
        <f t="shared" si="63"/>
        <v>769</v>
      </c>
      <c r="V40" s="56"/>
      <c r="W40" s="105"/>
      <c r="X40" s="58"/>
      <c r="Y40" s="58"/>
      <c r="Z40" s="58"/>
      <c r="AA40" s="58"/>
      <c r="AB40" s="58"/>
      <c r="AC40" s="58"/>
      <c r="AD40" s="58"/>
      <c r="AE40" s="138"/>
      <c r="AF40" s="55"/>
      <c r="AG40" s="57">
        <f t="shared" si="74"/>
        <v>11950</v>
      </c>
      <c r="AH40" s="58">
        <v>1168.4319</v>
      </c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>
        <v>1.5685</v>
      </c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>
        <v>85.204099999999997</v>
      </c>
      <c r="BP40" s="58"/>
      <c r="BQ40" s="58"/>
      <c r="BR40" s="58">
        <f>BO40</f>
        <v>85.204099999999997</v>
      </c>
      <c r="BS40" s="58"/>
      <c r="BT40" s="58"/>
      <c r="BU40" s="58">
        <v>28.008700000000001</v>
      </c>
      <c r="BV40" s="58"/>
      <c r="BW40" s="58"/>
      <c r="BX40" s="58">
        <f t="shared" si="82"/>
        <v>28.008700000000001</v>
      </c>
      <c r="BY40" s="58"/>
      <c r="BZ40" s="58"/>
      <c r="CA40" s="58"/>
      <c r="CB40" s="263">
        <f>139.3+8</f>
        <v>147.30000000000001</v>
      </c>
      <c r="CC40" s="1">
        <f t="shared" si="58"/>
        <v>11950</v>
      </c>
    </row>
    <row r="41" spans="1:81" x14ac:dyDescent="0.25">
      <c r="A41" s="518"/>
      <c r="B41" s="126"/>
      <c r="C41" s="121">
        <v>12000</v>
      </c>
      <c r="D41" s="347">
        <f t="shared" si="59"/>
        <v>539.19870000000003</v>
      </c>
      <c r="E41" s="347">
        <f t="shared" si="64"/>
        <v>1.3603000000000001</v>
      </c>
      <c r="F41" s="58"/>
      <c r="G41" s="58">
        <f t="shared" si="65"/>
        <v>0</v>
      </c>
      <c r="H41" s="58">
        <f t="shared" si="53"/>
        <v>85.154200000000003</v>
      </c>
      <c r="I41" s="58">
        <f t="shared" si="54"/>
        <v>85.154200000000003</v>
      </c>
      <c r="J41" s="58">
        <f t="shared" si="55"/>
        <v>28.0107</v>
      </c>
      <c r="K41" s="51">
        <f t="shared" si="56"/>
        <v>28.0107</v>
      </c>
      <c r="L41" s="350">
        <f t="shared" si="66"/>
        <v>108.6</v>
      </c>
      <c r="M41" s="353">
        <f t="shared" si="67"/>
        <v>1582</v>
      </c>
      <c r="N41" s="58">
        <f t="shared" si="68"/>
        <v>3</v>
      </c>
      <c r="O41" s="58"/>
      <c r="P41" s="58">
        <f t="shared" si="69"/>
        <v>0</v>
      </c>
      <c r="Q41" s="58">
        <f t="shared" si="70"/>
        <v>158</v>
      </c>
      <c r="R41" s="58">
        <f t="shared" si="71"/>
        <v>158</v>
      </c>
      <c r="S41" s="58">
        <f t="shared" si="72"/>
        <v>156</v>
      </c>
      <c r="T41" s="58">
        <f t="shared" si="73"/>
        <v>156</v>
      </c>
      <c r="U41" s="347">
        <f t="shared" si="63"/>
        <v>711</v>
      </c>
      <c r="V41" s="56"/>
      <c r="W41" s="105"/>
      <c r="X41" s="58"/>
      <c r="Y41" s="58"/>
      <c r="Z41" s="58"/>
      <c r="AA41" s="58"/>
      <c r="AB41" s="58"/>
      <c r="AC41" s="58"/>
      <c r="AD41" s="58"/>
      <c r="AE41" s="138"/>
      <c r="AF41" s="55"/>
      <c r="AG41" s="57">
        <f t="shared" si="74"/>
        <v>12000</v>
      </c>
      <c r="AH41" s="58">
        <v>537.01930000000004</v>
      </c>
      <c r="AI41" s="58">
        <v>2.1793999999999998</v>
      </c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>
        <v>1.3603000000000001</v>
      </c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>
        <v>85.154200000000003</v>
      </c>
      <c r="BP41" s="58"/>
      <c r="BQ41" s="58"/>
      <c r="BR41" s="58">
        <f t="shared" ref="BR41:BR43" si="89">BO41</f>
        <v>85.154200000000003</v>
      </c>
      <c r="BS41" s="58"/>
      <c r="BT41" s="58"/>
      <c r="BU41" s="58">
        <v>28.0107</v>
      </c>
      <c r="BV41" s="58"/>
      <c r="BW41" s="58"/>
      <c r="BX41" s="58">
        <f t="shared" si="82"/>
        <v>28.0107</v>
      </c>
      <c r="BY41" s="58"/>
      <c r="BZ41" s="58"/>
      <c r="CA41" s="58"/>
      <c r="CB41" s="263">
        <f>100.6+8</f>
        <v>108.6</v>
      </c>
      <c r="CC41" s="1">
        <f t="shared" si="58"/>
        <v>12000</v>
      </c>
    </row>
    <row r="42" spans="1:81" s="3" customFormat="1" ht="15.75" thickBot="1" x14ac:dyDescent="0.3">
      <c r="A42" s="518"/>
      <c r="B42" s="213"/>
      <c r="C42" s="212">
        <v>12050</v>
      </c>
      <c r="D42" s="348">
        <f t="shared" si="59"/>
        <v>216.60770000000002</v>
      </c>
      <c r="E42" s="348">
        <f t="shared" si="64"/>
        <v>3.1132</v>
      </c>
      <c r="F42" s="144"/>
      <c r="G42" s="144">
        <f t="shared" si="65"/>
        <v>0</v>
      </c>
      <c r="H42" s="144">
        <f t="shared" si="53"/>
        <v>122.4761</v>
      </c>
      <c r="I42" s="144">
        <f>SUM(BR42:BT42)</f>
        <v>122.4761</v>
      </c>
      <c r="J42" s="144">
        <f t="shared" si="55"/>
        <v>40.742600000000003</v>
      </c>
      <c r="K42" s="159">
        <f t="shared" si="56"/>
        <v>40.742600000000003</v>
      </c>
      <c r="L42" s="351">
        <f t="shared" si="66"/>
        <v>77.099999999999994</v>
      </c>
      <c r="M42" s="354">
        <f t="shared" si="67"/>
        <v>700</v>
      </c>
      <c r="N42" s="144">
        <f t="shared" si="68"/>
        <v>5</v>
      </c>
      <c r="O42" s="144"/>
      <c r="P42" s="144">
        <f t="shared" si="69"/>
        <v>0</v>
      </c>
      <c r="Q42" s="144">
        <f t="shared" si="70"/>
        <v>193</v>
      </c>
      <c r="R42" s="144">
        <f t="shared" si="71"/>
        <v>193</v>
      </c>
      <c r="S42" s="144">
        <f t="shared" si="72"/>
        <v>191</v>
      </c>
      <c r="T42" s="144">
        <f t="shared" si="73"/>
        <v>191</v>
      </c>
      <c r="U42" s="348">
        <f t="shared" si="63"/>
        <v>516</v>
      </c>
      <c r="V42" s="154"/>
      <c r="W42" s="255">
        <f>M39+M40+M41+M42</f>
        <v>6979</v>
      </c>
      <c r="X42" s="255">
        <f>N39+N40+N41+N42</f>
        <v>10</v>
      </c>
      <c r="Y42" s="255"/>
      <c r="Z42" s="255">
        <f t="shared" ref="Z42" si="90">P39+P40+P41+P42</f>
        <v>0</v>
      </c>
      <c r="AA42" s="255">
        <f t="shared" ref="AA42" si="91">Q39+Q40+Q41+Q42</f>
        <v>669</v>
      </c>
      <c r="AB42" s="255">
        <f t="shared" ref="AB42" si="92">R39+R40+R41+R42</f>
        <v>669</v>
      </c>
      <c r="AC42" s="255">
        <f t="shared" ref="AC42" si="93">S39+S40+S41+S42</f>
        <v>659</v>
      </c>
      <c r="AD42" s="255">
        <f t="shared" ref="AD42" si="94">T39+T40+T41+T42</f>
        <v>659</v>
      </c>
      <c r="AE42" s="255">
        <f t="shared" ref="AE42" si="95">U39+U40+U41+U42</f>
        <v>2736</v>
      </c>
      <c r="AF42" s="153"/>
      <c r="AG42" s="158">
        <f t="shared" si="74"/>
        <v>12050</v>
      </c>
      <c r="AH42" s="144">
        <v>186.22290000000001</v>
      </c>
      <c r="AI42" s="144">
        <v>30.384799999999998</v>
      </c>
      <c r="AJ42" s="144"/>
      <c r="AK42" s="144"/>
      <c r="AL42" s="144"/>
      <c r="AM42" s="144"/>
      <c r="AN42" s="144"/>
      <c r="AO42" s="144"/>
      <c r="AP42" s="144"/>
      <c r="AQ42" s="144"/>
      <c r="AR42" s="144"/>
      <c r="AS42" s="144"/>
      <c r="AT42" s="144"/>
      <c r="AU42" s="144"/>
      <c r="AV42" s="144"/>
      <c r="AW42" s="144"/>
      <c r="AX42" s="144"/>
      <c r="AY42" s="144">
        <v>3.1132</v>
      </c>
      <c r="AZ42" s="144"/>
      <c r="BA42" s="144"/>
      <c r="BB42" s="144"/>
      <c r="BC42" s="144"/>
      <c r="BD42" s="144"/>
      <c r="BE42" s="144"/>
      <c r="BF42" s="144"/>
      <c r="BG42" s="144"/>
      <c r="BH42" s="144"/>
      <c r="BI42" s="144"/>
      <c r="BJ42" s="144"/>
      <c r="BK42" s="144"/>
      <c r="BL42" s="144"/>
      <c r="BM42" s="144"/>
      <c r="BN42" s="144"/>
      <c r="BO42" s="144">
        <v>122.4761</v>
      </c>
      <c r="BP42" s="144"/>
      <c r="BQ42" s="144"/>
      <c r="BR42" s="144">
        <f t="shared" si="89"/>
        <v>122.4761</v>
      </c>
      <c r="BS42" s="144"/>
      <c r="BT42" s="144"/>
      <c r="BU42" s="144">
        <v>40.742600000000003</v>
      </c>
      <c r="BV42" s="144"/>
      <c r="BW42" s="144"/>
      <c r="BX42" s="144">
        <f t="shared" si="82"/>
        <v>40.742600000000003</v>
      </c>
      <c r="BY42" s="144"/>
      <c r="BZ42" s="144"/>
      <c r="CA42" s="144"/>
      <c r="CB42" s="265">
        <f>73.1+4</f>
        <v>77.099999999999994</v>
      </c>
      <c r="CC42" s="1">
        <f t="shared" si="58"/>
        <v>12050</v>
      </c>
    </row>
    <row r="43" spans="1:81" ht="15.75" thickBot="1" x14ac:dyDescent="0.3">
      <c r="A43" s="518"/>
      <c r="B43" s="126"/>
      <c r="C43" s="210">
        <v>12082.54</v>
      </c>
      <c r="D43" s="349">
        <f t="shared" si="59"/>
        <v>12.4154</v>
      </c>
      <c r="E43" s="349">
        <f t="shared" si="64"/>
        <v>3.1E-2</v>
      </c>
      <c r="F43" s="147"/>
      <c r="G43" s="147">
        <f t="shared" si="65"/>
        <v>0</v>
      </c>
      <c r="H43" s="147">
        <f t="shared" si="53"/>
        <v>107.9258</v>
      </c>
      <c r="I43" s="147">
        <f t="shared" si="54"/>
        <v>107.9258</v>
      </c>
      <c r="J43" s="147">
        <f t="shared" si="55"/>
        <v>35.74</v>
      </c>
      <c r="K43" s="156">
        <f t="shared" si="56"/>
        <v>35.74</v>
      </c>
      <c r="L43" s="352">
        <f t="shared" si="66"/>
        <v>6.6</v>
      </c>
      <c r="M43" s="355">
        <f t="shared" si="67"/>
        <v>139</v>
      </c>
      <c r="N43" s="147">
        <f t="shared" si="68"/>
        <v>2</v>
      </c>
      <c r="O43" s="147"/>
      <c r="P43" s="147">
        <f t="shared" si="69"/>
        <v>0</v>
      </c>
      <c r="Q43" s="147">
        <f t="shared" si="70"/>
        <v>139</v>
      </c>
      <c r="R43" s="147">
        <f t="shared" si="71"/>
        <v>139</v>
      </c>
      <c r="S43" s="147">
        <f t="shared" si="72"/>
        <v>139</v>
      </c>
      <c r="T43" s="147">
        <f t="shared" si="73"/>
        <v>139</v>
      </c>
      <c r="U43" s="349">
        <f t="shared" si="63"/>
        <v>152</v>
      </c>
      <c r="V43" s="56"/>
      <c r="W43" s="255">
        <f>M43</f>
        <v>139</v>
      </c>
      <c r="X43" s="255">
        <f>N43</f>
        <v>2</v>
      </c>
      <c r="Y43" s="255"/>
      <c r="Z43" s="255">
        <f t="shared" ref="Z43:AE43" si="96">P43</f>
        <v>0</v>
      </c>
      <c r="AA43" s="255">
        <f t="shared" si="96"/>
        <v>139</v>
      </c>
      <c r="AB43" s="255">
        <f t="shared" si="96"/>
        <v>139</v>
      </c>
      <c r="AC43" s="255">
        <f t="shared" si="96"/>
        <v>139</v>
      </c>
      <c r="AD43" s="255">
        <f t="shared" si="96"/>
        <v>139</v>
      </c>
      <c r="AE43" s="255">
        <f t="shared" si="96"/>
        <v>152</v>
      </c>
      <c r="AF43" s="55"/>
      <c r="AG43" s="155">
        <f t="shared" si="74"/>
        <v>12082.54</v>
      </c>
      <c r="AH43" s="147">
        <v>12.4154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>
        <v>3.1E-2</v>
      </c>
      <c r="AZ43" s="147"/>
      <c r="BA43" s="147"/>
      <c r="BB43" s="147"/>
      <c r="BC43" s="147"/>
      <c r="BD43" s="147"/>
      <c r="BE43" s="147"/>
      <c r="BF43" s="147"/>
      <c r="BG43" s="147"/>
      <c r="BH43" s="147"/>
      <c r="BI43" s="147"/>
      <c r="BJ43" s="147"/>
      <c r="BK43" s="147"/>
      <c r="BL43" s="147"/>
      <c r="BM43" s="147"/>
      <c r="BN43" s="147"/>
      <c r="BO43" s="147">
        <v>107.9258</v>
      </c>
      <c r="BP43" s="147"/>
      <c r="BQ43" s="147"/>
      <c r="BR43" s="58">
        <f t="shared" si="89"/>
        <v>107.9258</v>
      </c>
      <c r="BS43" s="147"/>
      <c r="BT43" s="147"/>
      <c r="BU43" s="147">
        <v>35.74</v>
      </c>
      <c r="BV43" s="147"/>
      <c r="BW43" s="147"/>
      <c r="BX43" s="147">
        <f t="shared" si="82"/>
        <v>35.74</v>
      </c>
      <c r="BY43" s="147"/>
      <c r="BZ43" s="147"/>
      <c r="CA43" s="147"/>
      <c r="CB43" s="266">
        <f>2.6+4</f>
        <v>6.6</v>
      </c>
      <c r="CC43" s="1">
        <f t="shared" si="58"/>
        <v>12082.54</v>
      </c>
    </row>
    <row r="44" spans="1:81" x14ac:dyDescent="0.25">
      <c r="A44" s="518"/>
      <c r="B44" s="126"/>
      <c r="AE44" s="208"/>
      <c r="CC44" s="1"/>
    </row>
    <row r="45" spans="1:81" ht="21" x14ac:dyDescent="0.35">
      <c r="A45" s="518"/>
      <c r="B45" s="126"/>
      <c r="M45" s="385">
        <f>SUM(M31:M43)</f>
        <v>14984</v>
      </c>
      <c r="N45" s="120">
        <f t="shared" ref="N45:U45" si="97">SUM(N31:N43)</f>
        <v>52</v>
      </c>
      <c r="O45" s="120"/>
      <c r="P45" s="120">
        <f t="shared" si="97"/>
        <v>0</v>
      </c>
      <c r="Q45" s="120">
        <f t="shared" si="97"/>
        <v>1206</v>
      </c>
      <c r="R45" s="120">
        <f t="shared" si="97"/>
        <v>1206</v>
      </c>
      <c r="S45" s="120">
        <f t="shared" si="97"/>
        <v>1188</v>
      </c>
      <c r="T45" s="120">
        <f t="shared" si="97"/>
        <v>1188</v>
      </c>
      <c r="U45" s="385">
        <f t="shared" si="97"/>
        <v>6501</v>
      </c>
      <c r="W45" s="120">
        <f>SUM(W31:W43)</f>
        <v>14984</v>
      </c>
      <c r="X45" s="120">
        <f t="shared" ref="X45:AE45" si="98">SUM(X31:X43)</f>
        <v>52</v>
      </c>
      <c r="Y45" s="120"/>
      <c r="Z45" s="120">
        <f t="shared" si="98"/>
        <v>0</v>
      </c>
      <c r="AA45" s="120">
        <f t="shared" si="98"/>
        <v>1206</v>
      </c>
      <c r="AB45" s="120">
        <f t="shared" si="98"/>
        <v>1206</v>
      </c>
      <c r="AC45" s="120">
        <f t="shared" si="98"/>
        <v>1188</v>
      </c>
      <c r="AD45" s="120">
        <f t="shared" si="98"/>
        <v>1188</v>
      </c>
      <c r="AE45" s="209">
        <f t="shared" si="98"/>
        <v>6501</v>
      </c>
      <c r="CC45" s="1"/>
    </row>
    <row r="46" spans="1:81" x14ac:dyDescent="0.25">
      <c r="AE46" s="208"/>
    </row>
    <row r="47" spans="1:81" x14ac:dyDescent="0.25">
      <c r="AE47" s="208"/>
    </row>
    <row r="48" spans="1:81" x14ac:dyDescent="0.25">
      <c r="AE48" s="208"/>
    </row>
    <row r="49" spans="1:113" s="2" customFormat="1" x14ac:dyDescent="0.25">
      <c r="A49" s="518" t="s">
        <v>57</v>
      </c>
      <c r="B49" s="126"/>
      <c r="C49" s="121">
        <v>37363.81</v>
      </c>
      <c r="D49" s="347">
        <f>SUM(AH49:AX49)</f>
        <v>0</v>
      </c>
      <c r="E49" s="347">
        <f>SUM(AY49:BG49)</f>
        <v>5521.0316999999995</v>
      </c>
      <c r="F49" s="58"/>
      <c r="G49" s="58">
        <f>SUM(BL49:BN49)</f>
        <v>0</v>
      </c>
      <c r="H49" s="58">
        <f t="shared" ref="H49:H62" si="99">SUM(BO49:BQ49)</f>
        <v>0</v>
      </c>
      <c r="I49" s="58">
        <f t="shared" ref="I49:I62" si="100">SUM(BR49:BT49)</f>
        <v>0</v>
      </c>
      <c r="J49" s="58">
        <f t="shared" ref="J49:J62" si="101">SUM(BU49:BV49)</f>
        <v>0</v>
      </c>
      <c r="K49" s="51">
        <f t="shared" ref="K49:K62" si="102">BW49+BX49</f>
        <v>0</v>
      </c>
      <c r="L49" s="350">
        <f>SUM(BY49:CB49)</f>
        <v>153.5</v>
      </c>
      <c r="M49" s="353"/>
      <c r="N49" s="58"/>
      <c r="O49" s="58"/>
      <c r="P49" s="58"/>
      <c r="Q49" s="58"/>
      <c r="R49" s="58"/>
      <c r="S49" s="58"/>
      <c r="T49" s="58"/>
      <c r="U49" s="347"/>
      <c r="V49" s="56"/>
      <c r="W49" s="105"/>
      <c r="X49" s="58"/>
      <c r="Y49" s="58"/>
      <c r="Z49" s="58"/>
      <c r="AA49" s="58"/>
      <c r="AB49" s="58"/>
      <c r="AC49" s="58"/>
      <c r="AD49" s="58"/>
      <c r="AE49" s="138"/>
      <c r="AF49" s="55"/>
      <c r="AG49" s="57">
        <f t="shared" ref="AG49:AG62" si="103">C49</f>
        <v>37363.81</v>
      </c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>
        <v>5521.0316999999995</v>
      </c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L49" s="58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8"/>
      <c r="CA49" s="58"/>
      <c r="CB49" s="263">
        <f>149.5+4</f>
        <v>153.5</v>
      </c>
      <c r="CC49" s="1">
        <f t="shared" ref="CC49:CC62" si="104">C49</f>
        <v>37363.81</v>
      </c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 s="41"/>
    </row>
    <row r="50" spans="1:113" s="3" customFormat="1" ht="15.75" thickBot="1" x14ac:dyDescent="0.3">
      <c r="A50" s="518"/>
      <c r="B50" s="213"/>
      <c r="C50" s="212">
        <v>37400</v>
      </c>
      <c r="D50" s="348">
        <f t="shared" ref="D50:D62" si="105">SUM(AH50:AX50)</f>
        <v>0</v>
      </c>
      <c r="E50" s="348">
        <f t="shared" ref="E50:E62" si="106">SUM(AY50:BG50)</f>
        <v>6518.6866</v>
      </c>
      <c r="F50" s="144"/>
      <c r="G50" s="144">
        <f t="shared" ref="G50:G62" si="107">SUM(BL50:BN50)</f>
        <v>0</v>
      </c>
      <c r="H50" s="144">
        <f t="shared" si="99"/>
        <v>0</v>
      </c>
      <c r="I50" s="144">
        <f t="shared" si="100"/>
        <v>0</v>
      </c>
      <c r="J50" s="144">
        <f t="shared" si="101"/>
        <v>0</v>
      </c>
      <c r="K50" s="159">
        <f t="shared" si="102"/>
        <v>0</v>
      </c>
      <c r="L50" s="351">
        <f t="shared" ref="L50:L62" si="108">SUM(BY50:CB50)</f>
        <v>165.3</v>
      </c>
      <c r="M50" s="354">
        <f>ROUNDUP(((D49+D50)*0.5)*(C50-C49)/27,0)</f>
        <v>0</v>
      </c>
      <c r="N50" s="144">
        <f>ROUNDUP(((E49+E50)*0.5)*(C50-C49)/27,0)</f>
        <v>8069</v>
      </c>
      <c r="O50" s="144"/>
      <c r="P50" s="144">
        <f>ROUNDUP(((G49+G50)*0.5)*(C50-C49)/27,0)</f>
        <v>0</v>
      </c>
      <c r="Q50" s="144">
        <f>ROUNDUP(((H50+H49)*0.5)*(C50-C49)/27,0)</f>
        <v>0</v>
      </c>
      <c r="R50" s="144">
        <f>ROUNDUP(((I50+I49)*0.5)*(C50-C49)/27,0)</f>
        <v>0</v>
      </c>
      <c r="S50" s="144">
        <f>ROUNDUP(((J50+J49)*0.5)*(C50-C49)/9,0)</f>
        <v>0</v>
      </c>
      <c r="T50" s="144">
        <f>ROUNDUP(((K50+K49)*0.5)*(C50-C49)/9,0)</f>
        <v>0</v>
      </c>
      <c r="U50" s="348">
        <f t="shared" ref="U50:U62" si="109">ROUNDUP(((L50+L49)*0.5)*(C50-C49)/9,0)</f>
        <v>641</v>
      </c>
      <c r="V50" s="154"/>
      <c r="W50" s="255">
        <f>M49+M50</f>
        <v>0</v>
      </c>
      <c r="X50" s="255">
        <f>N49+N50</f>
        <v>8069</v>
      </c>
      <c r="Y50" s="255"/>
      <c r="Z50" s="255">
        <f t="shared" ref="Z50:AE50" si="110">P49+P50</f>
        <v>0</v>
      </c>
      <c r="AA50" s="255">
        <f t="shared" si="110"/>
        <v>0</v>
      </c>
      <c r="AB50" s="255">
        <f t="shared" si="110"/>
        <v>0</v>
      </c>
      <c r="AC50" s="255">
        <f t="shared" si="110"/>
        <v>0</v>
      </c>
      <c r="AD50" s="255">
        <f t="shared" si="110"/>
        <v>0</v>
      </c>
      <c r="AE50" s="255">
        <f t="shared" si="110"/>
        <v>641</v>
      </c>
      <c r="AF50" s="153"/>
      <c r="AG50" s="158">
        <f t="shared" si="103"/>
        <v>37400</v>
      </c>
      <c r="AH50" s="144"/>
      <c r="AI50" s="144"/>
      <c r="AJ50" s="144"/>
      <c r="AK50" s="144"/>
      <c r="AL50" s="144"/>
      <c r="AM50" s="144"/>
      <c r="AN50" s="144"/>
      <c r="AO50" s="144"/>
      <c r="AP50" s="144"/>
      <c r="AQ50" s="144"/>
      <c r="AR50" s="144"/>
      <c r="AS50" s="144"/>
      <c r="AT50" s="144"/>
      <c r="AU50" s="144"/>
      <c r="AV50" s="144"/>
      <c r="AW50" s="144"/>
      <c r="AX50" s="144"/>
      <c r="AY50" s="144">
        <v>6518.6866</v>
      </c>
      <c r="AZ50" s="144"/>
      <c r="BA50" s="144"/>
      <c r="BB50" s="144"/>
      <c r="BC50" s="144"/>
      <c r="BD50" s="144"/>
      <c r="BE50" s="144"/>
      <c r="BF50" s="144"/>
      <c r="BG50" s="144"/>
      <c r="BH50" s="144"/>
      <c r="BI50" s="144"/>
      <c r="BJ50" s="144"/>
      <c r="BK50" s="144"/>
      <c r="BL50" s="144"/>
      <c r="BM50" s="144"/>
      <c r="BN50" s="144"/>
      <c r="BO50" s="144"/>
      <c r="BP50" s="144"/>
      <c r="BQ50" s="144"/>
      <c r="BR50" s="144"/>
      <c r="BS50" s="144"/>
      <c r="BT50" s="144"/>
      <c r="BU50" s="144"/>
      <c r="BV50" s="144"/>
      <c r="BW50" s="144"/>
      <c r="BX50" s="144"/>
      <c r="BY50" s="144"/>
      <c r="BZ50" s="144"/>
      <c r="CA50" s="144"/>
      <c r="CB50" s="265">
        <f>161.3+4</f>
        <v>165.3</v>
      </c>
      <c r="CC50" s="1">
        <f t="shared" si="104"/>
        <v>37400</v>
      </c>
      <c r="CD50"/>
      <c r="CE50"/>
    </row>
    <row r="51" spans="1:113" x14ac:dyDescent="0.25">
      <c r="A51" s="518"/>
      <c r="B51" s="126"/>
      <c r="C51" s="210">
        <v>37450</v>
      </c>
      <c r="D51" s="349">
        <f t="shared" si="105"/>
        <v>0</v>
      </c>
      <c r="E51" s="349">
        <f t="shared" si="106"/>
        <v>7911.4835999999996</v>
      </c>
      <c r="F51" s="147"/>
      <c r="G51" s="147">
        <f t="shared" si="107"/>
        <v>0</v>
      </c>
      <c r="H51" s="147">
        <f t="shared" si="99"/>
        <v>0</v>
      </c>
      <c r="I51" s="147">
        <f t="shared" si="100"/>
        <v>0</v>
      </c>
      <c r="J51" s="147">
        <f t="shared" si="101"/>
        <v>0</v>
      </c>
      <c r="K51" s="156">
        <f t="shared" si="102"/>
        <v>0</v>
      </c>
      <c r="L51" s="352">
        <f t="shared" si="108"/>
        <v>181.8</v>
      </c>
      <c r="M51" s="355">
        <f t="shared" ref="M51:M54" si="111">ROUNDUP(((D50+D51)*0.5)*(C51-C50)/27,0)</f>
        <v>0</v>
      </c>
      <c r="N51" s="147">
        <f t="shared" ref="N51:N62" si="112">ROUNDUP(((E50+E51)*0.5)*(C51-C50)/27,0)</f>
        <v>13362</v>
      </c>
      <c r="O51" s="147"/>
      <c r="P51" s="147">
        <f t="shared" ref="P51:P62" si="113">ROUNDUP(((G50+G51)*0.5)*(C51-C50)/27,0)</f>
        <v>0</v>
      </c>
      <c r="Q51" s="147">
        <f t="shared" ref="Q51:Q62" si="114">ROUNDUP(((H51+H50)*0.5)*(C51-C50)/27,0)</f>
        <v>0</v>
      </c>
      <c r="R51" s="147">
        <f t="shared" ref="R51:R62" si="115">ROUNDUP(((I51+I50)*0.5)*(C51-C50)/27,0)</f>
        <v>0</v>
      </c>
      <c r="S51" s="147">
        <f t="shared" ref="S51:S62" si="116">ROUNDUP(((J51+J50)*0.5)*(C51-C50)/9,0)</f>
        <v>0</v>
      </c>
      <c r="T51" s="147">
        <f t="shared" ref="T51:T62" si="117">ROUNDUP(((K51+K50)*0.5)*(C51-C50)/9,0)</f>
        <v>0</v>
      </c>
      <c r="U51" s="349">
        <f t="shared" si="109"/>
        <v>965</v>
      </c>
      <c r="V51" s="56"/>
      <c r="W51" s="151"/>
      <c r="X51" s="147"/>
      <c r="Y51" s="147"/>
      <c r="Z51" s="147"/>
      <c r="AA51" s="147"/>
      <c r="AB51" s="147"/>
      <c r="AC51" s="147"/>
      <c r="AD51" s="147"/>
      <c r="AE51" s="148"/>
      <c r="AF51" s="55"/>
      <c r="AG51" s="155">
        <f t="shared" si="103"/>
        <v>37450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>
        <v>7911.4835999999996</v>
      </c>
      <c r="AZ51" s="147"/>
      <c r="BA51" s="147"/>
      <c r="BB51" s="147"/>
      <c r="BC51" s="147"/>
      <c r="BD51" s="147"/>
      <c r="BE51" s="147"/>
      <c r="BF51" s="147"/>
      <c r="BG51" s="147"/>
      <c r="BH51" s="147"/>
      <c r="BI51" s="147"/>
      <c r="BJ51" s="147"/>
      <c r="BK51" s="147"/>
      <c r="BL51" s="147"/>
      <c r="BM51" s="147"/>
      <c r="BN51" s="147"/>
      <c r="BO51" s="147"/>
      <c r="BP51" s="147"/>
      <c r="BQ51" s="147"/>
      <c r="BR51" s="147"/>
      <c r="BS51" s="147"/>
      <c r="BT51" s="147"/>
      <c r="BU51" s="147"/>
      <c r="BV51" s="147"/>
      <c r="BW51" s="147"/>
      <c r="BX51" s="147"/>
      <c r="BY51" s="147"/>
      <c r="BZ51" s="147"/>
      <c r="CA51" s="147"/>
      <c r="CB51" s="266">
        <f>177.8+4</f>
        <v>181.8</v>
      </c>
      <c r="CC51" s="1">
        <f t="shared" si="104"/>
        <v>37450</v>
      </c>
    </row>
    <row r="52" spans="1:113" s="3" customFormat="1" ht="15.75" thickBot="1" x14ac:dyDescent="0.3">
      <c r="A52" s="518"/>
      <c r="B52" s="213"/>
      <c r="C52" s="212">
        <v>37500</v>
      </c>
      <c r="D52" s="348">
        <f t="shared" si="105"/>
        <v>0</v>
      </c>
      <c r="E52" s="348">
        <f t="shared" si="106"/>
        <v>8760.7034000000003</v>
      </c>
      <c r="F52" s="144"/>
      <c r="G52" s="144">
        <f t="shared" si="107"/>
        <v>0</v>
      </c>
      <c r="H52" s="144">
        <f t="shared" si="99"/>
        <v>0</v>
      </c>
      <c r="I52" s="144">
        <f t="shared" si="100"/>
        <v>0</v>
      </c>
      <c r="J52" s="144">
        <f t="shared" si="101"/>
        <v>0</v>
      </c>
      <c r="K52" s="159">
        <f t="shared" si="102"/>
        <v>0</v>
      </c>
      <c r="L52" s="351">
        <f t="shared" si="108"/>
        <v>189.8</v>
      </c>
      <c r="M52" s="354">
        <f t="shared" si="111"/>
        <v>0</v>
      </c>
      <c r="N52" s="144">
        <f t="shared" si="112"/>
        <v>15438</v>
      </c>
      <c r="O52" s="144"/>
      <c r="P52" s="144">
        <f t="shared" si="113"/>
        <v>0</v>
      </c>
      <c r="Q52" s="144">
        <f t="shared" si="114"/>
        <v>0</v>
      </c>
      <c r="R52" s="144">
        <f t="shared" si="115"/>
        <v>0</v>
      </c>
      <c r="S52" s="144">
        <f t="shared" si="116"/>
        <v>0</v>
      </c>
      <c r="T52" s="144">
        <f t="shared" si="117"/>
        <v>0</v>
      </c>
      <c r="U52" s="348">
        <f t="shared" si="109"/>
        <v>1033</v>
      </c>
      <c r="V52" s="154"/>
      <c r="W52" s="255">
        <f>M51+M52</f>
        <v>0</v>
      </c>
      <c r="X52" s="255">
        <f t="shared" ref="X52" si="118">N51+N52</f>
        <v>28800</v>
      </c>
      <c r="Y52" s="255"/>
      <c r="Z52" s="255">
        <f t="shared" ref="Z52" si="119">P51+P52</f>
        <v>0</v>
      </c>
      <c r="AA52" s="255">
        <f t="shared" ref="AA52" si="120">Q51+Q52</f>
        <v>0</v>
      </c>
      <c r="AB52" s="255">
        <f t="shared" ref="AB52" si="121">R51+R52</f>
        <v>0</v>
      </c>
      <c r="AC52" s="255">
        <f t="shared" ref="AC52" si="122">S51+S52</f>
        <v>0</v>
      </c>
      <c r="AD52" s="255">
        <f t="shared" ref="AD52" si="123">T51+T52</f>
        <v>0</v>
      </c>
      <c r="AE52" s="255">
        <f t="shared" ref="AE52" si="124">U51+U52</f>
        <v>1998</v>
      </c>
      <c r="AF52" s="153"/>
      <c r="AG52" s="158">
        <f t="shared" si="103"/>
        <v>37500</v>
      </c>
      <c r="AH52" s="144"/>
      <c r="AI52" s="144"/>
      <c r="AJ52" s="144"/>
      <c r="AK52" s="144"/>
      <c r="AL52" s="144"/>
      <c r="AM52" s="144"/>
      <c r="AN52" s="144"/>
      <c r="AO52" s="144"/>
      <c r="AP52" s="144"/>
      <c r="AQ52" s="144"/>
      <c r="AR52" s="144"/>
      <c r="AS52" s="144"/>
      <c r="AT52" s="144"/>
      <c r="AU52" s="144"/>
      <c r="AV52" s="144"/>
      <c r="AW52" s="144"/>
      <c r="AX52" s="144"/>
      <c r="AY52" s="144">
        <v>8760.7034000000003</v>
      </c>
      <c r="AZ52" s="144"/>
      <c r="BA52" s="144"/>
      <c r="BB52" s="144"/>
      <c r="BC52" s="144"/>
      <c r="BD52" s="144"/>
      <c r="BE52" s="144"/>
      <c r="BF52" s="144"/>
      <c r="BG52" s="144"/>
      <c r="BH52" s="144"/>
      <c r="BI52" s="144"/>
      <c r="BJ52" s="144"/>
      <c r="BK52" s="144"/>
      <c r="BL52" s="144"/>
      <c r="BM52" s="144"/>
      <c r="BN52" s="144"/>
      <c r="BO52" s="144"/>
      <c r="BP52" s="144"/>
      <c r="BQ52" s="144"/>
      <c r="BR52" s="144"/>
      <c r="BS52" s="144"/>
      <c r="BT52" s="144"/>
      <c r="BU52" s="144"/>
      <c r="BV52" s="144"/>
      <c r="BW52" s="144"/>
      <c r="BX52" s="144"/>
      <c r="BY52" s="144"/>
      <c r="BZ52" s="144"/>
      <c r="CA52" s="144"/>
      <c r="CB52" s="265">
        <f>185.8+4</f>
        <v>189.8</v>
      </c>
      <c r="CC52" s="1">
        <f t="shared" si="104"/>
        <v>37500</v>
      </c>
      <c r="CD52"/>
      <c r="CE52"/>
    </row>
    <row r="53" spans="1:113" x14ac:dyDescent="0.25">
      <c r="A53" s="518"/>
      <c r="B53" s="126"/>
      <c r="C53" s="210">
        <v>37550</v>
      </c>
      <c r="D53" s="349">
        <f t="shared" si="105"/>
        <v>0</v>
      </c>
      <c r="E53" s="349">
        <f t="shared" si="106"/>
        <v>10013.808499999999</v>
      </c>
      <c r="F53" s="147"/>
      <c r="G53" s="147">
        <f t="shared" si="107"/>
        <v>0</v>
      </c>
      <c r="H53" s="147">
        <f t="shared" si="99"/>
        <v>0</v>
      </c>
      <c r="I53" s="147">
        <f t="shared" si="100"/>
        <v>0</v>
      </c>
      <c r="J53" s="147">
        <f t="shared" si="101"/>
        <v>0</v>
      </c>
      <c r="K53" s="156">
        <f t="shared" si="102"/>
        <v>0</v>
      </c>
      <c r="L53" s="352">
        <f t="shared" si="108"/>
        <v>216.4</v>
      </c>
      <c r="M53" s="355">
        <f t="shared" si="111"/>
        <v>0</v>
      </c>
      <c r="N53" s="147">
        <f t="shared" si="112"/>
        <v>17384</v>
      </c>
      <c r="O53" s="147"/>
      <c r="P53" s="147">
        <f t="shared" si="113"/>
        <v>0</v>
      </c>
      <c r="Q53" s="147">
        <f t="shared" si="114"/>
        <v>0</v>
      </c>
      <c r="R53" s="147">
        <f t="shared" si="115"/>
        <v>0</v>
      </c>
      <c r="S53" s="147">
        <f t="shared" si="116"/>
        <v>0</v>
      </c>
      <c r="T53" s="147">
        <f t="shared" si="117"/>
        <v>0</v>
      </c>
      <c r="U53" s="349">
        <f t="shared" si="109"/>
        <v>1129</v>
      </c>
      <c r="V53" s="56"/>
      <c r="W53" s="151"/>
      <c r="X53" s="147"/>
      <c r="Y53" s="147"/>
      <c r="Z53" s="147"/>
      <c r="AA53" s="147"/>
      <c r="AB53" s="147"/>
      <c r="AC53" s="147"/>
      <c r="AD53" s="147"/>
      <c r="AE53" s="148"/>
      <c r="AF53" s="55"/>
      <c r="AG53" s="155">
        <f t="shared" si="103"/>
        <v>37550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>
        <v>10013.808499999999</v>
      </c>
      <c r="AZ53" s="147"/>
      <c r="BA53" s="147"/>
      <c r="BB53" s="147"/>
      <c r="BC53" s="147"/>
      <c r="BD53" s="147"/>
      <c r="BE53" s="147"/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  <c r="BP53" s="147"/>
      <c r="BQ53" s="147"/>
      <c r="BR53" s="147"/>
      <c r="BS53" s="147"/>
      <c r="BT53" s="147"/>
      <c r="BU53" s="147"/>
      <c r="BV53" s="147"/>
      <c r="BW53" s="147"/>
      <c r="BX53" s="147"/>
      <c r="BY53" s="147"/>
      <c r="BZ53" s="147"/>
      <c r="CA53" s="147"/>
      <c r="CB53" s="266">
        <f>212.4+4</f>
        <v>216.4</v>
      </c>
      <c r="CC53" s="1">
        <f t="shared" si="104"/>
        <v>37550</v>
      </c>
    </row>
    <row r="54" spans="1:113" s="3" customFormat="1" ht="15.75" thickBot="1" x14ac:dyDescent="0.3">
      <c r="A54" s="518"/>
      <c r="B54" s="213"/>
      <c r="C54" s="212">
        <v>37600</v>
      </c>
      <c r="D54" s="348">
        <f t="shared" si="105"/>
        <v>0</v>
      </c>
      <c r="E54" s="348">
        <f t="shared" si="106"/>
        <v>11135.2153</v>
      </c>
      <c r="F54" s="144"/>
      <c r="G54" s="144">
        <f t="shared" si="107"/>
        <v>0</v>
      </c>
      <c r="H54" s="144">
        <f t="shared" si="99"/>
        <v>0</v>
      </c>
      <c r="I54" s="144">
        <f t="shared" si="100"/>
        <v>0</v>
      </c>
      <c r="J54" s="144">
        <f t="shared" si="101"/>
        <v>0</v>
      </c>
      <c r="K54" s="159">
        <f t="shared" si="102"/>
        <v>0</v>
      </c>
      <c r="L54" s="351">
        <f t="shared" si="108"/>
        <v>223.1</v>
      </c>
      <c r="M54" s="354">
        <f t="shared" si="111"/>
        <v>0</v>
      </c>
      <c r="N54" s="144">
        <f t="shared" si="112"/>
        <v>19583</v>
      </c>
      <c r="O54" s="144"/>
      <c r="P54" s="144">
        <f t="shared" si="113"/>
        <v>0</v>
      </c>
      <c r="Q54" s="144">
        <f t="shared" si="114"/>
        <v>0</v>
      </c>
      <c r="R54" s="144">
        <f t="shared" si="115"/>
        <v>0</v>
      </c>
      <c r="S54" s="144">
        <f t="shared" si="116"/>
        <v>0</v>
      </c>
      <c r="T54" s="144">
        <f t="shared" si="117"/>
        <v>0</v>
      </c>
      <c r="U54" s="348">
        <f t="shared" si="109"/>
        <v>1221</v>
      </c>
      <c r="V54" s="154"/>
      <c r="W54" s="255">
        <f>M53+M54</f>
        <v>0</v>
      </c>
      <c r="X54" s="255">
        <f t="shared" ref="X54" si="125">N53+N54</f>
        <v>36967</v>
      </c>
      <c r="Y54" s="255"/>
      <c r="Z54" s="255">
        <f t="shared" ref="Z54" si="126">P53+P54</f>
        <v>0</v>
      </c>
      <c r="AA54" s="255">
        <f t="shared" ref="AA54" si="127">Q53+Q54</f>
        <v>0</v>
      </c>
      <c r="AB54" s="255">
        <f t="shared" ref="AB54" si="128">R53+R54</f>
        <v>0</v>
      </c>
      <c r="AC54" s="255">
        <f t="shared" ref="AC54" si="129">S53+S54</f>
        <v>0</v>
      </c>
      <c r="AD54" s="255">
        <f t="shared" ref="AD54" si="130">T53+T54</f>
        <v>0</v>
      </c>
      <c r="AE54" s="255">
        <f t="shared" ref="AE54" si="131">U53+U54</f>
        <v>2350</v>
      </c>
      <c r="AF54" s="153"/>
      <c r="AG54" s="158">
        <f t="shared" si="103"/>
        <v>37600</v>
      </c>
      <c r="AH54" s="144"/>
      <c r="AI54" s="144"/>
      <c r="AJ54" s="144"/>
      <c r="AK54" s="144"/>
      <c r="AL54" s="144"/>
      <c r="AM54" s="144"/>
      <c r="AN54" s="144"/>
      <c r="AO54" s="144"/>
      <c r="AP54" s="144"/>
      <c r="AQ54" s="144"/>
      <c r="AR54" s="144"/>
      <c r="AS54" s="144"/>
      <c r="AT54" s="144"/>
      <c r="AU54" s="144"/>
      <c r="AV54" s="144"/>
      <c r="AW54" s="144"/>
      <c r="AX54" s="144"/>
      <c r="AY54" s="144">
        <v>11135.2153</v>
      </c>
      <c r="AZ54" s="144"/>
      <c r="BA54" s="144"/>
      <c r="BB54" s="144"/>
      <c r="BC54" s="144"/>
      <c r="BD54" s="144"/>
      <c r="BE54" s="144"/>
      <c r="BF54" s="144"/>
      <c r="BG54" s="144"/>
      <c r="BH54" s="144"/>
      <c r="BI54" s="144"/>
      <c r="BJ54" s="144"/>
      <c r="BK54" s="144"/>
      <c r="BL54" s="144"/>
      <c r="BM54" s="144"/>
      <c r="BN54" s="144"/>
      <c r="BO54" s="144"/>
      <c r="BP54" s="144"/>
      <c r="BQ54" s="144"/>
      <c r="BR54" s="144"/>
      <c r="BS54" s="144"/>
      <c r="BT54" s="144"/>
      <c r="BU54" s="144"/>
      <c r="BV54" s="144"/>
      <c r="BW54" s="144"/>
      <c r="BX54" s="144"/>
      <c r="BY54" s="144"/>
      <c r="BZ54" s="144"/>
      <c r="CA54" s="144"/>
      <c r="CB54" s="265">
        <f>219.1+4</f>
        <v>223.1</v>
      </c>
      <c r="CC54" s="1">
        <f t="shared" si="104"/>
        <v>37600</v>
      </c>
      <c r="CD54"/>
      <c r="CE54"/>
    </row>
    <row r="55" spans="1:113" x14ac:dyDescent="0.25">
      <c r="A55" s="518"/>
      <c r="B55" s="519" t="s">
        <v>38</v>
      </c>
      <c r="C55" s="133">
        <v>37608.86</v>
      </c>
      <c r="D55" s="361">
        <f t="shared" si="105"/>
        <v>0</v>
      </c>
      <c r="E55" s="361">
        <f t="shared" si="106"/>
        <v>11001.145399999999</v>
      </c>
      <c r="F55" s="161"/>
      <c r="G55" s="161">
        <f t="shared" si="107"/>
        <v>0</v>
      </c>
      <c r="H55" s="161">
        <f t="shared" si="99"/>
        <v>0</v>
      </c>
      <c r="I55" s="161">
        <f t="shared" si="100"/>
        <v>0</v>
      </c>
      <c r="J55" s="161">
        <f t="shared" si="101"/>
        <v>0</v>
      </c>
      <c r="K55" s="162">
        <f t="shared" si="102"/>
        <v>0</v>
      </c>
      <c r="L55" s="374">
        <f t="shared" si="108"/>
        <v>219</v>
      </c>
      <c r="M55" s="386">
        <f>ROUNDUP(((D54+D55)*0.5)*(C55-C54)/27,0)</f>
        <v>0</v>
      </c>
      <c r="N55" s="161">
        <f>ROUNDUP(((E54+E55)*0.5)*(C55-C54)/27,0)</f>
        <v>3633</v>
      </c>
      <c r="O55" s="161"/>
      <c r="P55" s="161">
        <f>ROUNDUP(((G54+G55)*0.5)*(C55-C54)/27,0)</f>
        <v>0</v>
      </c>
      <c r="Q55" s="161">
        <f>ROUNDUP(((H55+H54)*0.5)*(C55-C54)/27,0)</f>
        <v>0</v>
      </c>
      <c r="R55" s="161">
        <f>ROUNDUP(((I55+I54)*0.5)*(C55-C54)/27,0)</f>
        <v>0</v>
      </c>
      <c r="S55" s="161">
        <f>ROUNDUP(((J55+J54)*0.5)*(C55-C54)/9,0)</f>
        <v>0</v>
      </c>
      <c r="T55" s="161">
        <f>ROUNDUP(((K55+K54)*0.5)*(C55-C54)/9,0)</f>
        <v>0</v>
      </c>
      <c r="U55" s="361">
        <f>ROUNDUP(((L55+L54)*0.5)*(C55-C54)/9,0)</f>
        <v>218</v>
      </c>
      <c r="V55" s="64"/>
      <c r="W55" s="164"/>
      <c r="X55" s="161"/>
      <c r="Y55" s="161"/>
      <c r="Z55" s="161"/>
      <c r="AA55" s="161"/>
      <c r="AB55" s="161"/>
      <c r="AC55" s="161"/>
      <c r="AD55" s="161"/>
      <c r="AE55" s="166"/>
      <c r="AF55" s="63"/>
      <c r="AG55" s="131">
        <f t="shared" si="103"/>
        <v>37608.86</v>
      </c>
      <c r="AH55" s="161"/>
      <c r="AI55" s="161"/>
      <c r="AJ55" s="161"/>
      <c r="AK55" s="161"/>
      <c r="AL55" s="161"/>
      <c r="AM55" s="161"/>
      <c r="AN55" s="161"/>
      <c r="AO55" s="161"/>
      <c r="AP55" s="161"/>
      <c r="AQ55" s="161"/>
      <c r="AR55" s="161"/>
      <c r="AS55" s="161"/>
      <c r="AT55" s="161"/>
      <c r="AU55" s="161"/>
      <c r="AV55" s="161"/>
      <c r="AW55" s="161"/>
      <c r="AX55" s="161"/>
      <c r="AY55" s="161">
        <v>11001.145399999999</v>
      </c>
      <c r="AZ55" s="161"/>
      <c r="BA55" s="161"/>
      <c r="BB55" s="161"/>
      <c r="BC55" s="161"/>
      <c r="BD55" s="161"/>
      <c r="BE55" s="161"/>
      <c r="BF55" s="161"/>
      <c r="BG55" s="161"/>
      <c r="BH55" s="161"/>
      <c r="BI55" s="161"/>
      <c r="BJ55" s="161"/>
      <c r="BK55" s="161"/>
      <c r="BL55" s="161"/>
      <c r="BM55" s="161"/>
      <c r="BN55" s="161"/>
      <c r="BO55" s="161"/>
      <c r="BP55" s="161"/>
      <c r="BQ55" s="161"/>
      <c r="BR55" s="161"/>
      <c r="BS55" s="161"/>
      <c r="BT55" s="161"/>
      <c r="BU55" s="161"/>
      <c r="BV55" s="161"/>
      <c r="BW55" s="161"/>
      <c r="BX55" s="161"/>
      <c r="BY55" s="161"/>
      <c r="BZ55" s="161"/>
      <c r="CA55" s="161"/>
      <c r="CB55" s="267">
        <f>215+4</f>
        <v>219</v>
      </c>
      <c r="CC55" s="1">
        <f t="shared" si="104"/>
        <v>37608.86</v>
      </c>
    </row>
    <row r="56" spans="1:113" x14ac:dyDescent="0.25">
      <c r="A56" s="518"/>
      <c r="B56" s="520"/>
      <c r="C56" s="133">
        <v>37635</v>
      </c>
      <c r="D56" s="361"/>
      <c r="E56" s="361"/>
      <c r="F56" s="161">
        <f>SUM(BJ56:BK56)</f>
        <v>11001.145399999999</v>
      </c>
      <c r="G56" s="161"/>
      <c r="H56" s="161"/>
      <c r="I56" s="161"/>
      <c r="J56" s="161"/>
      <c r="K56" s="162"/>
      <c r="L56" s="374"/>
      <c r="M56" s="386"/>
      <c r="N56" s="161"/>
      <c r="O56" s="161">
        <f>ROUNDUP(((F56+F57)*0.5)*(C57-C56)/27,0)</f>
        <v>32393</v>
      </c>
      <c r="P56" s="161"/>
      <c r="Q56" s="161"/>
      <c r="R56" s="161"/>
      <c r="S56" s="161"/>
      <c r="T56" s="161"/>
      <c r="U56" s="361"/>
      <c r="V56" s="64"/>
      <c r="W56" s="164"/>
      <c r="X56" s="161"/>
      <c r="Y56" s="161"/>
      <c r="Z56" s="161"/>
      <c r="AA56" s="161"/>
      <c r="AB56" s="161"/>
      <c r="AC56" s="161"/>
      <c r="AD56" s="161"/>
      <c r="AE56" s="166"/>
      <c r="AF56" s="63"/>
      <c r="AG56" s="131">
        <f t="shared" si="103"/>
        <v>37635</v>
      </c>
      <c r="AH56" s="161"/>
      <c r="AI56" s="161"/>
      <c r="AJ56" s="161"/>
      <c r="AK56" s="161"/>
      <c r="AL56" s="161"/>
      <c r="AM56" s="161"/>
      <c r="AN56" s="161"/>
      <c r="AO56" s="161"/>
      <c r="AP56" s="161"/>
      <c r="AQ56" s="161"/>
      <c r="AR56" s="161"/>
      <c r="AS56" s="161"/>
      <c r="AT56" s="161"/>
      <c r="AU56" s="161"/>
      <c r="AV56" s="161"/>
      <c r="AW56" s="161"/>
      <c r="AX56" s="161"/>
      <c r="AY56" s="161"/>
      <c r="AZ56" s="161"/>
      <c r="BA56" s="161"/>
      <c r="BB56" s="161"/>
      <c r="BC56" s="161"/>
      <c r="BD56" s="161"/>
      <c r="BE56" s="161"/>
      <c r="BF56" s="161"/>
      <c r="BG56" s="161"/>
      <c r="BH56" s="161"/>
      <c r="BI56" s="161"/>
      <c r="BJ56" s="161">
        <v>11001.145399999999</v>
      </c>
      <c r="BK56" s="161"/>
      <c r="BL56" s="161"/>
      <c r="BM56" s="161"/>
      <c r="BN56" s="161"/>
      <c r="BO56" s="161"/>
      <c r="BP56" s="161"/>
      <c r="BQ56" s="161"/>
      <c r="BR56" s="161"/>
      <c r="BS56" s="161"/>
      <c r="BT56" s="161"/>
      <c r="BU56" s="161"/>
      <c r="BV56" s="161"/>
      <c r="BW56" s="161"/>
      <c r="BX56" s="161"/>
      <c r="BY56" s="161"/>
      <c r="BZ56" s="161"/>
      <c r="CA56" s="161"/>
      <c r="CB56" s="267"/>
      <c r="CC56" s="1">
        <f t="shared" si="104"/>
        <v>37635</v>
      </c>
    </row>
    <row r="57" spans="1:113" x14ac:dyDescent="0.25">
      <c r="A57" s="518"/>
      <c r="B57" s="520"/>
      <c r="C57" s="133">
        <v>37794</v>
      </c>
      <c r="D57" s="361"/>
      <c r="E57" s="361"/>
      <c r="F57" s="161">
        <f t="shared" ref="F57:F59" si="132">SUM(BJ57:BK57)</f>
        <v>0</v>
      </c>
      <c r="G57" s="161"/>
      <c r="H57" s="161"/>
      <c r="I57" s="161"/>
      <c r="J57" s="161"/>
      <c r="K57" s="162"/>
      <c r="L57" s="374"/>
      <c r="M57" s="386"/>
      <c r="N57" s="161"/>
      <c r="O57" s="161"/>
      <c r="P57" s="161"/>
      <c r="Q57" s="161"/>
      <c r="R57" s="161"/>
      <c r="S57" s="161"/>
      <c r="T57" s="161"/>
      <c r="U57" s="361"/>
      <c r="V57" s="64"/>
      <c r="W57" s="164"/>
      <c r="X57" s="161"/>
      <c r="Y57" s="161"/>
      <c r="Z57" s="161"/>
      <c r="AA57" s="161"/>
      <c r="AB57" s="161"/>
      <c r="AC57" s="161"/>
      <c r="AD57" s="161"/>
      <c r="AE57" s="166"/>
      <c r="AF57" s="63"/>
      <c r="AG57" s="131">
        <f t="shared" si="103"/>
        <v>37794</v>
      </c>
      <c r="AH57" s="161"/>
      <c r="AI57" s="161"/>
      <c r="AJ57" s="161"/>
      <c r="AK57" s="161"/>
      <c r="AL57" s="161"/>
      <c r="AM57" s="161"/>
      <c r="AN57" s="161"/>
      <c r="AO57" s="161"/>
      <c r="AP57" s="161"/>
      <c r="AQ57" s="161"/>
      <c r="AR57" s="161"/>
      <c r="AS57" s="161"/>
      <c r="AT57" s="161"/>
      <c r="AU57" s="161"/>
      <c r="AV57" s="161"/>
      <c r="AW57" s="161"/>
      <c r="AX57" s="161"/>
      <c r="AY57" s="161"/>
      <c r="AZ57" s="161"/>
      <c r="BA57" s="161"/>
      <c r="BB57" s="161"/>
      <c r="BC57" s="161"/>
      <c r="BD57" s="161"/>
      <c r="BE57" s="161"/>
      <c r="BF57" s="161"/>
      <c r="BG57" s="161"/>
      <c r="BH57" s="161"/>
      <c r="BI57" s="161"/>
      <c r="BJ57" s="161"/>
      <c r="BK57" s="161"/>
      <c r="BL57" s="161"/>
      <c r="BM57" s="161"/>
      <c r="BN57" s="161"/>
      <c r="BO57" s="161"/>
      <c r="BP57" s="161"/>
      <c r="BQ57" s="161"/>
      <c r="BR57" s="161"/>
      <c r="BS57" s="161"/>
      <c r="BT57" s="161"/>
      <c r="BU57" s="161"/>
      <c r="BV57" s="161"/>
      <c r="BW57" s="161"/>
      <c r="BX57" s="161"/>
      <c r="BY57" s="161"/>
      <c r="BZ57" s="161"/>
      <c r="CA57" s="161"/>
      <c r="CB57" s="267"/>
      <c r="CC57" s="1">
        <f t="shared" si="104"/>
        <v>37794</v>
      </c>
    </row>
    <row r="58" spans="1:113" x14ac:dyDescent="0.25">
      <c r="A58" s="518"/>
      <c r="B58" s="520"/>
      <c r="C58" s="133">
        <v>37830</v>
      </c>
      <c r="D58" s="361"/>
      <c r="E58" s="361"/>
      <c r="F58" s="161">
        <f t="shared" si="132"/>
        <v>0</v>
      </c>
      <c r="G58" s="161"/>
      <c r="H58" s="161"/>
      <c r="I58" s="161"/>
      <c r="J58" s="161"/>
      <c r="K58" s="162"/>
      <c r="L58" s="374"/>
      <c r="M58" s="386"/>
      <c r="N58" s="161"/>
      <c r="O58" s="161"/>
      <c r="P58" s="161"/>
      <c r="Q58" s="161"/>
      <c r="R58" s="161"/>
      <c r="S58" s="161"/>
      <c r="T58" s="161"/>
      <c r="U58" s="361"/>
      <c r="V58" s="64"/>
      <c r="W58" s="164"/>
      <c r="X58" s="161"/>
      <c r="Y58" s="161"/>
      <c r="Z58" s="161"/>
      <c r="AA58" s="161"/>
      <c r="AB58" s="161"/>
      <c r="AC58" s="161"/>
      <c r="AD58" s="161"/>
      <c r="AE58" s="166"/>
      <c r="AF58" s="63"/>
      <c r="AG58" s="131">
        <f t="shared" si="103"/>
        <v>37830</v>
      </c>
      <c r="AH58" s="161"/>
      <c r="AI58" s="161"/>
      <c r="AJ58" s="161"/>
      <c r="AK58" s="161"/>
      <c r="AL58" s="161"/>
      <c r="AM58" s="161"/>
      <c r="AN58" s="161"/>
      <c r="AO58" s="161"/>
      <c r="AP58" s="161"/>
      <c r="AQ58" s="161"/>
      <c r="AR58" s="161"/>
      <c r="AS58" s="161"/>
      <c r="AT58" s="161"/>
      <c r="AU58" s="161"/>
      <c r="AV58" s="161"/>
      <c r="AW58" s="161"/>
      <c r="AX58" s="161"/>
      <c r="AY58" s="161"/>
      <c r="AZ58" s="161"/>
      <c r="BA58" s="161"/>
      <c r="BB58" s="161"/>
      <c r="BC58" s="161"/>
      <c r="BD58" s="161"/>
      <c r="BE58" s="161"/>
      <c r="BF58" s="161"/>
      <c r="BG58" s="161"/>
      <c r="BH58" s="161"/>
      <c r="BI58" s="161"/>
      <c r="BJ58" s="161"/>
      <c r="BK58" s="161"/>
      <c r="BL58" s="161"/>
      <c r="BM58" s="161"/>
      <c r="BN58" s="161"/>
      <c r="BO58" s="161"/>
      <c r="BP58" s="161"/>
      <c r="BQ58" s="161"/>
      <c r="BR58" s="161"/>
      <c r="BS58" s="161"/>
      <c r="BT58" s="161"/>
      <c r="BU58" s="161"/>
      <c r="BV58" s="161"/>
      <c r="BW58" s="161"/>
      <c r="BX58" s="161"/>
      <c r="BY58" s="161"/>
      <c r="BZ58" s="161"/>
      <c r="CA58" s="161"/>
      <c r="CB58" s="267"/>
      <c r="CC58" s="1">
        <f t="shared" si="104"/>
        <v>37830</v>
      </c>
    </row>
    <row r="59" spans="1:113" x14ac:dyDescent="0.25">
      <c r="A59" s="518"/>
      <c r="B59" s="520"/>
      <c r="C59" s="133">
        <v>37975</v>
      </c>
      <c r="D59" s="361"/>
      <c r="E59" s="361"/>
      <c r="F59" s="161">
        <f t="shared" si="132"/>
        <v>6857.5613000000003</v>
      </c>
      <c r="G59" s="161"/>
      <c r="H59" s="161"/>
      <c r="I59" s="161"/>
      <c r="J59" s="161"/>
      <c r="K59" s="162"/>
      <c r="L59" s="374"/>
      <c r="M59" s="386"/>
      <c r="N59" s="161"/>
      <c r="O59" s="161">
        <f>ROUNDUP(((F58+F59)*0.5)*(C59-C58)/27,0)</f>
        <v>18414</v>
      </c>
      <c r="P59" s="161"/>
      <c r="Q59" s="161"/>
      <c r="R59" s="161"/>
      <c r="S59" s="161"/>
      <c r="T59" s="161"/>
      <c r="U59" s="361"/>
      <c r="V59" s="64"/>
      <c r="W59" s="164"/>
      <c r="X59" s="161"/>
      <c r="Y59" s="161"/>
      <c r="Z59" s="161"/>
      <c r="AA59" s="161"/>
      <c r="AB59" s="161"/>
      <c r="AC59" s="161"/>
      <c r="AD59" s="161"/>
      <c r="AE59" s="166"/>
      <c r="AF59" s="63"/>
      <c r="AG59" s="131">
        <f t="shared" si="103"/>
        <v>37975</v>
      </c>
      <c r="AH59" s="161"/>
      <c r="AI59" s="161"/>
      <c r="AJ59" s="161"/>
      <c r="AK59" s="161"/>
      <c r="AL59" s="161"/>
      <c r="AM59" s="161"/>
      <c r="AN59" s="161"/>
      <c r="AO59" s="161"/>
      <c r="AP59" s="161"/>
      <c r="AQ59" s="161"/>
      <c r="AR59" s="161"/>
      <c r="AS59" s="161"/>
      <c r="AT59" s="161"/>
      <c r="AU59" s="161"/>
      <c r="AV59" s="161"/>
      <c r="AW59" s="161"/>
      <c r="AX59" s="161"/>
      <c r="AY59" s="161"/>
      <c r="AZ59" s="161"/>
      <c r="BA59" s="161"/>
      <c r="BB59" s="161"/>
      <c r="BC59" s="161"/>
      <c r="BD59" s="161"/>
      <c r="BE59" s="161"/>
      <c r="BF59" s="161"/>
      <c r="BG59" s="161"/>
      <c r="BH59" s="161"/>
      <c r="BI59" s="161"/>
      <c r="BJ59" s="59">
        <v>6857.5613000000003</v>
      </c>
      <c r="BK59" s="161"/>
      <c r="BL59" s="161"/>
      <c r="BM59" s="161"/>
      <c r="BN59" s="161"/>
      <c r="BO59" s="161"/>
      <c r="BP59" s="161"/>
      <c r="BQ59" s="161"/>
      <c r="BR59" s="161"/>
      <c r="BS59" s="161"/>
      <c r="BT59" s="161"/>
      <c r="BU59" s="161"/>
      <c r="BV59" s="161"/>
      <c r="BW59" s="161"/>
      <c r="BX59" s="161"/>
      <c r="BY59" s="161"/>
      <c r="BZ59" s="161"/>
      <c r="CA59" s="161"/>
      <c r="CB59" s="267"/>
      <c r="CC59" s="1">
        <f t="shared" si="104"/>
        <v>37975</v>
      </c>
    </row>
    <row r="60" spans="1:113" ht="15.75" thickBot="1" x14ac:dyDescent="0.3">
      <c r="A60" s="518"/>
      <c r="B60" s="520"/>
      <c r="C60" s="293">
        <v>38000.449999999997</v>
      </c>
      <c r="D60" s="368">
        <f t="shared" si="105"/>
        <v>0</v>
      </c>
      <c r="E60" s="368">
        <f t="shared" si="106"/>
        <v>6857.5613000000003</v>
      </c>
      <c r="F60" s="302"/>
      <c r="G60" s="302">
        <f t="shared" si="107"/>
        <v>0</v>
      </c>
      <c r="H60" s="302">
        <f t="shared" si="99"/>
        <v>0</v>
      </c>
      <c r="I60" s="302">
        <f t="shared" si="100"/>
        <v>0</v>
      </c>
      <c r="J60" s="302">
        <f t="shared" si="101"/>
        <v>0</v>
      </c>
      <c r="K60" s="303">
        <f t="shared" si="102"/>
        <v>0</v>
      </c>
      <c r="L60" s="380">
        <f t="shared" si="108"/>
        <v>127.5</v>
      </c>
      <c r="M60" s="393"/>
      <c r="N60" s="302"/>
      <c r="O60" s="302"/>
      <c r="P60" s="302"/>
      <c r="Q60" s="302"/>
      <c r="R60" s="302"/>
      <c r="S60" s="302"/>
      <c r="T60" s="302"/>
      <c r="U60" s="368"/>
      <c r="V60" s="64"/>
      <c r="W60" s="435">
        <f>M55+M56+M57+M58+M59+M60</f>
        <v>0</v>
      </c>
      <c r="X60" s="435">
        <f t="shared" ref="X60:AE60" si="133">N55+N56+N57+N58+N59+N60</f>
        <v>3633</v>
      </c>
      <c r="Y60" s="435">
        <f t="shared" si="133"/>
        <v>50807</v>
      </c>
      <c r="Z60" s="435">
        <f t="shared" si="133"/>
        <v>0</v>
      </c>
      <c r="AA60" s="435">
        <f t="shared" si="133"/>
        <v>0</v>
      </c>
      <c r="AB60" s="435">
        <f t="shared" si="133"/>
        <v>0</v>
      </c>
      <c r="AC60" s="435">
        <f t="shared" si="133"/>
        <v>0</v>
      </c>
      <c r="AD60" s="435">
        <f t="shared" si="133"/>
        <v>0</v>
      </c>
      <c r="AE60" s="435">
        <f t="shared" si="133"/>
        <v>218</v>
      </c>
      <c r="AF60" s="63"/>
      <c r="AG60" s="134">
        <f t="shared" si="103"/>
        <v>38000.449999999997</v>
      </c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>
        <v>6857.5613000000003</v>
      </c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59"/>
      <c r="CA60" s="59"/>
      <c r="CB60" s="268">
        <v>127.5</v>
      </c>
      <c r="CC60" s="1">
        <f t="shared" si="104"/>
        <v>38000.449999999997</v>
      </c>
    </row>
    <row r="61" spans="1:113" s="3" customFormat="1" ht="15.75" thickBot="1" x14ac:dyDescent="0.3">
      <c r="A61" s="518"/>
      <c r="B61" s="436"/>
      <c r="C61" s="437">
        <v>38050</v>
      </c>
      <c r="D61" s="438">
        <f t="shared" si="105"/>
        <v>0</v>
      </c>
      <c r="E61" s="438">
        <f t="shared" si="106"/>
        <v>5643.8711999999996</v>
      </c>
      <c r="F61" s="274"/>
      <c r="G61" s="274">
        <f t="shared" si="107"/>
        <v>0</v>
      </c>
      <c r="H61" s="274">
        <f t="shared" si="99"/>
        <v>0</v>
      </c>
      <c r="I61" s="274">
        <f t="shared" si="100"/>
        <v>0</v>
      </c>
      <c r="J61" s="274">
        <f t="shared" si="101"/>
        <v>0</v>
      </c>
      <c r="K61" s="439">
        <f t="shared" si="102"/>
        <v>0</v>
      </c>
      <c r="L61" s="440">
        <f t="shared" si="108"/>
        <v>106.8</v>
      </c>
      <c r="M61" s="441">
        <f>ROUNDUP(((D60+D61)*0.5)*(C61-C60)/27,0)</f>
        <v>0</v>
      </c>
      <c r="N61" s="274">
        <f t="shared" si="112"/>
        <v>11472</v>
      </c>
      <c r="O61" s="274"/>
      <c r="P61" s="274">
        <f t="shared" si="113"/>
        <v>0</v>
      </c>
      <c r="Q61" s="274">
        <f t="shared" si="114"/>
        <v>0</v>
      </c>
      <c r="R61" s="274">
        <f t="shared" si="115"/>
        <v>0</v>
      </c>
      <c r="S61" s="274">
        <f t="shared" si="116"/>
        <v>0</v>
      </c>
      <c r="T61" s="274">
        <f t="shared" si="117"/>
        <v>0</v>
      </c>
      <c r="U61" s="438">
        <f t="shared" si="109"/>
        <v>645</v>
      </c>
      <c r="V61" s="442"/>
      <c r="W61" s="443"/>
      <c r="X61" s="443"/>
      <c r="Y61" s="443"/>
      <c r="Z61" s="443"/>
      <c r="AA61" s="443"/>
      <c r="AB61" s="443"/>
      <c r="AC61" s="443"/>
      <c r="AD61" s="443"/>
      <c r="AE61" s="443"/>
      <c r="AF61" s="153"/>
      <c r="AG61" s="158">
        <f t="shared" si="103"/>
        <v>38050</v>
      </c>
      <c r="AH61" s="144"/>
      <c r="AI61" s="144"/>
      <c r="AJ61" s="144"/>
      <c r="AK61" s="144"/>
      <c r="AL61" s="144"/>
      <c r="AM61" s="144"/>
      <c r="AN61" s="144"/>
      <c r="AO61" s="144"/>
      <c r="AP61" s="144"/>
      <c r="AQ61" s="144"/>
      <c r="AR61" s="144"/>
      <c r="AS61" s="144"/>
      <c r="AT61" s="144"/>
      <c r="AU61" s="144"/>
      <c r="AV61" s="144"/>
      <c r="AW61" s="144"/>
      <c r="AX61" s="144"/>
      <c r="AY61" s="144">
        <v>5643.8711999999996</v>
      </c>
      <c r="AZ61" s="144"/>
      <c r="BA61" s="144"/>
      <c r="BB61" s="144"/>
      <c r="BC61" s="144"/>
      <c r="BD61" s="144"/>
      <c r="BE61" s="144"/>
      <c r="BF61" s="144"/>
      <c r="BG61" s="144"/>
      <c r="BH61" s="144"/>
      <c r="BI61" s="144"/>
      <c r="BJ61" s="144"/>
      <c r="BK61" s="144"/>
      <c r="BL61" s="144"/>
      <c r="BM61" s="144"/>
      <c r="BN61" s="144"/>
      <c r="BO61" s="144"/>
      <c r="BP61" s="144"/>
      <c r="BQ61" s="144"/>
      <c r="BR61" s="144"/>
      <c r="BS61" s="144"/>
      <c r="BT61" s="144"/>
      <c r="BU61" s="144"/>
      <c r="BV61" s="144"/>
      <c r="BW61" s="144"/>
      <c r="BX61" s="144"/>
      <c r="BY61" s="144"/>
      <c r="BZ61" s="144"/>
      <c r="CA61" s="144"/>
      <c r="CB61" s="265">
        <v>106.8</v>
      </c>
      <c r="CC61" s="1">
        <f t="shared" si="104"/>
        <v>38050</v>
      </c>
      <c r="CD61"/>
      <c r="CE61"/>
    </row>
    <row r="62" spans="1:113" ht="15.75" thickBot="1" x14ac:dyDescent="0.3">
      <c r="A62" s="518"/>
      <c r="B62" s="444"/>
      <c r="C62" s="212">
        <v>38081.599999999999</v>
      </c>
      <c r="D62" s="348">
        <f t="shared" si="105"/>
        <v>0</v>
      </c>
      <c r="E62" s="348">
        <f t="shared" si="106"/>
        <v>4340.5303999999996</v>
      </c>
      <c r="F62" s="144"/>
      <c r="G62" s="144">
        <f t="shared" si="107"/>
        <v>0</v>
      </c>
      <c r="H62" s="144">
        <f t="shared" si="99"/>
        <v>0</v>
      </c>
      <c r="I62" s="144">
        <f t="shared" si="100"/>
        <v>0</v>
      </c>
      <c r="J62" s="144">
        <f t="shared" si="101"/>
        <v>0</v>
      </c>
      <c r="K62" s="159">
        <f t="shared" si="102"/>
        <v>0</v>
      </c>
      <c r="L62" s="351">
        <f t="shared" si="108"/>
        <v>0</v>
      </c>
      <c r="M62" s="354">
        <f>ROUNDUP(((D61+D62)*0.5)*(C62-C61)/27,0)</f>
        <v>0</v>
      </c>
      <c r="N62" s="144">
        <f t="shared" si="112"/>
        <v>5843</v>
      </c>
      <c r="O62" s="144"/>
      <c r="P62" s="144">
        <f t="shared" si="113"/>
        <v>0</v>
      </c>
      <c r="Q62" s="144">
        <f t="shared" si="114"/>
        <v>0</v>
      </c>
      <c r="R62" s="144">
        <f t="shared" si="115"/>
        <v>0</v>
      </c>
      <c r="S62" s="144">
        <f t="shared" si="116"/>
        <v>0</v>
      </c>
      <c r="T62" s="144">
        <f t="shared" si="117"/>
        <v>0</v>
      </c>
      <c r="U62" s="348">
        <f t="shared" si="109"/>
        <v>188</v>
      </c>
      <c r="V62" s="445"/>
      <c r="W62" s="255">
        <f>M62</f>
        <v>0</v>
      </c>
      <c r="X62" s="255">
        <f>N62+N61</f>
        <v>17315</v>
      </c>
      <c r="Y62" s="255"/>
      <c r="Z62" s="255">
        <f t="shared" ref="Z62" si="134">P62</f>
        <v>0</v>
      </c>
      <c r="AA62" s="255">
        <f t="shared" ref="AA62" si="135">Q62</f>
        <v>0</v>
      </c>
      <c r="AB62" s="255">
        <f t="shared" ref="AB62" si="136">R62</f>
        <v>0</v>
      </c>
      <c r="AC62" s="255">
        <f t="shared" ref="AC62" si="137">S62</f>
        <v>0</v>
      </c>
      <c r="AD62" s="255">
        <f t="shared" ref="AD62" si="138">T62</f>
        <v>0</v>
      </c>
      <c r="AE62" s="255">
        <f>U62+U61</f>
        <v>833</v>
      </c>
      <c r="AF62" s="55"/>
      <c r="AG62" s="155">
        <f t="shared" si="103"/>
        <v>38081.599999999999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>
        <v>4340.5303999999996</v>
      </c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147"/>
      <c r="BV62" s="147"/>
      <c r="BW62" s="147"/>
      <c r="BX62" s="147"/>
      <c r="BY62" s="147"/>
      <c r="BZ62" s="147"/>
      <c r="CA62" s="147"/>
      <c r="CB62" s="266">
        <v>0</v>
      </c>
      <c r="CC62" s="1">
        <f t="shared" si="104"/>
        <v>38081.599999999999</v>
      </c>
    </row>
    <row r="63" spans="1:113" x14ac:dyDescent="0.25">
      <c r="A63" s="518"/>
      <c r="B63" s="126"/>
      <c r="AE63" s="208"/>
    </row>
    <row r="64" spans="1:113" ht="21" x14ac:dyDescent="0.35">
      <c r="A64" s="518"/>
      <c r="B64" s="126"/>
      <c r="M64" s="385">
        <f t="shared" ref="M64:U64" si="139">SUM(M49:M62)</f>
        <v>0</v>
      </c>
      <c r="N64" s="120">
        <f t="shared" si="139"/>
        <v>94784</v>
      </c>
      <c r="O64" s="120">
        <f t="shared" si="139"/>
        <v>50807</v>
      </c>
      <c r="P64" s="120">
        <f t="shared" si="139"/>
        <v>0</v>
      </c>
      <c r="Q64" s="120">
        <f t="shared" si="139"/>
        <v>0</v>
      </c>
      <c r="R64" s="120">
        <f t="shared" si="139"/>
        <v>0</v>
      </c>
      <c r="S64" s="120">
        <f t="shared" si="139"/>
        <v>0</v>
      </c>
      <c r="T64" s="120">
        <f t="shared" si="139"/>
        <v>0</v>
      </c>
      <c r="U64" s="385">
        <f t="shared" si="139"/>
        <v>6040</v>
      </c>
      <c r="W64" s="120">
        <f t="shared" ref="W64:AE64" si="140">SUM(W49:W62)</f>
        <v>0</v>
      </c>
      <c r="X64" s="120">
        <f t="shared" si="140"/>
        <v>94784</v>
      </c>
      <c r="Y64" s="120">
        <f t="shared" si="140"/>
        <v>50807</v>
      </c>
      <c r="Z64" s="120">
        <f t="shared" si="140"/>
        <v>0</v>
      </c>
      <c r="AA64" s="120">
        <f t="shared" si="140"/>
        <v>0</v>
      </c>
      <c r="AB64" s="120">
        <f t="shared" si="140"/>
        <v>0</v>
      </c>
      <c r="AC64" s="120">
        <f t="shared" si="140"/>
        <v>0</v>
      </c>
      <c r="AD64" s="120">
        <f t="shared" si="140"/>
        <v>0</v>
      </c>
      <c r="AE64" s="209">
        <f t="shared" si="140"/>
        <v>6040</v>
      </c>
    </row>
    <row r="65" spans="1:113" x14ac:dyDescent="0.25">
      <c r="AE65" s="208"/>
    </row>
    <row r="66" spans="1:113" x14ac:dyDescent="0.25">
      <c r="AE66" s="208"/>
    </row>
    <row r="67" spans="1:113" ht="15.75" thickBot="1" x14ac:dyDescent="0.3">
      <c r="AE67" s="208"/>
      <c r="CE67" s="50"/>
    </row>
    <row r="68" spans="1:113" s="2" customFormat="1" x14ac:dyDescent="0.25">
      <c r="A68" s="506" t="s">
        <v>58</v>
      </c>
      <c r="B68" s="125"/>
      <c r="C68" s="121">
        <v>38715.120000000003</v>
      </c>
      <c r="D68" s="347">
        <f>SUM(AH68:AX68)</f>
        <v>553.26340000000005</v>
      </c>
      <c r="E68" s="347">
        <f>SUM(AY68:BG68)</f>
        <v>89.869699999999995</v>
      </c>
      <c r="F68" s="58"/>
      <c r="G68" s="58">
        <f>SUM(BL68:BN68)</f>
        <v>0</v>
      </c>
      <c r="H68" s="58">
        <f t="shared" ref="H68:H77" si="141">SUM(BO68:BQ68)</f>
        <v>0</v>
      </c>
      <c r="I68" s="58">
        <f t="shared" ref="I68:I77" si="142">SUM(BR68:BT68)</f>
        <v>0</v>
      </c>
      <c r="J68" s="58">
        <f t="shared" ref="J68:J77" si="143">SUM(BU68:BV68)</f>
        <v>0</v>
      </c>
      <c r="K68" s="51">
        <f t="shared" ref="K68:K77" si="144">BW68+BX68</f>
        <v>0</v>
      </c>
      <c r="L68" s="350">
        <f>SUM(BY68:CB68)</f>
        <v>66.2</v>
      </c>
      <c r="M68" s="353"/>
      <c r="N68" s="58"/>
      <c r="O68" s="58"/>
      <c r="P68" s="58"/>
      <c r="Q68" s="58"/>
      <c r="R68" s="58"/>
      <c r="S68" s="58"/>
      <c r="T68" s="58"/>
      <c r="U68" s="347"/>
      <c r="V68" s="56"/>
      <c r="W68" s="105"/>
      <c r="X68" s="58"/>
      <c r="Y68" s="58"/>
      <c r="Z68" s="58"/>
      <c r="AA68" s="58"/>
      <c r="AB68" s="58"/>
      <c r="AC68" s="58"/>
      <c r="AD68" s="58"/>
      <c r="AE68" s="138"/>
      <c r="AF68" s="55"/>
      <c r="AG68" s="57">
        <f t="shared" ref="AG68:AG77" si="145">C68</f>
        <v>38715.120000000003</v>
      </c>
      <c r="AH68" s="58">
        <v>553.26340000000005</v>
      </c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>
        <v>89.869699999999995</v>
      </c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8"/>
      <c r="BK68" s="58"/>
      <c r="BL68" s="58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8"/>
      <c r="CA68" s="58"/>
      <c r="CB68" s="262">
        <v>66.2</v>
      </c>
      <c r="CC68" s="1">
        <f t="shared" ref="CC68:CC77" si="146">C68</f>
        <v>38715.120000000003</v>
      </c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 s="41"/>
    </row>
    <row r="69" spans="1:113" x14ac:dyDescent="0.25">
      <c r="A69" s="507"/>
      <c r="B69" s="125"/>
      <c r="C69" s="121">
        <v>38750</v>
      </c>
      <c r="D69" s="347">
        <f t="shared" ref="D69:D77" si="147">SUM(AH69:AX69)</f>
        <v>1423.6628000000001</v>
      </c>
      <c r="E69" s="347">
        <f t="shared" ref="E69:E72" si="148">SUM(AY69:BG69)</f>
        <v>88.275499999999994</v>
      </c>
      <c r="F69" s="58"/>
      <c r="G69" s="58">
        <f t="shared" ref="G69:G77" si="149">SUM(BL69:BN69)</f>
        <v>0</v>
      </c>
      <c r="H69" s="58">
        <f t="shared" si="141"/>
        <v>5.3540999999999999</v>
      </c>
      <c r="I69" s="58">
        <f t="shared" si="142"/>
        <v>5.3540999999999999</v>
      </c>
      <c r="J69" s="58">
        <f t="shared" si="143"/>
        <v>11.3346</v>
      </c>
      <c r="K69" s="51">
        <f t="shared" si="144"/>
        <v>11.3346</v>
      </c>
      <c r="L69" s="350">
        <f t="shared" ref="L69:L77" si="150">SUM(BY69:CB69)</f>
        <v>235.7</v>
      </c>
      <c r="M69" s="353">
        <f>ROUNDUP(((D68+D69)*0.5)*(C69-C68)/27,0)</f>
        <v>1277</v>
      </c>
      <c r="N69" s="58">
        <f>ROUNDUP(((E68+E69)*0.5)*(C69-C68)/27,0)</f>
        <v>116</v>
      </c>
      <c r="O69" s="58"/>
      <c r="P69" s="58">
        <f>ROUNDUP(((G68+G69)*0.5)*(C69-C68)/27,0)</f>
        <v>0</v>
      </c>
      <c r="Q69" s="58">
        <f>ROUNDUP(((H69+H68)*0.5)*(C69-C68)/27,0)</f>
        <v>4</v>
      </c>
      <c r="R69" s="58">
        <f>ROUNDUP(((I69+I68)*0.5)*(C69-C68)/27,0)</f>
        <v>4</v>
      </c>
      <c r="S69" s="58">
        <f>ROUNDUP(((J69+J68)*0.5)*(C69-C68)/9,0)</f>
        <v>22</v>
      </c>
      <c r="T69" s="58">
        <f>ROUNDUP(((K69+K68)*0.5)*(C69-C68)/9,0)</f>
        <v>22</v>
      </c>
      <c r="U69" s="347">
        <f>ROUNDUP(((L69+L68)*0.5)*(C69-C68)/9,0)</f>
        <v>586</v>
      </c>
      <c r="V69" s="56"/>
      <c r="W69" s="105"/>
      <c r="X69" s="58"/>
      <c r="Y69" s="58"/>
      <c r="Z69" s="58"/>
      <c r="AA69" s="58"/>
      <c r="AB69" s="58"/>
      <c r="AC69" s="58"/>
      <c r="AD69" s="58"/>
      <c r="AE69" s="138"/>
      <c r="AF69" s="55"/>
      <c r="AG69" s="57">
        <f t="shared" si="145"/>
        <v>38750</v>
      </c>
      <c r="AH69" s="58">
        <v>1423.6628000000001</v>
      </c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>
        <v>88.275499999999994</v>
      </c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  <c r="BM69" s="58"/>
      <c r="BN69" s="58"/>
      <c r="BO69" s="58">
        <v>5.3540999999999999</v>
      </c>
      <c r="BP69" s="58"/>
      <c r="BQ69" s="58"/>
      <c r="BR69" s="58">
        <f t="shared" ref="BR69" si="151">BO69</f>
        <v>5.3540999999999999</v>
      </c>
      <c r="BS69" s="58"/>
      <c r="BT69" s="58"/>
      <c r="BU69" s="58">
        <v>11.3346</v>
      </c>
      <c r="BV69" s="58"/>
      <c r="BW69" s="58"/>
      <c r="BX69" s="58">
        <f t="shared" ref="BX69" si="152">BU69</f>
        <v>11.3346</v>
      </c>
      <c r="BY69" s="58"/>
      <c r="BZ69" s="58"/>
      <c r="CA69" s="58"/>
      <c r="CB69" s="262">
        <f>231.7+4</f>
        <v>235.7</v>
      </c>
      <c r="CC69" s="1">
        <f t="shared" si="146"/>
        <v>38750</v>
      </c>
    </row>
    <row r="70" spans="1:113" s="3" customFormat="1" ht="15.75" thickBot="1" x14ac:dyDescent="0.3">
      <c r="A70" s="507"/>
      <c r="B70" s="211"/>
      <c r="C70" s="212">
        <v>38800</v>
      </c>
      <c r="D70" s="348">
        <f t="shared" si="147"/>
        <v>2243.2494000000002</v>
      </c>
      <c r="E70" s="348">
        <f t="shared" si="148"/>
        <v>0</v>
      </c>
      <c r="F70" s="144"/>
      <c r="G70" s="144">
        <f t="shared" si="149"/>
        <v>0</v>
      </c>
      <c r="H70" s="144">
        <f t="shared" si="141"/>
        <v>13.712899999999999</v>
      </c>
      <c r="I70" s="144">
        <f t="shared" si="142"/>
        <v>13.712899999999999</v>
      </c>
      <c r="J70" s="144">
        <f t="shared" si="143"/>
        <v>27.054099999999998</v>
      </c>
      <c r="K70" s="159">
        <f t="shared" si="144"/>
        <v>27.054099999999998</v>
      </c>
      <c r="L70" s="351">
        <f t="shared" si="150"/>
        <v>237.2</v>
      </c>
      <c r="M70" s="354">
        <f>ROUNDUP(((D69+D70)*0.5)*(C70-C69)/27,0)</f>
        <v>3396</v>
      </c>
      <c r="N70" s="144">
        <f>ROUNDUP(((E69+E70)*0.5)*(C70-C69)/27,0)</f>
        <v>82</v>
      </c>
      <c r="O70" s="144"/>
      <c r="P70" s="144">
        <f t="shared" ref="P70:P77" si="153">ROUNDUP(((G69+G70)*0.5)*(C70-C69)/27,0)</f>
        <v>0</v>
      </c>
      <c r="Q70" s="144">
        <f t="shared" ref="Q70:Q77" si="154">ROUNDUP(((H70+H69)*0.5)*(C70-C69)/27,0)</f>
        <v>18</v>
      </c>
      <c r="R70" s="144">
        <f t="shared" ref="R70:R77" si="155">ROUNDUP(((I70+I69)*0.5)*(C70-C69)/27,0)</f>
        <v>18</v>
      </c>
      <c r="S70" s="144">
        <f t="shared" ref="S70:S77" si="156">ROUNDUP(((J70+J69)*0.5)*(C70-C69)/9,0)</f>
        <v>107</v>
      </c>
      <c r="T70" s="144">
        <f t="shared" ref="T70:T77" si="157">ROUNDUP(((K70+K69)*0.5)*(C70-C69)/9,0)</f>
        <v>107</v>
      </c>
      <c r="U70" s="348">
        <f>ROUNDUP(((L70+L69)*0.5)*(C70-C69)/9,0)</f>
        <v>1314</v>
      </c>
      <c r="V70" s="154"/>
      <c r="W70" s="255">
        <f>M68+M69+M70</f>
        <v>4673</v>
      </c>
      <c r="X70" s="255">
        <f t="shared" ref="X70" si="158">N68+N69+N70</f>
        <v>198</v>
      </c>
      <c r="Y70" s="255"/>
      <c r="Z70" s="255">
        <f t="shared" ref="Z70" si="159">P68+P69+P70</f>
        <v>0</v>
      </c>
      <c r="AA70" s="255">
        <f t="shared" ref="AA70" si="160">Q68+Q69+Q70</f>
        <v>22</v>
      </c>
      <c r="AB70" s="255">
        <f t="shared" ref="AB70" si="161">R68+R69+R70</f>
        <v>22</v>
      </c>
      <c r="AC70" s="255">
        <f t="shared" ref="AC70" si="162">S68+S69+S70</f>
        <v>129</v>
      </c>
      <c r="AD70" s="255">
        <f t="shared" ref="AD70" si="163">T68+T69+T70</f>
        <v>129</v>
      </c>
      <c r="AE70" s="255">
        <f t="shared" ref="AE70" si="164">U68+U69+U70</f>
        <v>1900</v>
      </c>
      <c r="AF70" s="153"/>
      <c r="AG70" s="158">
        <f t="shared" si="145"/>
        <v>38800</v>
      </c>
      <c r="AH70" s="144">
        <v>2243.2494000000002</v>
      </c>
      <c r="AI70" s="144"/>
      <c r="AJ70" s="144"/>
      <c r="AK70" s="144"/>
      <c r="AL70" s="144"/>
      <c r="AM70" s="144"/>
      <c r="AN70" s="144"/>
      <c r="AO70" s="144"/>
      <c r="AP70" s="144"/>
      <c r="AQ70" s="144"/>
      <c r="AR70" s="144"/>
      <c r="AS70" s="144"/>
      <c r="AT70" s="144"/>
      <c r="AU70" s="144"/>
      <c r="AV70" s="144"/>
      <c r="AW70" s="144"/>
      <c r="AX70" s="144"/>
      <c r="AY70" s="144"/>
      <c r="AZ70" s="144"/>
      <c r="BA70" s="144"/>
      <c r="BB70" s="144"/>
      <c r="BC70" s="144"/>
      <c r="BD70" s="144"/>
      <c r="BE70" s="144"/>
      <c r="BF70" s="144"/>
      <c r="BG70" s="144"/>
      <c r="BH70" s="144"/>
      <c r="BI70" s="144"/>
      <c r="BJ70" s="144"/>
      <c r="BK70" s="144"/>
      <c r="BL70" s="144"/>
      <c r="BM70" s="144"/>
      <c r="BN70" s="144"/>
      <c r="BO70" s="144">
        <v>13.712899999999999</v>
      </c>
      <c r="BP70" s="144"/>
      <c r="BQ70" s="144"/>
      <c r="BR70" s="144">
        <f t="shared" ref="BR70:BR77" si="165">BO70</f>
        <v>13.712899999999999</v>
      </c>
      <c r="BS70" s="144"/>
      <c r="BT70" s="144"/>
      <c r="BU70" s="144">
        <v>27.054099999999998</v>
      </c>
      <c r="BV70" s="144"/>
      <c r="BW70" s="144"/>
      <c r="BX70" s="144">
        <f t="shared" ref="BX70:BX77" si="166">BU70</f>
        <v>27.054099999999998</v>
      </c>
      <c r="BY70" s="144"/>
      <c r="BZ70" s="144"/>
      <c r="CA70" s="144"/>
      <c r="CB70" s="262">
        <f>233.2+4</f>
        <v>237.2</v>
      </c>
      <c r="CC70" s="1">
        <f t="shared" si="146"/>
        <v>38800</v>
      </c>
      <c r="CD70"/>
      <c r="CE70"/>
    </row>
    <row r="71" spans="1:113" s="2" customFormat="1" x14ac:dyDescent="0.25">
      <c r="A71" s="507"/>
      <c r="B71" s="125"/>
      <c r="C71" s="210">
        <v>38850</v>
      </c>
      <c r="D71" s="349">
        <f t="shared" si="147"/>
        <v>3410.8062</v>
      </c>
      <c r="E71" s="349">
        <f t="shared" si="148"/>
        <v>0</v>
      </c>
      <c r="F71" s="147"/>
      <c r="G71" s="147">
        <f t="shared" si="149"/>
        <v>0</v>
      </c>
      <c r="H71" s="147">
        <f t="shared" si="141"/>
        <v>13.712899999999999</v>
      </c>
      <c r="I71" s="147">
        <f t="shared" si="142"/>
        <v>13.712899999999999</v>
      </c>
      <c r="J71" s="147">
        <f t="shared" si="143"/>
        <v>27.078900000000001</v>
      </c>
      <c r="K71" s="156">
        <f t="shared" si="144"/>
        <v>27.078900000000001</v>
      </c>
      <c r="L71" s="352">
        <f t="shared" si="150"/>
        <v>312</v>
      </c>
      <c r="M71" s="355">
        <f>ROUNDUP(((D70+D71)*0.5)*(C71-C70)/27,0)</f>
        <v>5236</v>
      </c>
      <c r="N71" s="147">
        <f t="shared" ref="N71:N77" si="167">ROUNDUP(((E70+E71)*0.5)*(C71-C70)/27,0)</f>
        <v>0</v>
      </c>
      <c r="O71" s="147"/>
      <c r="P71" s="147">
        <f t="shared" si="153"/>
        <v>0</v>
      </c>
      <c r="Q71" s="147">
        <f t="shared" si="154"/>
        <v>26</v>
      </c>
      <c r="R71" s="147">
        <f t="shared" si="155"/>
        <v>26</v>
      </c>
      <c r="S71" s="147">
        <f t="shared" si="156"/>
        <v>151</v>
      </c>
      <c r="T71" s="147">
        <f t="shared" si="157"/>
        <v>151</v>
      </c>
      <c r="U71" s="349">
        <f>ROUNDUP(((L71+L70)*0.5)*(C71-C70)/9,0)</f>
        <v>1526</v>
      </c>
      <c r="V71" s="56"/>
      <c r="W71" s="151"/>
      <c r="X71" s="147"/>
      <c r="Y71" s="147"/>
      <c r="Z71" s="147"/>
      <c r="AA71" s="147"/>
      <c r="AB71" s="147"/>
      <c r="AC71" s="147"/>
      <c r="AD71" s="147"/>
      <c r="AE71" s="148"/>
      <c r="AF71" s="55"/>
      <c r="AG71" s="155">
        <f t="shared" si="145"/>
        <v>38850</v>
      </c>
      <c r="AH71" s="147">
        <v>3410.8062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  <c r="BI71" s="147"/>
      <c r="BJ71" s="147"/>
      <c r="BK71" s="147"/>
      <c r="BL71" s="147"/>
      <c r="BM71" s="147"/>
      <c r="BN71" s="147"/>
      <c r="BO71" s="147">
        <v>13.712899999999999</v>
      </c>
      <c r="BP71" s="147"/>
      <c r="BQ71" s="147"/>
      <c r="BR71" s="147">
        <f t="shared" si="165"/>
        <v>13.712899999999999</v>
      </c>
      <c r="BS71" s="147"/>
      <c r="BT71" s="147"/>
      <c r="BU71" s="147">
        <v>27.078900000000001</v>
      </c>
      <c r="BV71" s="147"/>
      <c r="BW71" s="147"/>
      <c r="BX71" s="147">
        <f t="shared" si="166"/>
        <v>27.078900000000001</v>
      </c>
      <c r="BY71" s="147"/>
      <c r="BZ71" s="147"/>
      <c r="CA71" s="147"/>
      <c r="CB71" s="262">
        <v>312</v>
      </c>
      <c r="CC71" s="1">
        <f t="shared" si="146"/>
        <v>38850</v>
      </c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 s="41"/>
    </row>
    <row r="72" spans="1:113" s="2" customFormat="1" x14ac:dyDescent="0.25">
      <c r="A72" s="507"/>
      <c r="B72" s="125"/>
      <c r="C72" s="121">
        <v>38900</v>
      </c>
      <c r="D72" s="347">
        <f t="shared" si="147"/>
        <v>5692.1156000000001</v>
      </c>
      <c r="E72" s="347">
        <f t="shared" si="148"/>
        <v>0</v>
      </c>
      <c r="F72" s="58"/>
      <c r="G72" s="58">
        <f t="shared" si="149"/>
        <v>0</v>
      </c>
      <c r="H72" s="58">
        <f t="shared" si="141"/>
        <v>13.712899999999999</v>
      </c>
      <c r="I72" s="58">
        <f t="shared" si="142"/>
        <v>13.712899999999999</v>
      </c>
      <c r="J72" s="58">
        <f t="shared" si="143"/>
        <v>27.078600000000002</v>
      </c>
      <c r="K72" s="51">
        <f t="shared" si="144"/>
        <v>27.078600000000002</v>
      </c>
      <c r="L72" s="350">
        <f t="shared" si="150"/>
        <v>253.1</v>
      </c>
      <c r="M72" s="353">
        <f>ROUNDUP(((D71+D72)*0.5)*(C72-C71)/27,0)</f>
        <v>8429</v>
      </c>
      <c r="N72" s="58">
        <f t="shared" si="167"/>
        <v>0</v>
      </c>
      <c r="O72" s="58"/>
      <c r="P72" s="58">
        <f t="shared" si="153"/>
        <v>0</v>
      </c>
      <c r="Q72" s="58">
        <f t="shared" si="154"/>
        <v>26</v>
      </c>
      <c r="R72" s="58">
        <f t="shared" si="155"/>
        <v>26</v>
      </c>
      <c r="S72" s="58">
        <f t="shared" si="156"/>
        <v>151</v>
      </c>
      <c r="T72" s="58">
        <f t="shared" si="157"/>
        <v>151</v>
      </c>
      <c r="U72" s="347">
        <f>ROUNDUP(((L72+L71)*0.5)*(C72-C71)/9,0)</f>
        <v>1570</v>
      </c>
      <c r="V72" s="56"/>
      <c r="W72" s="105"/>
      <c r="X72" s="58"/>
      <c r="Y72" s="58"/>
      <c r="Z72" s="58"/>
      <c r="AA72" s="58"/>
      <c r="AB72" s="58"/>
      <c r="AC72" s="58"/>
      <c r="AD72" s="58"/>
      <c r="AE72" s="138"/>
      <c r="AF72" s="55"/>
      <c r="AG72" s="57">
        <f t="shared" si="145"/>
        <v>38900</v>
      </c>
      <c r="AH72" s="58">
        <v>5692.1156000000001</v>
      </c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/>
      <c r="BE72" s="58"/>
      <c r="BF72" s="58"/>
      <c r="BG72" s="58"/>
      <c r="BH72" s="58"/>
      <c r="BI72" s="58"/>
      <c r="BJ72" s="58"/>
      <c r="BK72" s="58"/>
      <c r="BL72" s="58"/>
      <c r="BM72" s="58"/>
      <c r="BN72" s="58"/>
      <c r="BO72" s="58">
        <v>13.712899999999999</v>
      </c>
      <c r="BP72" s="58"/>
      <c r="BQ72" s="58"/>
      <c r="BR72" s="58">
        <f t="shared" si="165"/>
        <v>13.712899999999999</v>
      </c>
      <c r="BS72" s="58"/>
      <c r="BT72" s="58"/>
      <c r="BU72" s="58">
        <v>27.078600000000002</v>
      </c>
      <c r="BV72" s="58"/>
      <c r="BW72" s="58"/>
      <c r="BX72" s="58">
        <f t="shared" si="166"/>
        <v>27.078600000000002</v>
      </c>
      <c r="BY72" s="58"/>
      <c r="BZ72" s="58"/>
      <c r="CA72" s="58"/>
      <c r="CB72" s="262">
        <f>249.1+4</f>
        <v>253.1</v>
      </c>
      <c r="CC72" s="1">
        <f t="shared" si="146"/>
        <v>38900</v>
      </c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 s="41"/>
    </row>
    <row r="73" spans="1:113" s="3" customFormat="1" ht="15.75" thickBot="1" x14ac:dyDescent="0.3">
      <c r="A73" s="507"/>
      <c r="B73" s="211"/>
      <c r="C73" s="212">
        <v>38950</v>
      </c>
      <c r="D73" s="348">
        <f t="shared" si="147"/>
        <v>6956.4063999999998</v>
      </c>
      <c r="E73" s="348">
        <f t="shared" ref="E73:E77" si="168">SUM(AY73:BG73)</f>
        <v>0</v>
      </c>
      <c r="F73" s="144"/>
      <c r="G73" s="144">
        <f t="shared" si="149"/>
        <v>0</v>
      </c>
      <c r="H73" s="144">
        <f t="shared" si="141"/>
        <v>13.712899999999999</v>
      </c>
      <c r="I73" s="144">
        <f t="shared" si="142"/>
        <v>13.712899999999999</v>
      </c>
      <c r="J73" s="144">
        <f t="shared" si="143"/>
        <v>27.078900000000001</v>
      </c>
      <c r="K73" s="159">
        <f t="shared" si="144"/>
        <v>27.078900000000001</v>
      </c>
      <c r="L73" s="351">
        <f t="shared" si="150"/>
        <v>211.03110000000001</v>
      </c>
      <c r="M73" s="354">
        <f>ROUNDUP(((D72+D73)*0.5)*(C73-C72)/27,0)</f>
        <v>11712</v>
      </c>
      <c r="N73" s="144">
        <f t="shared" si="167"/>
        <v>0</v>
      </c>
      <c r="O73" s="144"/>
      <c r="P73" s="144">
        <f t="shared" si="153"/>
        <v>0</v>
      </c>
      <c r="Q73" s="144">
        <f t="shared" si="154"/>
        <v>26</v>
      </c>
      <c r="R73" s="144">
        <f t="shared" si="155"/>
        <v>26</v>
      </c>
      <c r="S73" s="144">
        <f t="shared" si="156"/>
        <v>151</v>
      </c>
      <c r="T73" s="144">
        <f t="shared" si="157"/>
        <v>151</v>
      </c>
      <c r="U73" s="348">
        <f t="shared" ref="U73:U77" si="169">ROUNDUP(((L73+L72)*0.5)*(C73-C72)/9,0)</f>
        <v>1290</v>
      </c>
      <c r="W73" s="255">
        <f>M71+M72+M73</f>
        <v>25377</v>
      </c>
      <c r="X73" s="255">
        <f t="shared" ref="X73" si="170">N71+N72+N73</f>
        <v>0</v>
      </c>
      <c r="Y73" s="255"/>
      <c r="Z73" s="255">
        <f t="shared" ref="Z73" si="171">P71+P72+P73</f>
        <v>0</v>
      </c>
      <c r="AA73" s="255">
        <f t="shared" ref="AA73" si="172">Q71+Q72+Q73</f>
        <v>78</v>
      </c>
      <c r="AB73" s="255">
        <f t="shared" ref="AB73" si="173">R71+R72+R73</f>
        <v>78</v>
      </c>
      <c r="AC73" s="255">
        <f t="shared" ref="AC73" si="174">S71+S72+S73</f>
        <v>453</v>
      </c>
      <c r="AD73" s="255">
        <f t="shared" ref="AD73" si="175">T71+T72+T73</f>
        <v>453</v>
      </c>
      <c r="AE73" s="255">
        <f t="shared" ref="AE73" si="176">U71+U72+U73</f>
        <v>4386</v>
      </c>
      <c r="AG73" s="158">
        <f t="shared" si="145"/>
        <v>38950</v>
      </c>
      <c r="AH73" s="144">
        <v>6956.4063999999998</v>
      </c>
      <c r="AI73" s="144"/>
      <c r="AJ73" s="144"/>
      <c r="AK73" s="144"/>
      <c r="AL73" s="144"/>
      <c r="AM73" s="144"/>
      <c r="AN73" s="144"/>
      <c r="AO73" s="144"/>
      <c r="AP73" s="144"/>
      <c r="AQ73" s="144"/>
      <c r="AR73" s="144"/>
      <c r="AS73" s="144"/>
      <c r="AT73" s="144"/>
      <c r="AU73" s="144"/>
      <c r="AV73" s="144"/>
      <c r="AW73" s="144"/>
      <c r="AX73" s="144"/>
      <c r="AY73" s="144"/>
      <c r="AZ73" s="144"/>
      <c r="BA73" s="144"/>
      <c r="BB73" s="144"/>
      <c r="BC73" s="144"/>
      <c r="BD73" s="144"/>
      <c r="BE73" s="144"/>
      <c r="BF73" s="144"/>
      <c r="BG73" s="144"/>
      <c r="BH73" s="144"/>
      <c r="BI73" s="144"/>
      <c r="BJ73" s="144"/>
      <c r="BK73" s="144"/>
      <c r="BL73" s="144"/>
      <c r="BM73" s="144"/>
      <c r="BN73" s="144"/>
      <c r="BO73" s="144">
        <v>13.712899999999999</v>
      </c>
      <c r="BP73" s="144"/>
      <c r="BQ73" s="144"/>
      <c r="BR73" s="144">
        <f t="shared" si="165"/>
        <v>13.712899999999999</v>
      </c>
      <c r="BS73" s="144"/>
      <c r="BT73" s="144"/>
      <c r="BU73" s="144">
        <v>27.078900000000001</v>
      </c>
      <c r="BV73" s="144"/>
      <c r="BW73" s="144"/>
      <c r="BX73" s="144">
        <f t="shared" si="166"/>
        <v>27.078900000000001</v>
      </c>
      <c r="BY73" s="144"/>
      <c r="BZ73" s="144"/>
      <c r="CA73" s="144">
        <v>165.50280000000001</v>
      </c>
      <c r="CB73" s="265">
        <v>45.528300000000002</v>
      </c>
      <c r="CC73" s="1">
        <f t="shared" si="146"/>
        <v>38950</v>
      </c>
      <c r="CD73"/>
      <c r="CE73"/>
    </row>
    <row r="74" spans="1:113" ht="15.75" thickBot="1" x14ac:dyDescent="0.3">
      <c r="A74" s="507"/>
      <c r="B74" s="125"/>
      <c r="C74" s="210">
        <v>39000</v>
      </c>
      <c r="D74" s="349">
        <f t="shared" si="147"/>
        <v>9643.0360000000001</v>
      </c>
      <c r="E74" s="349">
        <f t="shared" si="168"/>
        <v>0</v>
      </c>
      <c r="F74" s="147"/>
      <c r="G74" s="147">
        <f t="shared" si="149"/>
        <v>0</v>
      </c>
      <c r="H74" s="147">
        <f t="shared" si="141"/>
        <v>13.7249</v>
      </c>
      <c r="I74" s="147">
        <f t="shared" si="142"/>
        <v>13.7249</v>
      </c>
      <c r="J74" s="147">
        <f t="shared" si="143"/>
        <v>27.080200000000001</v>
      </c>
      <c r="K74" s="156">
        <f t="shared" si="144"/>
        <v>27.080200000000001</v>
      </c>
      <c r="L74" s="352">
        <f t="shared" si="150"/>
        <v>530.50149999999996</v>
      </c>
      <c r="M74" s="355">
        <f t="shared" ref="M74:M77" si="177">ROUNDUP(((D73+D74)*0.5)*(C74-C73)/27,0)</f>
        <v>15370</v>
      </c>
      <c r="N74" s="147">
        <f t="shared" si="167"/>
        <v>0</v>
      </c>
      <c r="O74" s="147"/>
      <c r="P74" s="147">
        <f t="shared" si="153"/>
        <v>0</v>
      </c>
      <c r="Q74" s="147">
        <f t="shared" si="154"/>
        <v>26</v>
      </c>
      <c r="R74" s="147">
        <f t="shared" si="155"/>
        <v>26</v>
      </c>
      <c r="S74" s="147">
        <f t="shared" si="156"/>
        <v>151</v>
      </c>
      <c r="T74" s="147">
        <f t="shared" si="157"/>
        <v>151</v>
      </c>
      <c r="U74" s="349">
        <f t="shared" si="169"/>
        <v>2060</v>
      </c>
      <c r="W74" s="151"/>
      <c r="X74" s="147"/>
      <c r="Y74" s="147"/>
      <c r="Z74" s="147"/>
      <c r="AA74" s="147"/>
      <c r="AB74" s="147"/>
      <c r="AC74" s="147"/>
      <c r="AD74" s="147"/>
      <c r="AE74" s="148"/>
      <c r="AG74" s="155">
        <f t="shared" si="145"/>
        <v>39000</v>
      </c>
      <c r="AH74" s="147">
        <v>9643.0360000000001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  <c r="BI74" s="147"/>
      <c r="BJ74" s="147"/>
      <c r="BK74" s="147"/>
      <c r="BL74" s="147"/>
      <c r="BM74" s="147"/>
      <c r="BN74" s="147"/>
      <c r="BO74" s="147">
        <v>13.7249</v>
      </c>
      <c r="BP74" s="147"/>
      <c r="BQ74" s="147"/>
      <c r="BR74" s="147">
        <f t="shared" si="165"/>
        <v>13.7249</v>
      </c>
      <c r="BS74" s="147"/>
      <c r="BT74" s="147"/>
      <c r="BU74" s="147">
        <v>27.080200000000001</v>
      </c>
      <c r="BV74" s="147"/>
      <c r="BW74" s="147"/>
      <c r="BX74" s="147">
        <f t="shared" si="166"/>
        <v>27.080200000000001</v>
      </c>
      <c r="BY74" s="147"/>
      <c r="BZ74" s="147"/>
      <c r="CA74" s="147">
        <v>459.46690000000001</v>
      </c>
      <c r="CB74" s="266">
        <v>71.034599999999998</v>
      </c>
      <c r="CC74" s="1">
        <f t="shared" si="146"/>
        <v>39000</v>
      </c>
      <c r="CD74" s="3"/>
      <c r="CE74" s="3"/>
    </row>
    <row r="75" spans="1:113" s="3" customFormat="1" ht="15.75" thickBot="1" x14ac:dyDescent="0.3">
      <c r="A75" s="507"/>
      <c r="B75" s="211"/>
      <c r="C75" s="212">
        <v>39050</v>
      </c>
      <c r="D75" s="348">
        <f t="shared" si="147"/>
        <v>8607.1319000000003</v>
      </c>
      <c r="E75" s="348">
        <f t="shared" si="168"/>
        <v>0</v>
      </c>
      <c r="F75" s="144"/>
      <c r="G75" s="144">
        <f t="shared" si="149"/>
        <v>0</v>
      </c>
      <c r="H75" s="144">
        <f t="shared" si="141"/>
        <v>13.7248</v>
      </c>
      <c r="I75" s="144">
        <f t="shared" si="142"/>
        <v>13.7248</v>
      </c>
      <c r="J75" s="144">
        <f t="shared" si="143"/>
        <v>27.079799999999999</v>
      </c>
      <c r="K75" s="159">
        <f t="shared" si="144"/>
        <v>27.079799999999999</v>
      </c>
      <c r="L75" s="351">
        <f t="shared" si="150"/>
        <v>173.71839999999997</v>
      </c>
      <c r="M75" s="354">
        <f t="shared" si="177"/>
        <v>16899</v>
      </c>
      <c r="N75" s="144">
        <f t="shared" si="167"/>
        <v>0</v>
      </c>
      <c r="O75" s="144"/>
      <c r="P75" s="144">
        <f t="shared" si="153"/>
        <v>0</v>
      </c>
      <c r="Q75" s="144">
        <f t="shared" si="154"/>
        <v>26</v>
      </c>
      <c r="R75" s="144">
        <f t="shared" si="155"/>
        <v>26</v>
      </c>
      <c r="S75" s="144">
        <f t="shared" si="156"/>
        <v>151</v>
      </c>
      <c r="T75" s="144">
        <f t="shared" si="157"/>
        <v>151</v>
      </c>
      <c r="U75" s="348">
        <f t="shared" si="169"/>
        <v>1957</v>
      </c>
      <c r="W75" s="255">
        <f>M74+M75</f>
        <v>32269</v>
      </c>
      <c r="X75" s="255">
        <f t="shared" ref="X75" si="178">N74+N75</f>
        <v>0</v>
      </c>
      <c r="Y75" s="255"/>
      <c r="Z75" s="255">
        <f t="shared" ref="Z75" si="179">P74+P75</f>
        <v>0</v>
      </c>
      <c r="AA75" s="255">
        <f t="shared" ref="AA75" si="180">Q74+Q75</f>
        <v>52</v>
      </c>
      <c r="AB75" s="255">
        <f t="shared" ref="AB75" si="181">R74+R75</f>
        <v>52</v>
      </c>
      <c r="AC75" s="255">
        <f t="shared" ref="AC75" si="182">S74+S75</f>
        <v>302</v>
      </c>
      <c r="AD75" s="255">
        <f t="shared" ref="AD75" si="183">T74+T75</f>
        <v>302</v>
      </c>
      <c r="AE75" s="255">
        <f t="shared" ref="AE75" si="184">U74+U75</f>
        <v>4017</v>
      </c>
      <c r="AG75" s="158">
        <f t="shared" si="145"/>
        <v>39050</v>
      </c>
      <c r="AH75" s="144">
        <v>8607.1319000000003</v>
      </c>
      <c r="AI75" s="144"/>
      <c r="AJ75" s="144"/>
      <c r="AK75" s="144"/>
      <c r="AL75" s="144"/>
      <c r="AM75" s="144"/>
      <c r="AN75" s="144"/>
      <c r="AO75" s="144"/>
      <c r="AP75" s="144"/>
      <c r="AQ75" s="144"/>
      <c r="AR75" s="144"/>
      <c r="AS75" s="144"/>
      <c r="AT75" s="144"/>
      <c r="AU75" s="144"/>
      <c r="AV75" s="144"/>
      <c r="AW75" s="144"/>
      <c r="AX75" s="144"/>
      <c r="AY75" s="144"/>
      <c r="AZ75" s="144"/>
      <c r="BA75" s="144"/>
      <c r="BB75" s="144"/>
      <c r="BC75" s="144"/>
      <c r="BD75" s="144"/>
      <c r="BE75" s="144"/>
      <c r="BF75" s="144"/>
      <c r="BG75" s="144"/>
      <c r="BH75" s="144"/>
      <c r="BI75" s="144"/>
      <c r="BJ75" s="144"/>
      <c r="BK75" s="144"/>
      <c r="BL75" s="144"/>
      <c r="BM75" s="144"/>
      <c r="BN75" s="144"/>
      <c r="BO75" s="144">
        <v>13.7248</v>
      </c>
      <c r="BP75" s="144"/>
      <c r="BQ75" s="144"/>
      <c r="BR75" s="144">
        <f t="shared" si="165"/>
        <v>13.7248</v>
      </c>
      <c r="BS75" s="144"/>
      <c r="BT75" s="144"/>
      <c r="BU75" s="144">
        <v>27.079799999999999</v>
      </c>
      <c r="BV75" s="144"/>
      <c r="BW75" s="144"/>
      <c r="BX75" s="144">
        <f t="shared" si="166"/>
        <v>27.079799999999999</v>
      </c>
      <c r="BY75" s="144"/>
      <c r="BZ75" s="144"/>
      <c r="CA75" s="144">
        <v>154.03129999999999</v>
      </c>
      <c r="CB75" s="265">
        <v>19.687100000000001</v>
      </c>
      <c r="CC75" s="1">
        <f t="shared" si="146"/>
        <v>39050</v>
      </c>
      <c r="CD75"/>
      <c r="CE75"/>
    </row>
    <row r="76" spans="1:113" x14ac:dyDescent="0.25">
      <c r="A76" s="507"/>
      <c r="B76" s="125"/>
      <c r="C76" s="210">
        <v>39100</v>
      </c>
      <c r="D76" s="349">
        <f t="shared" si="147"/>
        <v>8040.8870999999999</v>
      </c>
      <c r="E76" s="349">
        <f t="shared" si="168"/>
        <v>0</v>
      </c>
      <c r="F76" s="147"/>
      <c r="G76" s="147">
        <f t="shared" si="149"/>
        <v>0</v>
      </c>
      <c r="H76" s="147">
        <f t="shared" si="141"/>
        <v>14.194100000000001</v>
      </c>
      <c r="I76" s="147">
        <f t="shared" si="142"/>
        <v>14.194100000000001</v>
      </c>
      <c r="J76" s="147">
        <f t="shared" si="143"/>
        <v>28.220099999999999</v>
      </c>
      <c r="K76" s="156">
        <f t="shared" si="144"/>
        <v>28.220099999999999</v>
      </c>
      <c r="L76" s="352">
        <f t="shared" si="150"/>
        <v>148.10300000000001</v>
      </c>
      <c r="M76" s="355">
        <f t="shared" si="177"/>
        <v>15415</v>
      </c>
      <c r="N76" s="147">
        <f t="shared" si="167"/>
        <v>0</v>
      </c>
      <c r="O76" s="147"/>
      <c r="P76" s="147">
        <f t="shared" si="153"/>
        <v>0</v>
      </c>
      <c r="Q76" s="147">
        <f t="shared" si="154"/>
        <v>26</v>
      </c>
      <c r="R76" s="147">
        <f t="shared" si="155"/>
        <v>26</v>
      </c>
      <c r="S76" s="147">
        <f t="shared" si="156"/>
        <v>154</v>
      </c>
      <c r="T76" s="147">
        <f t="shared" si="157"/>
        <v>154</v>
      </c>
      <c r="U76" s="349">
        <f t="shared" si="169"/>
        <v>894</v>
      </c>
      <c r="W76" s="151"/>
      <c r="X76" s="147"/>
      <c r="Y76" s="147"/>
      <c r="Z76" s="147"/>
      <c r="AA76" s="147"/>
      <c r="AB76" s="147"/>
      <c r="AC76" s="147"/>
      <c r="AD76" s="147"/>
      <c r="AE76" s="148"/>
      <c r="AG76" s="155">
        <f t="shared" si="145"/>
        <v>39100</v>
      </c>
      <c r="AH76" s="147">
        <v>8040.8870999999999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  <c r="BI76" s="147"/>
      <c r="BJ76" s="147"/>
      <c r="BK76" s="147"/>
      <c r="BL76" s="147"/>
      <c r="BM76" s="147"/>
      <c r="BN76" s="147"/>
      <c r="BO76" s="147">
        <v>14.194100000000001</v>
      </c>
      <c r="BP76" s="147"/>
      <c r="BQ76" s="147"/>
      <c r="BR76" s="147">
        <f t="shared" si="165"/>
        <v>14.194100000000001</v>
      </c>
      <c r="BS76" s="147"/>
      <c r="BT76" s="147"/>
      <c r="BU76" s="147">
        <v>28.220099999999999</v>
      </c>
      <c r="BV76" s="147"/>
      <c r="BW76" s="147"/>
      <c r="BX76" s="147">
        <f t="shared" si="166"/>
        <v>28.220099999999999</v>
      </c>
      <c r="BY76" s="147"/>
      <c r="BZ76" s="147"/>
      <c r="CA76" s="147">
        <v>148.10300000000001</v>
      </c>
      <c r="CB76" s="266">
        <v>0</v>
      </c>
      <c r="CC76" s="1">
        <f t="shared" si="146"/>
        <v>39100</v>
      </c>
    </row>
    <row r="77" spans="1:113" ht="15.75" thickBot="1" x14ac:dyDescent="0.3">
      <c r="A77" s="507"/>
      <c r="B77" s="125"/>
      <c r="C77" s="121">
        <v>39115.81</v>
      </c>
      <c r="D77" s="347">
        <f t="shared" si="147"/>
        <v>7909.2227000000003</v>
      </c>
      <c r="E77" s="347">
        <f t="shared" si="168"/>
        <v>0</v>
      </c>
      <c r="F77" s="58"/>
      <c r="G77" s="58">
        <f t="shared" si="149"/>
        <v>0</v>
      </c>
      <c r="H77" s="58">
        <f t="shared" si="141"/>
        <v>13.604699999999999</v>
      </c>
      <c r="I77" s="58">
        <f t="shared" si="142"/>
        <v>13.604699999999999</v>
      </c>
      <c r="J77" s="58">
        <f t="shared" si="143"/>
        <v>27.033899999999999</v>
      </c>
      <c r="K77" s="51">
        <f t="shared" si="144"/>
        <v>27.033899999999999</v>
      </c>
      <c r="L77" s="350">
        <f t="shared" si="150"/>
        <v>146.36150000000001</v>
      </c>
      <c r="M77" s="353">
        <f t="shared" si="177"/>
        <v>4670</v>
      </c>
      <c r="N77" s="58">
        <f t="shared" si="167"/>
        <v>0</v>
      </c>
      <c r="O77" s="58"/>
      <c r="P77" s="58">
        <f t="shared" si="153"/>
        <v>0</v>
      </c>
      <c r="Q77" s="58">
        <f t="shared" si="154"/>
        <v>9</v>
      </c>
      <c r="R77" s="58">
        <f t="shared" si="155"/>
        <v>9</v>
      </c>
      <c r="S77" s="58">
        <f t="shared" si="156"/>
        <v>49</v>
      </c>
      <c r="T77" s="58">
        <f t="shared" si="157"/>
        <v>49</v>
      </c>
      <c r="U77" s="347">
        <f t="shared" si="169"/>
        <v>259</v>
      </c>
      <c r="W77" s="255">
        <f>M76+M77</f>
        <v>20085</v>
      </c>
      <c r="X77" s="255">
        <f t="shared" ref="X77" si="185">N76+N77</f>
        <v>0</v>
      </c>
      <c r="Y77" s="255"/>
      <c r="Z77" s="255">
        <f t="shared" ref="Z77" si="186">P76+P77</f>
        <v>0</v>
      </c>
      <c r="AA77" s="255">
        <f t="shared" ref="AA77" si="187">Q76+Q77</f>
        <v>35</v>
      </c>
      <c r="AB77" s="255">
        <f t="shared" ref="AB77" si="188">R76+R77</f>
        <v>35</v>
      </c>
      <c r="AC77" s="255">
        <f t="shared" ref="AC77" si="189">S76+S77</f>
        <v>203</v>
      </c>
      <c r="AD77" s="255">
        <f t="shared" ref="AD77" si="190">T76+T77</f>
        <v>203</v>
      </c>
      <c r="AE77" s="255">
        <f t="shared" ref="AE77" si="191">U76+U77</f>
        <v>1153</v>
      </c>
      <c r="AG77" s="57">
        <f t="shared" si="145"/>
        <v>39115.81</v>
      </c>
      <c r="AH77" s="58">
        <v>7909.2227000000003</v>
      </c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58"/>
      <c r="BH77" s="58"/>
      <c r="BI77" s="58"/>
      <c r="BJ77" s="58"/>
      <c r="BK77" s="58"/>
      <c r="BL77" s="58"/>
      <c r="BM77" s="58"/>
      <c r="BN77" s="58"/>
      <c r="BO77" s="58">
        <v>13.604699999999999</v>
      </c>
      <c r="BP77" s="58"/>
      <c r="BQ77" s="58"/>
      <c r="BR77" s="58">
        <f t="shared" si="165"/>
        <v>13.604699999999999</v>
      </c>
      <c r="BS77" s="58"/>
      <c r="BT77" s="58"/>
      <c r="BU77" s="58">
        <v>27.033899999999999</v>
      </c>
      <c r="BV77" s="58"/>
      <c r="BW77" s="58"/>
      <c r="BX77" s="58">
        <f t="shared" si="166"/>
        <v>27.033899999999999</v>
      </c>
      <c r="BY77" s="58"/>
      <c r="BZ77" s="58"/>
      <c r="CA77" s="58">
        <v>146.36150000000001</v>
      </c>
      <c r="CB77" s="263">
        <v>0</v>
      </c>
      <c r="CC77" s="1">
        <f t="shared" si="146"/>
        <v>39115.81</v>
      </c>
    </row>
    <row r="78" spans="1:113" x14ac:dyDescent="0.25">
      <c r="A78" s="507"/>
      <c r="B78" s="125"/>
      <c r="AE78" s="208"/>
      <c r="CC78" s="1"/>
    </row>
    <row r="79" spans="1:113" ht="21.75" thickBot="1" x14ac:dyDescent="0.4">
      <c r="A79" s="508"/>
      <c r="B79" s="125"/>
      <c r="M79" s="385">
        <f>SUM(M68:M77)</f>
        <v>82404</v>
      </c>
      <c r="N79" s="120">
        <f t="shared" ref="N79:U79" si="192">SUM(N68:N77)</f>
        <v>198</v>
      </c>
      <c r="O79" s="120"/>
      <c r="P79" s="120">
        <f t="shared" si="192"/>
        <v>0</v>
      </c>
      <c r="Q79" s="120">
        <f t="shared" si="192"/>
        <v>187</v>
      </c>
      <c r="R79" s="120">
        <f t="shared" si="192"/>
        <v>187</v>
      </c>
      <c r="S79" s="120">
        <f t="shared" si="192"/>
        <v>1087</v>
      </c>
      <c r="T79" s="120">
        <f t="shared" si="192"/>
        <v>1087</v>
      </c>
      <c r="U79" s="385">
        <f t="shared" si="192"/>
        <v>11456</v>
      </c>
      <c r="W79" s="120">
        <f>SUM(W68:W77)</f>
        <v>82404</v>
      </c>
      <c r="X79" s="120">
        <f t="shared" ref="X79:AE79" si="193">SUM(X68:X77)</f>
        <v>198</v>
      </c>
      <c r="Y79" s="120"/>
      <c r="Z79" s="120">
        <f t="shared" si="193"/>
        <v>0</v>
      </c>
      <c r="AA79" s="120">
        <f t="shared" si="193"/>
        <v>187</v>
      </c>
      <c r="AB79" s="120">
        <f t="shared" si="193"/>
        <v>187</v>
      </c>
      <c r="AC79" s="120">
        <f t="shared" si="193"/>
        <v>1087</v>
      </c>
      <c r="AD79" s="120">
        <f t="shared" si="193"/>
        <v>1087</v>
      </c>
      <c r="AE79" s="209">
        <f t="shared" si="193"/>
        <v>11456</v>
      </c>
    </row>
    <row r="80" spans="1:113" x14ac:dyDescent="0.25">
      <c r="AE80" s="208"/>
    </row>
    <row r="81" spans="1:111" x14ac:dyDescent="0.25">
      <c r="AE81" s="208"/>
    </row>
    <row r="82" spans="1:111" ht="15.75" thickBot="1" x14ac:dyDescent="0.3">
      <c r="AE82" s="208"/>
      <c r="CE82" s="50"/>
    </row>
    <row r="83" spans="1:111" s="2" customFormat="1" ht="15" customHeight="1" x14ac:dyDescent="0.25">
      <c r="A83" s="502" t="s">
        <v>59</v>
      </c>
      <c r="B83" s="125"/>
      <c r="C83" s="121">
        <v>38499.449999999997</v>
      </c>
      <c r="D83" s="347">
        <f>SUM(AH83:AX83)</f>
        <v>0</v>
      </c>
      <c r="E83" s="347">
        <f>SUM(AY83:BG83)</f>
        <v>1425.8232</v>
      </c>
      <c r="F83" s="58"/>
      <c r="G83" s="58">
        <f>SUM(BL83:BN83)</f>
        <v>0</v>
      </c>
      <c r="H83" s="58">
        <f t="shared" ref="H83:H111" si="194">SUM(BO83:BQ83)</f>
        <v>0</v>
      </c>
      <c r="I83" s="58">
        <f t="shared" ref="I83:I111" si="195">SUM(BR83:BT83)</f>
        <v>0</v>
      </c>
      <c r="J83" s="58">
        <f t="shared" ref="J83:J111" si="196">SUM(BU83:BV83)</f>
        <v>0</v>
      </c>
      <c r="K83" s="51">
        <f t="shared" ref="K83:K111" si="197">BW83+BX83</f>
        <v>0</v>
      </c>
      <c r="L83" s="350">
        <f>SUM(BY83:CB83)</f>
        <v>0</v>
      </c>
      <c r="M83" s="353"/>
      <c r="N83" s="58"/>
      <c r="O83" s="58"/>
      <c r="P83" s="58"/>
      <c r="Q83" s="58"/>
      <c r="R83" s="58"/>
      <c r="S83" s="58"/>
      <c r="T83" s="58"/>
      <c r="U83" s="347"/>
      <c r="V83" s="56"/>
      <c r="W83" s="105"/>
      <c r="X83" s="58"/>
      <c r="Y83" s="58"/>
      <c r="Z83" s="58"/>
      <c r="AA83" s="58"/>
      <c r="AB83" s="58"/>
      <c r="AC83" s="58"/>
      <c r="AD83" s="58"/>
      <c r="AE83" s="138"/>
      <c r="AF83" s="55"/>
      <c r="AG83" s="57">
        <f t="shared" ref="AG83:AG111" si="198">C83</f>
        <v>38499.449999999997</v>
      </c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>
        <v>1203.2056</v>
      </c>
      <c r="AZ83" s="58">
        <v>222.61760000000001</v>
      </c>
      <c r="BA83" s="58"/>
      <c r="BB83" s="58"/>
      <c r="BC83" s="58"/>
      <c r="BD83" s="58"/>
      <c r="BE83" s="58"/>
      <c r="BF83" s="58"/>
      <c r="BG83" s="58"/>
      <c r="BH83" s="58"/>
      <c r="BI83" s="58"/>
      <c r="BJ83" s="58"/>
      <c r="BK83" s="58"/>
      <c r="BL83" s="58"/>
      <c r="BM83" s="58"/>
      <c r="BN83" s="58"/>
      <c r="BO83" s="58"/>
      <c r="BP83" s="58"/>
      <c r="BQ83" s="58"/>
      <c r="BR83" s="58"/>
      <c r="BS83" s="58"/>
      <c r="BT83" s="58"/>
      <c r="BU83" s="58"/>
      <c r="BV83" s="58"/>
      <c r="BW83" s="58"/>
      <c r="BX83" s="58"/>
      <c r="BY83" s="58"/>
      <c r="BZ83" s="58"/>
      <c r="CA83" s="58"/>
      <c r="CB83" s="262">
        <v>0</v>
      </c>
      <c r="CC83" s="1">
        <f t="shared" ref="CC83:CC111" si="199">C83</f>
        <v>38499.449999999997</v>
      </c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 s="41"/>
    </row>
    <row r="84" spans="1:111" s="3" customFormat="1" ht="15.75" thickBot="1" x14ac:dyDescent="0.3">
      <c r="A84" s="503"/>
      <c r="B84" s="125"/>
      <c r="C84" s="121">
        <v>38550</v>
      </c>
      <c r="D84" s="347">
        <f t="shared" ref="D84" si="200">SUM(AH84:AX84)</f>
        <v>916.36789999999996</v>
      </c>
      <c r="E84" s="347">
        <f t="shared" ref="E84" si="201">SUM(AY84:BG84)</f>
        <v>323.69320000000005</v>
      </c>
      <c r="F84" s="58"/>
      <c r="G84" s="58">
        <f t="shared" ref="G84" si="202">SUM(BL84:BN84)</f>
        <v>0</v>
      </c>
      <c r="H84" s="58">
        <f t="shared" si="194"/>
        <v>0</v>
      </c>
      <c r="I84" s="58">
        <f t="shared" si="195"/>
        <v>0</v>
      </c>
      <c r="J84" s="58">
        <f t="shared" si="196"/>
        <v>0</v>
      </c>
      <c r="K84" s="51">
        <f t="shared" si="197"/>
        <v>0</v>
      </c>
      <c r="L84" s="350">
        <f t="shared" ref="L84" si="203">SUM(BY84:CB84)</f>
        <v>206.7</v>
      </c>
      <c r="M84" s="353">
        <f t="shared" ref="M84" si="204">ROUNDUP(((D83+D84)*0.5)*(C84-C83)/27,0)</f>
        <v>858</v>
      </c>
      <c r="N84" s="58">
        <f t="shared" ref="N84" si="205">ROUNDUP(((E83+E84)*0.5)*(C84-C83)/27,0)</f>
        <v>1638</v>
      </c>
      <c r="O84" s="58"/>
      <c r="P84" s="58">
        <f t="shared" ref="P84" si="206">ROUNDUP(((G83+G84)*0.5)*(C84-C83)/27,0)</f>
        <v>0</v>
      </c>
      <c r="Q84" s="58">
        <f t="shared" ref="Q84" si="207">ROUNDUP(((H84+H83)*0.5)*(C84-C83)/27,0)</f>
        <v>0</v>
      </c>
      <c r="R84" s="58">
        <f t="shared" ref="R84" si="208">ROUNDUP(((I84+I83)*0.5)*(C84-C83)/27,0)</f>
        <v>0</v>
      </c>
      <c r="S84" s="58">
        <f t="shared" ref="S84" si="209">ROUNDUP(((J84+J83)*0.5)*(C84-C83)/9,0)</f>
        <v>0</v>
      </c>
      <c r="T84" s="58">
        <f t="shared" ref="T84" si="210">ROUNDUP(((K84+K83)*0.5)*(C84-C83)/9,0)</f>
        <v>0</v>
      </c>
      <c r="U84" s="347">
        <f t="shared" ref="U84:U111" si="211">ROUNDUP(((L84+L83)*0.5)*(C84-C83)/9,0)</f>
        <v>581</v>
      </c>
      <c r="V84" s="56"/>
      <c r="W84" s="105"/>
      <c r="X84" s="58"/>
      <c r="Y84" s="58"/>
      <c r="Z84" s="58"/>
      <c r="AA84" s="58"/>
      <c r="AB84" s="58"/>
      <c r="AC84" s="58"/>
      <c r="AD84" s="58"/>
      <c r="AE84" s="138"/>
      <c r="AF84" s="55"/>
      <c r="AG84" s="57">
        <f t="shared" si="198"/>
        <v>38550</v>
      </c>
      <c r="AH84" s="58">
        <v>912.8655</v>
      </c>
      <c r="AI84" s="58">
        <v>3.5024000000000002</v>
      </c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58"/>
      <c r="AX84" s="58"/>
      <c r="AY84" s="58">
        <v>23.461300000000001</v>
      </c>
      <c r="AZ84" s="58">
        <v>266.471</v>
      </c>
      <c r="BA84" s="58">
        <v>0.31919999999999998</v>
      </c>
      <c r="BB84" s="58">
        <v>33.441699999999997</v>
      </c>
      <c r="BC84" s="58"/>
      <c r="BD84" s="58"/>
      <c r="BE84" s="58"/>
      <c r="BF84" s="58"/>
      <c r="BG84" s="58"/>
      <c r="BH84" s="58"/>
      <c r="BI84" s="58"/>
      <c r="BJ84" s="58"/>
      <c r="BK84" s="58"/>
      <c r="BL84" s="58"/>
      <c r="BM84" s="58"/>
      <c r="BN84" s="58"/>
      <c r="BO84" s="58"/>
      <c r="BP84" s="58"/>
      <c r="BQ84" s="58"/>
      <c r="BR84" s="58"/>
      <c r="BS84" s="58"/>
      <c r="BT84" s="58"/>
      <c r="BU84" s="58"/>
      <c r="BV84" s="58"/>
      <c r="BW84" s="58"/>
      <c r="BX84" s="58"/>
      <c r="BY84" s="58"/>
      <c r="BZ84" s="58"/>
      <c r="CA84" s="58"/>
      <c r="CB84" s="262">
        <v>206.7</v>
      </c>
      <c r="CC84" s="1">
        <f t="shared" si="199"/>
        <v>38550</v>
      </c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</row>
    <row r="85" spans="1:111" s="168" customFormat="1" ht="15.75" thickBot="1" x14ac:dyDescent="0.3">
      <c r="A85" s="503"/>
      <c r="B85" s="211"/>
      <c r="C85" s="212">
        <v>38600</v>
      </c>
      <c r="D85" s="348">
        <f t="shared" ref="D85:D111" si="212">SUM(AH85:AX85)</f>
        <v>2853.6929</v>
      </c>
      <c r="E85" s="348">
        <f t="shared" ref="E85:E111" si="213">SUM(AY85:BG85)</f>
        <v>0</v>
      </c>
      <c r="F85" s="144"/>
      <c r="G85" s="144">
        <f t="shared" ref="G85:G111" si="214">SUM(BL85:BN85)</f>
        <v>0</v>
      </c>
      <c r="H85" s="144">
        <f t="shared" si="194"/>
        <v>31.399000000000001</v>
      </c>
      <c r="I85" s="144">
        <f t="shared" si="195"/>
        <v>31.399000000000001</v>
      </c>
      <c r="J85" s="144">
        <f t="shared" si="196"/>
        <v>62.382099999999994</v>
      </c>
      <c r="K85" s="159">
        <f t="shared" si="197"/>
        <v>62.382099999999994</v>
      </c>
      <c r="L85" s="351">
        <f t="shared" ref="L85:L111" si="215">SUM(BY85:CB85)</f>
        <v>171.9</v>
      </c>
      <c r="M85" s="354">
        <f t="shared" ref="M85:M111" si="216">ROUNDUP(((D84+D85)*0.5)*(C85-C84)/27,0)</f>
        <v>3491</v>
      </c>
      <c r="N85" s="144">
        <f t="shared" ref="N85:N111" si="217">ROUNDUP(((E84+E85)*0.5)*(C85-C84)/27,0)</f>
        <v>300</v>
      </c>
      <c r="O85" s="144"/>
      <c r="P85" s="144">
        <f t="shared" ref="P85:P111" si="218">ROUNDUP(((G84+G85)*0.5)*(C85-C84)/27,0)</f>
        <v>0</v>
      </c>
      <c r="Q85" s="144">
        <f t="shared" ref="Q85:Q111" si="219">ROUNDUP(((H85+H84)*0.5)*(C85-C84)/27,0)</f>
        <v>30</v>
      </c>
      <c r="R85" s="144">
        <f t="shared" ref="R85:R111" si="220">ROUNDUP(((I85+I84)*0.5)*(C85-C84)/27,0)</f>
        <v>30</v>
      </c>
      <c r="S85" s="144">
        <f t="shared" ref="S85:S111" si="221">ROUNDUP(((J85+J84)*0.5)*(C85-C84)/9,0)</f>
        <v>174</v>
      </c>
      <c r="T85" s="144">
        <f t="shared" ref="T85:T111" si="222">ROUNDUP(((K85+K84)*0.5)*(C85-C84)/9,0)</f>
        <v>174</v>
      </c>
      <c r="U85" s="348">
        <f t="shared" si="211"/>
        <v>1052</v>
      </c>
      <c r="V85" s="154"/>
      <c r="W85" s="255">
        <f>M83+M84+M85</f>
        <v>4349</v>
      </c>
      <c r="X85" s="255">
        <f t="shared" ref="X85" si="223">N83+N84+N85</f>
        <v>1938</v>
      </c>
      <c r="Y85" s="255"/>
      <c r="Z85" s="255">
        <f t="shared" ref="Z85" si="224">P83+P84+P85</f>
        <v>0</v>
      </c>
      <c r="AA85" s="255">
        <f t="shared" ref="AA85" si="225">Q83+Q84+Q85</f>
        <v>30</v>
      </c>
      <c r="AB85" s="255">
        <f t="shared" ref="AB85" si="226">R83+R84+R85</f>
        <v>30</v>
      </c>
      <c r="AC85" s="255">
        <f t="shared" ref="AC85" si="227">S83+S84+S85</f>
        <v>174</v>
      </c>
      <c r="AD85" s="255">
        <f t="shared" ref="AD85" si="228">T83+T84+T85</f>
        <v>174</v>
      </c>
      <c r="AE85" s="255">
        <f t="shared" ref="AE85" si="229">U83+U84+U85</f>
        <v>1633</v>
      </c>
      <c r="AF85" s="153"/>
      <c r="AG85" s="158">
        <f t="shared" si="198"/>
        <v>38600</v>
      </c>
      <c r="AH85" s="144">
        <v>2853.6929</v>
      </c>
      <c r="AI85" s="144"/>
      <c r="AJ85" s="144"/>
      <c r="AK85" s="144"/>
      <c r="AL85" s="144"/>
      <c r="AM85" s="144"/>
      <c r="AN85" s="144"/>
      <c r="AO85" s="144"/>
      <c r="AP85" s="144"/>
      <c r="AQ85" s="144"/>
      <c r="AR85" s="144"/>
      <c r="AS85" s="144"/>
      <c r="AT85" s="144"/>
      <c r="AU85" s="144"/>
      <c r="AV85" s="144"/>
      <c r="AW85" s="144"/>
      <c r="AX85" s="144"/>
      <c r="AY85" s="144"/>
      <c r="AZ85" s="144"/>
      <c r="BA85" s="144"/>
      <c r="BB85" s="144"/>
      <c r="BC85" s="144"/>
      <c r="BD85" s="144"/>
      <c r="BE85" s="144"/>
      <c r="BF85" s="144"/>
      <c r="BG85" s="144"/>
      <c r="BH85" s="144"/>
      <c r="BI85" s="144"/>
      <c r="BJ85" s="144"/>
      <c r="BK85" s="144"/>
      <c r="BL85" s="144"/>
      <c r="BM85" s="144"/>
      <c r="BN85" s="144"/>
      <c r="BO85" s="144">
        <v>17.609500000000001</v>
      </c>
      <c r="BP85" s="144">
        <v>13.7895</v>
      </c>
      <c r="BQ85" s="144"/>
      <c r="BR85" s="144">
        <f t="shared" ref="BR85" si="230">BO85</f>
        <v>17.609500000000001</v>
      </c>
      <c r="BS85" s="144">
        <f>BP85</f>
        <v>13.7895</v>
      </c>
      <c r="BT85" s="144"/>
      <c r="BU85" s="144">
        <v>35.011299999999999</v>
      </c>
      <c r="BV85" s="144">
        <v>27.370799999999999</v>
      </c>
      <c r="BW85" s="144">
        <f>BU85</f>
        <v>35.011299999999999</v>
      </c>
      <c r="BX85" s="144">
        <f>BV85</f>
        <v>27.370799999999999</v>
      </c>
      <c r="BY85" s="144"/>
      <c r="BZ85" s="144"/>
      <c r="CA85" s="144"/>
      <c r="CB85" s="262">
        <f>167.9+4</f>
        <v>171.9</v>
      </c>
      <c r="CC85" s="1">
        <f t="shared" si="199"/>
        <v>38600</v>
      </c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167"/>
    </row>
    <row r="86" spans="1:111" s="2" customFormat="1" x14ac:dyDescent="0.25">
      <c r="A86" s="503"/>
      <c r="B86" s="125"/>
      <c r="C86" s="210">
        <v>38650</v>
      </c>
      <c r="D86" s="349">
        <f t="shared" si="212"/>
        <v>7066.8005999999996</v>
      </c>
      <c r="E86" s="349">
        <f t="shared" si="213"/>
        <v>0</v>
      </c>
      <c r="F86" s="147"/>
      <c r="G86" s="147">
        <f t="shared" si="214"/>
        <v>0</v>
      </c>
      <c r="H86" s="147">
        <f t="shared" si="194"/>
        <v>31.126000000000001</v>
      </c>
      <c r="I86" s="147">
        <f t="shared" si="195"/>
        <v>31.126000000000001</v>
      </c>
      <c r="J86" s="147">
        <f t="shared" si="196"/>
        <v>62.022599999999997</v>
      </c>
      <c r="K86" s="156">
        <f t="shared" si="197"/>
        <v>62.022599999999997</v>
      </c>
      <c r="L86" s="352">
        <f t="shared" si="215"/>
        <v>273.2</v>
      </c>
      <c r="M86" s="355">
        <f t="shared" si="216"/>
        <v>9186</v>
      </c>
      <c r="N86" s="147">
        <f t="shared" si="217"/>
        <v>0</v>
      </c>
      <c r="O86" s="147"/>
      <c r="P86" s="147">
        <f t="shared" si="218"/>
        <v>0</v>
      </c>
      <c r="Q86" s="147">
        <f t="shared" si="219"/>
        <v>58</v>
      </c>
      <c r="R86" s="147">
        <f t="shared" si="220"/>
        <v>58</v>
      </c>
      <c r="S86" s="147">
        <f t="shared" si="221"/>
        <v>346</v>
      </c>
      <c r="T86" s="147">
        <f t="shared" si="222"/>
        <v>346</v>
      </c>
      <c r="U86" s="349">
        <f t="shared" si="211"/>
        <v>1237</v>
      </c>
      <c r="V86" s="56"/>
      <c r="W86" s="151"/>
      <c r="X86" s="147"/>
      <c r="Y86" s="147"/>
      <c r="Z86" s="147"/>
      <c r="AA86" s="147"/>
      <c r="AB86" s="147"/>
      <c r="AC86" s="147"/>
      <c r="AD86" s="147"/>
      <c r="AE86" s="148"/>
      <c r="AF86" s="55"/>
      <c r="AG86" s="155">
        <f t="shared" si="198"/>
        <v>38650</v>
      </c>
      <c r="AH86" s="147">
        <v>7066.8005999999996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  <c r="BI86" s="147"/>
      <c r="BJ86" s="147"/>
      <c r="BK86" s="147"/>
      <c r="BL86" s="147"/>
      <c r="BM86" s="147"/>
      <c r="BN86" s="147"/>
      <c r="BO86" s="147">
        <v>17.609500000000001</v>
      </c>
      <c r="BP86" s="147">
        <v>13.516500000000001</v>
      </c>
      <c r="BQ86" s="147"/>
      <c r="BR86" s="147">
        <f t="shared" ref="BR86:BR110" si="231">BO86</f>
        <v>17.609500000000001</v>
      </c>
      <c r="BS86" s="147">
        <f t="shared" ref="BS86:BS90" si="232">BP86</f>
        <v>13.516500000000001</v>
      </c>
      <c r="BT86" s="147"/>
      <c r="BU86" s="147">
        <v>35.011899999999997</v>
      </c>
      <c r="BV86" s="147">
        <v>27.0107</v>
      </c>
      <c r="BW86" s="147">
        <f t="shared" ref="BW86:BW110" si="233">BU86</f>
        <v>35.011899999999997</v>
      </c>
      <c r="BX86" s="147">
        <f t="shared" ref="BX86:BX90" si="234">BV86</f>
        <v>27.0107</v>
      </c>
      <c r="BY86" s="147"/>
      <c r="BZ86" s="147"/>
      <c r="CA86" s="147"/>
      <c r="CB86" s="262">
        <f>269.2+4</f>
        <v>273.2</v>
      </c>
      <c r="CC86" s="1">
        <f t="shared" si="199"/>
        <v>38650</v>
      </c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 s="41"/>
    </row>
    <row r="87" spans="1:111" x14ac:dyDescent="0.25">
      <c r="A87" s="503"/>
      <c r="B87" s="125"/>
      <c r="C87" s="121">
        <v>38700</v>
      </c>
      <c r="D87" s="347">
        <f t="shared" si="212"/>
        <v>14370.531999999999</v>
      </c>
      <c r="E87" s="347">
        <f t="shared" si="213"/>
        <v>0</v>
      </c>
      <c r="F87" s="58"/>
      <c r="G87" s="58">
        <f t="shared" si="214"/>
        <v>0</v>
      </c>
      <c r="H87" s="58">
        <f t="shared" si="194"/>
        <v>31.127299999999998</v>
      </c>
      <c r="I87" s="58">
        <f t="shared" si="195"/>
        <v>31.127299999999998</v>
      </c>
      <c r="J87" s="58">
        <f t="shared" si="196"/>
        <v>62.022599999999997</v>
      </c>
      <c r="K87" s="51">
        <f t="shared" si="197"/>
        <v>62.022599999999997</v>
      </c>
      <c r="L87" s="350">
        <f t="shared" si="215"/>
        <v>373.1</v>
      </c>
      <c r="M87" s="353">
        <f t="shared" si="216"/>
        <v>19850</v>
      </c>
      <c r="N87" s="58">
        <f t="shared" si="217"/>
        <v>0</v>
      </c>
      <c r="O87" s="58"/>
      <c r="P87" s="58">
        <f t="shared" si="218"/>
        <v>0</v>
      </c>
      <c r="Q87" s="58">
        <f t="shared" si="219"/>
        <v>58</v>
      </c>
      <c r="R87" s="58">
        <f t="shared" si="220"/>
        <v>58</v>
      </c>
      <c r="S87" s="58">
        <f t="shared" si="221"/>
        <v>345</v>
      </c>
      <c r="T87" s="58">
        <f t="shared" si="222"/>
        <v>345</v>
      </c>
      <c r="U87" s="347">
        <f t="shared" si="211"/>
        <v>1796</v>
      </c>
      <c r="W87" s="105"/>
      <c r="X87" s="58"/>
      <c r="Y87" s="58"/>
      <c r="Z87" s="58"/>
      <c r="AA87" s="58"/>
      <c r="AB87" s="58"/>
      <c r="AC87" s="58"/>
      <c r="AD87" s="58"/>
      <c r="AE87" s="138"/>
      <c r="AG87" s="57">
        <f t="shared" si="198"/>
        <v>38700</v>
      </c>
      <c r="AH87" s="58">
        <v>14370.531999999999</v>
      </c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58"/>
      <c r="BH87" s="58"/>
      <c r="BI87" s="58"/>
      <c r="BJ87" s="58"/>
      <c r="BK87" s="58"/>
      <c r="BL87" s="58"/>
      <c r="BM87" s="58"/>
      <c r="BN87" s="58"/>
      <c r="BO87" s="58">
        <v>17.609500000000001</v>
      </c>
      <c r="BP87" s="58">
        <v>13.517799999999999</v>
      </c>
      <c r="BQ87" s="58"/>
      <c r="BR87" s="58">
        <f t="shared" si="231"/>
        <v>17.609500000000001</v>
      </c>
      <c r="BS87" s="58">
        <f t="shared" si="232"/>
        <v>13.517799999999999</v>
      </c>
      <c r="BT87" s="58"/>
      <c r="BU87" s="58">
        <v>35.011899999999997</v>
      </c>
      <c r="BV87" s="58">
        <v>27.0107</v>
      </c>
      <c r="BW87" s="58">
        <f t="shared" si="233"/>
        <v>35.011899999999997</v>
      </c>
      <c r="BX87" s="58">
        <f t="shared" si="234"/>
        <v>27.0107</v>
      </c>
      <c r="BY87" s="58"/>
      <c r="BZ87" s="58"/>
      <c r="CA87" s="58"/>
      <c r="CB87" s="262">
        <f>369.1+4</f>
        <v>373.1</v>
      </c>
      <c r="CC87" s="1">
        <f t="shared" si="199"/>
        <v>38700</v>
      </c>
    </row>
    <row r="88" spans="1:111" s="3" customFormat="1" ht="15.75" thickBot="1" x14ac:dyDescent="0.3">
      <c r="A88" s="503"/>
      <c r="B88" s="211"/>
      <c r="C88" s="212">
        <v>38750</v>
      </c>
      <c r="D88" s="348">
        <f t="shared" si="212"/>
        <v>22515.711599999999</v>
      </c>
      <c r="E88" s="348">
        <f t="shared" si="213"/>
        <v>0</v>
      </c>
      <c r="F88" s="144"/>
      <c r="G88" s="144">
        <f t="shared" si="214"/>
        <v>0</v>
      </c>
      <c r="H88" s="144">
        <f t="shared" si="194"/>
        <v>31.253</v>
      </c>
      <c r="I88" s="144">
        <f t="shared" si="195"/>
        <v>31.221800000000002</v>
      </c>
      <c r="J88" s="144">
        <f t="shared" si="196"/>
        <v>62.025000000000006</v>
      </c>
      <c r="K88" s="159">
        <f t="shared" si="197"/>
        <v>62.025000000000006</v>
      </c>
      <c r="L88" s="351">
        <f t="shared" si="215"/>
        <v>437</v>
      </c>
      <c r="M88" s="354">
        <f t="shared" si="216"/>
        <v>34154</v>
      </c>
      <c r="N88" s="144">
        <f t="shared" si="217"/>
        <v>0</v>
      </c>
      <c r="O88" s="144"/>
      <c r="P88" s="144">
        <f t="shared" si="218"/>
        <v>0</v>
      </c>
      <c r="Q88" s="144">
        <f t="shared" si="219"/>
        <v>58</v>
      </c>
      <c r="R88" s="144">
        <f t="shared" si="220"/>
        <v>58</v>
      </c>
      <c r="S88" s="144">
        <f t="shared" si="221"/>
        <v>345</v>
      </c>
      <c r="T88" s="144">
        <f t="shared" si="222"/>
        <v>345</v>
      </c>
      <c r="U88" s="348">
        <f t="shared" si="211"/>
        <v>2251</v>
      </c>
      <c r="W88" s="255">
        <f>M86+M87+M88</f>
        <v>63190</v>
      </c>
      <c r="X88" s="255">
        <f t="shared" ref="X88" si="235">N86+N87+N88</f>
        <v>0</v>
      </c>
      <c r="Y88" s="255"/>
      <c r="Z88" s="255">
        <f t="shared" ref="Z88" si="236">P86+P87+P88</f>
        <v>0</v>
      </c>
      <c r="AA88" s="255">
        <f t="shared" ref="AA88" si="237">Q86+Q87+Q88</f>
        <v>174</v>
      </c>
      <c r="AB88" s="255">
        <f t="shared" ref="AB88" si="238">R86+R87+R88</f>
        <v>174</v>
      </c>
      <c r="AC88" s="255">
        <f t="shared" ref="AC88" si="239">S86+S87+S88</f>
        <v>1036</v>
      </c>
      <c r="AD88" s="255">
        <f t="shared" ref="AD88" si="240">T86+T87+T88</f>
        <v>1036</v>
      </c>
      <c r="AE88" s="255">
        <f t="shared" ref="AE88" si="241">U86+U87+U88</f>
        <v>5284</v>
      </c>
      <c r="AG88" s="158">
        <f t="shared" si="198"/>
        <v>38750</v>
      </c>
      <c r="AH88" s="144">
        <v>22515.711599999999</v>
      </c>
      <c r="AI88" s="144"/>
      <c r="AJ88" s="144"/>
      <c r="AK88" s="144"/>
      <c r="AL88" s="144"/>
      <c r="AM88" s="144"/>
      <c r="AN88" s="144"/>
      <c r="AO88" s="144"/>
      <c r="AP88" s="144"/>
      <c r="AQ88" s="144"/>
      <c r="AR88" s="144"/>
      <c r="AS88" s="144"/>
      <c r="AT88" s="144"/>
      <c r="AU88" s="144"/>
      <c r="AV88" s="144"/>
      <c r="AW88" s="144"/>
      <c r="AX88" s="144"/>
      <c r="AY88" s="144"/>
      <c r="AZ88" s="144"/>
      <c r="BA88" s="144"/>
      <c r="BB88" s="144"/>
      <c r="BC88" s="144"/>
      <c r="BD88" s="144"/>
      <c r="BE88" s="144"/>
      <c r="BF88" s="144"/>
      <c r="BG88" s="144"/>
      <c r="BH88" s="144"/>
      <c r="BI88" s="144"/>
      <c r="BJ88" s="144"/>
      <c r="BK88" s="144"/>
      <c r="BL88" s="144"/>
      <c r="BM88" s="144"/>
      <c r="BN88" s="144"/>
      <c r="BO88" s="144">
        <v>17.6435</v>
      </c>
      <c r="BP88" s="144">
        <v>13.609500000000001</v>
      </c>
      <c r="BQ88" s="144"/>
      <c r="BR88" s="144">
        <v>17.612300000000001</v>
      </c>
      <c r="BS88" s="144">
        <f t="shared" si="232"/>
        <v>13.609500000000001</v>
      </c>
      <c r="BT88" s="144"/>
      <c r="BU88" s="144">
        <v>35.012</v>
      </c>
      <c r="BV88" s="144">
        <v>27.013000000000002</v>
      </c>
      <c r="BW88" s="144">
        <f t="shared" si="233"/>
        <v>35.012</v>
      </c>
      <c r="BX88" s="144">
        <f t="shared" si="234"/>
        <v>27.013000000000002</v>
      </c>
      <c r="BY88" s="144"/>
      <c r="BZ88" s="144"/>
      <c r="CA88" s="144"/>
      <c r="CB88" s="262">
        <f>433+4</f>
        <v>437</v>
      </c>
      <c r="CC88" s="1">
        <f t="shared" si="199"/>
        <v>38750</v>
      </c>
    </row>
    <row r="89" spans="1:111" x14ac:dyDescent="0.25">
      <c r="A89" s="503"/>
      <c r="B89" s="125"/>
      <c r="C89" s="210">
        <v>38800</v>
      </c>
      <c r="D89" s="349">
        <f t="shared" si="212"/>
        <v>31249.143</v>
      </c>
      <c r="E89" s="349">
        <f t="shared" si="213"/>
        <v>0</v>
      </c>
      <c r="F89" s="147"/>
      <c r="G89" s="147">
        <f t="shared" si="214"/>
        <v>0</v>
      </c>
      <c r="H89" s="147">
        <f t="shared" si="194"/>
        <v>31.219000000000001</v>
      </c>
      <c r="I89" s="147">
        <f t="shared" si="195"/>
        <v>31.219000000000001</v>
      </c>
      <c r="J89" s="147">
        <f t="shared" si="196"/>
        <v>62.041200000000003</v>
      </c>
      <c r="K89" s="156">
        <f t="shared" si="197"/>
        <v>62.041200000000003</v>
      </c>
      <c r="L89" s="352">
        <f t="shared" si="215"/>
        <v>491.2</v>
      </c>
      <c r="M89" s="355">
        <f t="shared" si="216"/>
        <v>49783</v>
      </c>
      <c r="N89" s="147">
        <f t="shared" si="217"/>
        <v>0</v>
      </c>
      <c r="O89" s="147"/>
      <c r="P89" s="147">
        <f t="shared" si="218"/>
        <v>0</v>
      </c>
      <c r="Q89" s="147">
        <f t="shared" si="219"/>
        <v>58</v>
      </c>
      <c r="R89" s="147">
        <f t="shared" si="220"/>
        <v>58</v>
      </c>
      <c r="S89" s="147">
        <f t="shared" si="221"/>
        <v>345</v>
      </c>
      <c r="T89" s="147">
        <f t="shared" si="222"/>
        <v>345</v>
      </c>
      <c r="U89" s="349">
        <f t="shared" si="211"/>
        <v>2579</v>
      </c>
      <c r="W89" s="151"/>
      <c r="X89" s="147"/>
      <c r="Y89" s="147"/>
      <c r="Z89" s="147"/>
      <c r="AA89" s="147"/>
      <c r="AB89" s="147"/>
      <c r="AC89" s="147"/>
      <c r="AD89" s="147"/>
      <c r="AE89" s="148"/>
      <c r="AG89" s="155">
        <f t="shared" si="198"/>
        <v>38800</v>
      </c>
      <c r="AH89" s="147">
        <v>31249.143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  <c r="BI89" s="147"/>
      <c r="BJ89" s="147"/>
      <c r="BK89" s="147"/>
      <c r="BL89" s="147"/>
      <c r="BM89" s="147"/>
      <c r="BN89" s="147"/>
      <c r="BO89" s="147">
        <v>17.609500000000001</v>
      </c>
      <c r="BP89" s="147">
        <v>13.609500000000001</v>
      </c>
      <c r="BQ89" s="147"/>
      <c r="BR89" s="147">
        <f t="shared" si="231"/>
        <v>17.609500000000001</v>
      </c>
      <c r="BS89" s="147">
        <f t="shared" si="232"/>
        <v>13.609500000000001</v>
      </c>
      <c r="BT89" s="147"/>
      <c r="BU89" s="147">
        <v>35.018300000000004</v>
      </c>
      <c r="BV89" s="147">
        <v>27.0229</v>
      </c>
      <c r="BW89" s="147">
        <f t="shared" si="233"/>
        <v>35.018300000000004</v>
      </c>
      <c r="BX89" s="147">
        <f t="shared" si="234"/>
        <v>27.0229</v>
      </c>
      <c r="BY89" s="147"/>
      <c r="BZ89" s="147"/>
      <c r="CA89" s="147"/>
      <c r="CB89" s="262">
        <f>487.2+4</f>
        <v>491.2</v>
      </c>
      <c r="CC89" s="1">
        <f t="shared" si="199"/>
        <v>38800</v>
      </c>
    </row>
    <row r="90" spans="1:111" x14ac:dyDescent="0.25">
      <c r="A90" s="503"/>
      <c r="B90" s="127" t="s">
        <v>53</v>
      </c>
      <c r="C90" s="509">
        <v>38820.53</v>
      </c>
      <c r="D90" s="362">
        <f t="shared" si="212"/>
        <v>33942.343399999998</v>
      </c>
      <c r="E90" s="362">
        <f t="shared" si="213"/>
        <v>0</v>
      </c>
      <c r="F90" s="59"/>
      <c r="G90" s="59">
        <f t="shared" si="214"/>
        <v>0</v>
      </c>
      <c r="H90" s="59">
        <f t="shared" si="194"/>
        <v>31.2319</v>
      </c>
      <c r="I90" s="59">
        <f t="shared" si="195"/>
        <v>31.2319</v>
      </c>
      <c r="J90" s="59">
        <f t="shared" si="196"/>
        <v>62.007900000000006</v>
      </c>
      <c r="K90" s="60">
        <f t="shared" si="197"/>
        <v>62.007900000000006</v>
      </c>
      <c r="L90" s="375">
        <f t="shared" si="215"/>
        <v>511.8836</v>
      </c>
      <c r="M90" s="387">
        <f t="shared" si="216"/>
        <v>24785</v>
      </c>
      <c r="N90" s="59">
        <f t="shared" si="217"/>
        <v>0</v>
      </c>
      <c r="O90" s="59"/>
      <c r="P90" s="59">
        <f t="shared" si="218"/>
        <v>0</v>
      </c>
      <c r="Q90" s="59">
        <f>ROUNDUP(((H90+H89)*0.5)*(C90-C89)/27,0)</f>
        <v>24</v>
      </c>
      <c r="R90" s="59">
        <f t="shared" si="220"/>
        <v>24</v>
      </c>
      <c r="S90" s="59">
        <f t="shared" si="221"/>
        <v>142</v>
      </c>
      <c r="T90" s="59">
        <f t="shared" si="222"/>
        <v>142</v>
      </c>
      <c r="U90" s="347">
        <f t="shared" si="211"/>
        <v>1145</v>
      </c>
      <c r="V90" s="62"/>
      <c r="W90" s="106"/>
      <c r="X90" s="59"/>
      <c r="Y90" s="59"/>
      <c r="Z90" s="59"/>
      <c r="AA90" s="59"/>
      <c r="AB90" s="59"/>
      <c r="AC90" s="59"/>
      <c r="AD90" s="59"/>
      <c r="AE90" s="138"/>
      <c r="AF90" s="128" t="str">
        <f>B90</f>
        <v>back</v>
      </c>
      <c r="AG90" s="451">
        <f t="shared" si="198"/>
        <v>38820.53</v>
      </c>
      <c r="AH90" s="59">
        <v>25734.890899999999</v>
      </c>
      <c r="AI90" s="59">
        <v>8207.4524999999994</v>
      </c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59"/>
      <c r="BD90" s="59"/>
      <c r="BE90" s="59"/>
      <c r="BF90" s="59"/>
      <c r="BG90" s="59"/>
      <c r="BH90" s="59"/>
      <c r="BI90" s="59"/>
      <c r="BJ90" s="59"/>
      <c r="BK90" s="59"/>
      <c r="BL90" s="59"/>
      <c r="BM90" s="59"/>
      <c r="BN90" s="59"/>
      <c r="BO90" s="59">
        <v>17.622399999999999</v>
      </c>
      <c r="BP90" s="59">
        <v>13.609500000000001</v>
      </c>
      <c r="BQ90" s="59"/>
      <c r="BR90" s="59">
        <f t="shared" si="231"/>
        <v>17.622399999999999</v>
      </c>
      <c r="BS90" s="59">
        <f t="shared" si="232"/>
        <v>13.609500000000001</v>
      </c>
      <c r="BT90" s="59"/>
      <c r="BU90" s="59">
        <v>35.047600000000003</v>
      </c>
      <c r="BV90" s="59">
        <v>26.9603</v>
      </c>
      <c r="BW90" s="58">
        <f t="shared" si="233"/>
        <v>35.047600000000003</v>
      </c>
      <c r="BX90" s="58">
        <f t="shared" si="234"/>
        <v>26.9603</v>
      </c>
      <c r="BY90" s="59"/>
      <c r="BZ90" s="59"/>
      <c r="CA90" s="59">
        <v>364.93889999999999</v>
      </c>
      <c r="CB90" s="268">
        <v>146.94470000000001</v>
      </c>
      <c r="CC90" s="521">
        <f t="shared" si="199"/>
        <v>38820.53</v>
      </c>
      <c r="CD90" s="127" t="s">
        <v>53</v>
      </c>
    </row>
    <row r="91" spans="1:111" s="3" customFormat="1" ht="15.75" thickBot="1" x14ac:dyDescent="0.3">
      <c r="A91" s="503"/>
      <c r="B91" s="214" t="s">
        <v>54</v>
      </c>
      <c r="C91" s="510"/>
      <c r="D91" s="363">
        <f t="shared" ref="D91:D92" si="242">SUM(AH91:AX91)</f>
        <v>25734.890899999999</v>
      </c>
      <c r="E91" s="363">
        <f t="shared" ref="E91:E92" si="243">SUM(AY91:BG91)</f>
        <v>0</v>
      </c>
      <c r="F91" s="184"/>
      <c r="G91" s="184">
        <f t="shared" ref="G91:G92" si="244">SUM(BL91:BN91)</f>
        <v>0</v>
      </c>
      <c r="H91" s="184">
        <f t="shared" si="194"/>
        <v>31.2319</v>
      </c>
      <c r="I91" s="184">
        <f t="shared" si="195"/>
        <v>31.2319</v>
      </c>
      <c r="J91" s="184">
        <f t="shared" si="196"/>
        <v>35.047600000000003</v>
      </c>
      <c r="K91" s="215">
        <f t="shared" si="197"/>
        <v>35.047600000000003</v>
      </c>
      <c r="L91" s="376">
        <f t="shared" ref="L91:L92" si="245">SUM(BY91:CB91)</f>
        <v>369</v>
      </c>
      <c r="M91" s="388"/>
      <c r="N91" s="184"/>
      <c r="O91" s="184"/>
      <c r="P91" s="184"/>
      <c r="Q91" s="184"/>
      <c r="R91" s="184"/>
      <c r="S91" s="184"/>
      <c r="T91" s="184"/>
      <c r="U91" s="348"/>
      <c r="V91" s="66"/>
      <c r="W91" s="255">
        <f>M89+M90+M91</f>
        <v>74568</v>
      </c>
      <c r="X91" s="255">
        <f t="shared" ref="X91" si="246">N89+N90+N91</f>
        <v>0</v>
      </c>
      <c r="Y91" s="255"/>
      <c r="Z91" s="255">
        <f t="shared" ref="Z91" si="247">P89+P90+P91</f>
        <v>0</v>
      </c>
      <c r="AA91" s="255">
        <f t="shared" ref="AA91" si="248">Q89+Q90+Q91</f>
        <v>82</v>
      </c>
      <c r="AB91" s="255">
        <f t="shared" ref="AB91" si="249">R89+R90+R91</f>
        <v>82</v>
      </c>
      <c r="AC91" s="255">
        <f t="shared" ref="AC91" si="250">S89+S90+S91</f>
        <v>487</v>
      </c>
      <c r="AD91" s="255">
        <f t="shared" ref="AD91" si="251">T89+T90+T91</f>
        <v>487</v>
      </c>
      <c r="AE91" s="255">
        <f t="shared" ref="AE91" si="252">U89+U90+U91</f>
        <v>3724</v>
      </c>
      <c r="AF91" s="216" t="str">
        <f>B91</f>
        <v>ahead</v>
      </c>
      <c r="AG91" s="452"/>
      <c r="AH91" s="184">
        <v>25734.890899999999</v>
      </c>
      <c r="AI91" s="184"/>
      <c r="AJ91" s="184"/>
      <c r="AK91" s="184"/>
      <c r="AL91" s="184"/>
      <c r="AM91" s="184"/>
      <c r="AN91" s="184"/>
      <c r="AO91" s="184"/>
      <c r="AP91" s="184"/>
      <c r="AQ91" s="184"/>
      <c r="AR91" s="184"/>
      <c r="AS91" s="184"/>
      <c r="AT91" s="184"/>
      <c r="AU91" s="184"/>
      <c r="AV91" s="184"/>
      <c r="AW91" s="184"/>
      <c r="AX91" s="184"/>
      <c r="AY91" s="184"/>
      <c r="AZ91" s="184"/>
      <c r="BA91" s="184"/>
      <c r="BB91" s="184"/>
      <c r="BC91" s="184"/>
      <c r="BD91" s="184"/>
      <c r="BE91" s="184"/>
      <c r="BF91" s="184"/>
      <c r="BG91" s="184"/>
      <c r="BH91" s="184"/>
      <c r="BI91" s="184"/>
      <c r="BJ91" s="184"/>
      <c r="BK91" s="184"/>
      <c r="BL91" s="184"/>
      <c r="BM91" s="184"/>
      <c r="BN91" s="184"/>
      <c r="BO91" s="184">
        <v>17.622399999999999</v>
      </c>
      <c r="BP91" s="184">
        <v>13.609500000000001</v>
      </c>
      <c r="BQ91" s="184"/>
      <c r="BR91" s="184">
        <f t="shared" si="231"/>
        <v>17.622399999999999</v>
      </c>
      <c r="BS91" s="184">
        <f>BP91</f>
        <v>13.609500000000001</v>
      </c>
      <c r="BT91" s="184"/>
      <c r="BU91" s="184">
        <v>35.047600000000003</v>
      </c>
      <c r="BV91" s="184"/>
      <c r="BW91" s="144">
        <f t="shared" si="233"/>
        <v>35.047600000000003</v>
      </c>
      <c r="BX91" s="144"/>
      <c r="BY91" s="184"/>
      <c r="BZ91" s="184"/>
      <c r="CA91" s="59">
        <v>369</v>
      </c>
      <c r="CB91" s="269"/>
      <c r="CC91" s="521"/>
      <c r="CD91" s="214" t="s">
        <v>54</v>
      </c>
    </row>
    <row r="92" spans="1:111" s="219" customFormat="1" x14ac:dyDescent="0.25">
      <c r="A92" s="503"/>
      <c r="B92" s="218"/>
      <c r="C92" s="210">
        <v>38850</v>
      </c>
      <c r="D92" s="349">
        <f t="shared" si="242"/>
        <v>26438.956099999999</v>
      </c>
      <c r="E92" s="349">
        <f t="shared" si="243"/>
        <v>0</v>
      </c>
      <c r="F92" s="147"/>
      <c r="G92" s="147">
        <f t="shared" si="244"/>
        <v>0</v>
      </c>
      <c r="H92" s="147">
        <f t="shared" si="194"/>
        <v>17.6099</v>
      </c>
      <c r="I92" s="147">
        <f t="shared" si="195"/>
        <v>17.6099</v>
      </c>
      <c r="J92" s="147">
        <f t="shared" si="196"/>
        <v>35.035600000000002</v>
      </c>
      <c r="K92" s="156">
        <f t="shared" si="197"/>
        <v>35.035600000000002</v>
      </c>
      <c r="L92" s="352">
        <f t="shared" si="245"/>
        <v>386.8</v>
      </c>
      <c r="M92" s="355">
        <f>ROUNDUP(((D91+D92)*0.5)*(C92-C90)/27,0)</f>
        <v>28474</v>
      </c>
      <c r="N92" s="147">
        <f>ROUNDUP(((E89+E92)*0.5)*(C92-C89)/27,0)</f>
        <v>0</v>
      </c>
      <c r="O92" s="147"/>
      <c r="P92" s="147">
        <f>ROUNDUP(((G89+G92)*0.5)*(C92-C89)/27,0)</f>
        <v>0</v>
      </c>
      <c r="Q92" s="147">
        <f>ROUNDUP(((H92+H91)*0.5)*(C92-C90)/27,0)</f>
        <v>27</v>
      </c>
      <c r="R92" s="147">
        <f>ROUNDUP(((I92+I91)*0.5)*(C92-C90)/27,0)</f>
        <v>27</v>
      </c>
      <c r="S92" s="147">
        <f>ROUNDUP(((J92+J91)*0.5)*(C92-C90)/9,0)</f>
        <v>115</v>
      </c>
      <c r="T92" s="147">
        <f>ROUNDUP(((K92+K91)*0.5)*(C92-C90)/9,0)</f>
        <v>115</v>
      </c>
      <c r="U92" s="349">
        <f>ROUNDUP(((L92+L91)*0.5)*(C92-C90)/9,0)</f>
        <v>1238</v>
      </c>
      <c r="W92" s="151"/>
      <c r="X92" s="147"/>
      <c r="Y92" s="147"/>
      <c r="Z92" s="147"/>
      <c r="AA92" s="147"/>
      <c r="AB92" s="147"/>
      <c r="AC92" s="147"/>
      <c r="AD92" s="147"/>
      <c r="AE92" s="148"/>
      <c r="AG92" s="155">
        <f t="shared" ref="AG92" si="253">C92</f>
        <v>38850</v>
      </c>
      <c r="AH92" s="147">
        <v>26438.956099999999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  <c r="BI92" s="147"/>
      <c r="BJ92" s="147"/>
      <c r="BK92" s="147"/>
      <c r="BL92" s="147"/>
      <c r="BM92" s="147"/>
      <c r="BN92" s="147"/>
      <c r="BO92" s="147">
        <v>17.6099</v>
      </c>
      <c r="BP92" s="147"/>
      <c r="BQ92" s="147"/>
      <c r="BR92" s="147">
        <f t="shared" si="231"/>
        <v>17.6099</v>
      </c>
      <c r="BS92" s="147"/>
      <c r="BT92" s="147"/>
      <c r="BU92" s="147">
        <v>35.035600000000002</v>
      </c>
      <c r="BV92" s="147"/>
      <c r="BW92" s="147">
        <f t="shared" si="233"/>
        <v>35.035600000000002</v>
      </c>
      <c r="BX92" s="147"/>
      <c r="BY92" s="147"/>
      <c r="BZ92" s="147"/>
      <c r="CA92" s="147"/>
      <c r="CB92" s="262">
        <v>386.8</v>
      </c>
      <c r="CC92" s="1">
        <f t="shared" si="199"/>
        <v>38850</v>
      </c>
    </row>
    <row r="93" spans="1:111" s="3" customFormat="1" ht="15.75" thickBot="1" x14ac:dyDescent="0.3">
      <c r="A93" s="503"/>
      <c r="B93" s="211"/>
      <c r="C93" s="217">
        <v>38900</v>
      </c>
      <c r="D93" s="364">
        <f t="shared" si="212"/>
        <v>24825.659</v>
      </c>
      <c r="E93" s="364">
        <f t="shared" si="213"/>
        <v>0</v>
      </c>
      <c r="F93" s="196"/>
      <c r="G93" s="196">
        <f t="shared" si="214"/>
        <v>0</v>
      </c>
      <c r="H93" s="196">
        <f t="shared" si="194"/>
        <v>16.295999999999999</v>
      </c>
      <c r="I93" s="196">
        <f t="shared" si="195"/>
        <v>16.295999999999999</v>
      </c>
      <c r="J93" s="196">
        <f t="shared" si="196"/>
        <v>32.431699999999999</v>
      </c>
      <c r="K93" s="197">
        <f t="shared" si="197"/>
        <v>32.431699999999999</v>
      </c>
      <c r="L93" s="377">
        <f t="shared" si="215"/>
        <v>422.5</v>
      </c>
      <c r="M93" s="389">
        <f>ROUNDUP(((D92+D93)*0.5)*(C93-C92)/27,0)</f>
        <v>47468</v>
      </c>
      <c r="N93" s="196">
        <f>ROUNDUP(((E92+E93)*0.5)*(C93-C92)/27,0)</f>
        <v>0</v>
      </c>
      <c r="O93" s="196"/>
      <c r="P93" s="196">
        <f>ROUNDUP(((G92+G93)*0.5)*(C93-C92)/27,0)</f>
        <v>0</v>
      </c>
      <c r="Q93" s="196">
        <f>ROUNDUP(((H93+H92)*0.5)*(C93-C92)/27,0)</f>
        <v>32</v>
      </c>
      <c r="R93" s="196">
        <f>ROUNDUP(((I93+I92)*0.5)*(C93-C92)/27,0)</f>
        <v>32</v>
      </c>
      <c r="S93" s="196">
        <f>ROUNDUP(((J93+J92)*0.5)*(C93-C92)/9,0)</f>
        <v>188</v>
      </c>
      <c r="T93" s="196">
        <f>ROUNDUP(((K93+K92)*0.5)*(C93-C92)/9,0)</f>
        <v>188</v>
      </c>
      <c r="U93" s="364">
        <f>ROUNDUP(((L93+L92)*0.5)*(C93-C92)/9,0)</f>
        <v>2249</v>
      </c>
      <c r="W93" s="255">
        <f>M92+M93</f>
        <v>75942</v>
      </c>
      <c r="X93" s="255">
        <f t="shared" ref="X93" si="254">N92+N93</f>
        <v>0</v>
      </c>
      <c r="Y93" s="255"/>
      <c r="Z93" s="255">
        <f t="shared" ref="Z93" si="255">P92+P93</f>
        <v>0</v>
      </c>
      <c r="AA93" s="255">
        <f t="shared" ref="AA93" si="256">Q92+Q93</f>
        <v>59</v>
      </c>
      <c r="AB93" s="255">
        <f t="shared" ref="AB93" si="257">R92+R93</f>
        <v>59</v>
      </c>
      <c r="AC93" s="255">
        <f t="shared" ref="AC93" si="258">S92+S93</f>
        <v>303</v>
      </c>
      <c r="AD93" s="255">
        <f t="shared" ref="AD93" si="259">T92+T93</f>
        <v>303</v>
      </c>
      <c r="AE93" s="255">
        <f t="shared" ref="AE93" si="260">U92+U93</f>
        <v>3487</v>
      </c>
      <c r="AG93" s="195">
        <f t="shared" si="198"/>
        <v>38900</v>
      </c>
      <c r="AH93" s="196">
        <v>24825.659</v>
      </c>
      <c r="AI93" s="196"/>
      <c r="AJ93" s="196"/>
      <c r="AK93" s="196"/>
      <c r="AL93" s="196"/>
      <c r="AM93" s="196"/>
      <c r="AN93" s="196"/>
      <c r="AO93" s="196"/>
      <c r="AP93" s="196"/>
      <c r="AQ93" s="196"/>
      <c r="AR93" s="196"/>
      <c r="AS93" s="196"/>
      <c r="AT93" s="196"/>
      <c r="AU93" s="196"/>
      <c r="AV93" s="196"/>
      <c r="AW93" s="196"/>
      <c r="AX93" s="196"/>
      <c r="AY93" s="196"/>
      <c r="AZ93" s="196"/>
      <c r="BA93" s="196"/>
      <c r="BB93" s="196"/>
      <c r="BC93" s="196"/>
      <c r="BD93" s="196"/>
      <c r="BE93" s="196"/>
      <c r="BF93" s="196"/>
      <c r="BG93" s="196"/>
      <c r="BH93" s="196"/>
      <c r="BI93" s="196"/>
      <c r="BJ93" s="196"/>
      <c r="BK93" s="196"/>
      <c r="BL93" s="196"/>
      <c r="BM93" s="144"/>
      <c r="BN93" s="144"/>
      <c r="BO93" s="144">
        <v>16.295999999999999</v>
      </c>
      <c r="BP93" s="144"/>
      <c r="BQ93" s="144"/>
      <c r="BR93" s="144">
        <f t="shared" si="231"/>
        <v>16.295999999999999</v>
      </c>
      <c r="BS93" s="144"/>
      <c r="BT93" s="144"/>
      <c r="BU93" s="144">
        <v>32.431699999999999</v>
      </c>
      <c r="BV93" s="144"/>
      <c r="BW93" s="144">
        <f t="shared" si="233"/>
        <v>32.431699999999999</v>
      </c>
      <c r="BX93" s="144"/>
      <c r="BY93" s="144"/>
      <c r="BZ93" s="144"/>
      <c r="CA93" s="196"/>
      <c r="CB93" s="262">
        <v>422.5</v>
      </c>
      <c r="CC93" s="1">
        <f t="shared" si="199"/>
        <v>38900</v>
      </c>
    </row>
    <row r="94" spans="1:111" x14ac:dyDescent="0.25">
      <c r="A94" s="503"/>
      <c r="B94" s="125"/>
      <c r="C94" s="210">
        <v>38950</v>
      </c>
      <c r="D94" s="349">
        <f t="shared" si="212"/>
        <v>22487.8161</v>
      </c>
      <c r="E94" s="349">
        <f t="shared" si="213"/>
        <v>0</v>
      </c>
      <c r="F94" s="147"/>
      <c r="G94" s="147">
        <f t="shared" si="214"/>
        <v>0</v>
      </c>
      <c r="H94" s="147">
        <f t="shared" si="194"/>
        <v>13.6113</v>
      </c>
      <c r="I94" s="147">
        <f t="shared" si="195"/>
        <v>13.6113</v>
      </c>
      <c r="J94" s="147">
        <f t="shared" si="196"/>
        <v>27.0534</v>
      </c>
      <c r="K94" s="156">
        <f t="shared" si="197"/>
        <v>27.0534</v>
      </c>
      <c r="L94" s="352">
        <f t="shared" si="215"/>
        <v>453.1</v>
      </c>
      <c r="M94" s="355">
        <f t="shared" si="216"/>
        <v>43809</v>
      </c>
      <c r="N94" s="147">
        <f t="shared" si="217"/>
        <v>0</v>
      </c>
      <c r="O94" s="147"/>
      <c r="P94" s="147">
        <f t="shared" si="218"/>
        <v>0</v>
      </c>
      <c r="Q94" s="147">
        <f t="shared" si="219"/>
        <v>28</v>
      </c>
      <c r="R94" s="147">
        <f t="shared" si="220"/>
        <v>28</v>
      </c>
      <c r="S94" s="147">
        <f t="shared" si="221"/>
        <v>166</v>
      </c>
      <c r="T94" s="147">
        <f t="shared" si="222"/>
        <v>166</v>
      </c>
      <c r="U94" s="349">
        <f t="shared" si="211"/>
        <v>2433</v>
      </c>
      <c r="W94" s="151"/>
      <c r="X94" s="147"/>
      <c r="Y94" s="147"/>
      <c r="Z94" s="147"/>
      <c r="AA94" s="147"/>
      <c r="AB94" s="147"/>
      <c r="AC94" s="147"/>
      <c r="AD94" s="147"/>
      <c r="AE94" s="148"/>
      <c r="AG94" s="155">
        <f t="shared" si="198"/>
        <v>38950</v>
      </c>
      <c r="AH94" s="147">
        <v>22487.8161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  <c r="BI94" s="147"/>
      <c r="BJ94" s="147"/>
      <c r="BK94" s="147"/>
      <c r="BL94" s="147"/>
      <c r="BM94" s="147"/>
      <c r="BN94" s="147"/>
      <c r="BO94" s="147">
        <v>13.6113</v>
      </c>
      <c r="BP94" s="147"/>
      <c r="BQ94" s="147"/>
      <c r="BR94" s="147">
        <f t="shared" si="231"/>
        <v>13.6113</v>
      </c>
      <c r="BS94" s="147"/>
      <c r="BT94" s="147"/>
      <c r="BU94" s="147">
        <v>27.0534</v>
      </c>
      <c r="BV94" s="147"/>
      <c r="BW94" s="147">
        <f t="shared" si="233"/>
        <v>27.0534</v>
      </c>
      <c r="BX94" s="147"/>
      <c r="BY94" s="147"/>
      <c r="BZ94" s="147"/>
      <c r="CA94" s="147"/>
      <c r="CB94" s="262">
        <v>453.1</v>
      </c>
      <c r="CC94" s="1">
        <f t="shared" si="199"/>
        <v>38950</v>
      </c>
    </row>
    <row r="95" spans="1:111" s="3" customFormat="1" ht="15.75" thickBot="1" x14ac:dyDescent="0.3">
      <c r="A95" s="503"/>
      <c r="B95" s="211"/>
      <c r="C95" s="212">
        <v>39000</v>
      </c>
      <c r="D95" s="348">
        <f t="shared" si="212"/>
        <v>23920.483100000001</v>
      </c>
      <c r="E95" s="348">
        <f t="shared" si="213"/>
        <v>0</v>
      </c>
      <c r="F95" s="144"/>
      <c r="G95" s="144">
        <f t="shared" si="214"/>
        <v>0</v>
      </c>
      <c r="H95" s="144">
        <f t="shared" si="194"/>
        <v>13.7225</v>
      </c>
      <c r="I95" s="144">
        <f t="shared" si="195"/>
        <v>13.7225</v>
      </c>
      <c r="J95" s="144">
        <f t="shared" si="196"/>
        <v>27.0532</v>
      </c>
      <c r="K95" s="159">
        <f t="shared" si="197"/>
        <v>27.0532</v>
      </c>
      <c r="L95" s="351">
        <f t="shared" si="215"/>
        <v>561.20000000000005</v>
      </c>
      <c r="M95" s="354">
        <f t="shared" si="216"/>
        <v>42971</v>
      </c>
      <c r="N95" s="144">
        <f t="shared" si="217"/>
        <v>0</v>
      </c>
      <c r="O95" s="144"/>
      <c r="P95" s="144">
        <f t="shared" si="218"/>
        <v>0</v>
      </c>
      <c r="Q95" s="144">
        <f t="shared" si="219"/>
        <v>26</v>
      </c>
      <c r="R95" s="144">
        <f t="shared" si="220"/>
        <v>26</v>
      </c>
      <c r="S95" s="144">
        <f t="shared" si="221"/>
        <v>151</v>
      </c>
      <c r="T95" s="144">
        <f t="shared" si="222"/>
        <v>151</v>
      </c>
      <c r="U95" s="348">
        <f t="shared" si="211"/>
        <v>2818</v>
      </c>
      <c r="W95" s="255">
        <f>M94+M95</f>
        <v>86780</v>
      </c>
      <c r="X95" s="255">
        <f t="shared" ref="X95" si="261">N94+N95</f>
        <v>0</v>
      </c>
      <c r="Y95" s="255"/>
      <c r="Z95" s="255">
        <f t="shared" ref="Z95" si="262">P94+P95</f>
        <v>0</v>
      </c>
      <c r="AA95" s="255">
        <f t="shared" ref="AA95" si="263">Q94+Q95</f>
        <v>54</v>
      </c>
      <c r="AB95" s="255">
        <f t="shared" ref="AB95" si="264">R94+R95</f>
        <v>54</v>
      </c>
      <c r="AC95" s="255">
        <f t="shared" ref="AC95" si="265">S94+S95</f>
        <v>317</v>
      </c>
      <c r="AD95" s="255">
        <f t="shared" ref="AD95" si="266">T94+T95</f>
        <v>317</v>
      </c>
      <c r="AE95" s="255">
        <f t="shared" ref="AE95" si="267">U94+U95</f>
        <v>5251</v>
      </c>
      <c r="AG95" s="158">
        <f t="shared" si="198"/>
        <v>39000</v>
      </c>
      <c r="AH95" s="144">
        <v>23920.483100000001</v>
      </c>
      <c r="AI95" s="144"/>
      <c r="AJ95" s="144"/>
      <c r="AK95" s="144"/>
      <c r="AL95" s="144"/>
      <c r="AM95" s="144"/>
      <c r="AN95" s="144"/>
      <c r="AO95" s="144"/>
      <c r="AP95" s="144"/>
      <c r="AQ95" s="144"/>
      <c r="AR95" s="144"/>
      <c r="AS95" s="144"/>
      <c r="AT95" s="144"/>
      <c r="AU95" s="144"/>
      <c r="AV95" s="144"/>
      <c r="AW95" s="144"/>
      <c r="AX95" s="144"/>
      <c r="AY95" s="144"/>
      <c r="AZ95" s="144"/>
      <c r="BA95" s="144"/>
      <c r="BB95" s="144"/>
      <c r="BC95" s="144"/>
      <c r="BD95" s="144"/>
      <c r="BE95" s="144"/>
      <c r="BF95" s="144"/>
      <c r="BG95" s="144"/>
      <c r="BH95" s="144"/>
      <c r="BI95" s="144"/>
      <c r="BJ95" s="144"/>
      <c r="BK95" s="144"/>
      <c r="BL95" s="144"/>
      <c r="BM95" s="144"/>
      <c r="BN95" s="144"/>
      <c r="BO95" s="144">
        <v>13.7225</v>
      </c>
      <c r="BP95" s="144"/>
      <c r="BQ95" s="144"/>
      <c r="BR95" s="144">
        <f t="shared" si="231"/>
        <v>13.7225</v>
      </c>
      <c r="BS95" s="144"/>
      <c r="BT95" s="144"/>
      <c r="BU95" s="144">
        <v>27.0532</v>
      </c>
      <c r="BV95" s="144"/>
      <c r="BW95" s="144">
        <f t="shared" si="233"/>
        <v>27.0532</v>
      </c>
      <c r="BX95" s="144"/>
      <c r="BY95" s="144"/>
      <c r="BZ95" s="144"/>
      <c r="CA95" s="144"/>
      <c r="CB95" s="262">
        <v>561.20000000000005</v>
      </c>
      <c r="CC95" s="1">
        <f t="shared" si="199"/>
        <v>39000</v>
      </c>
    </row>
    <row r="96" spans="1:111" x14ac:dyDescent="0.25">
      <c r="A96" s="503"/>
      <c r="B96" s="125"/>
      <c r="C96" s="210">
        <v>39050</v>
      </c>
      <c r="D96" s="349">
        <f t="shared" si="212"/>
        <v>23133.365000000002</v>
      </c>
      <c r="E96" s="349">
        <f t="shared" si="213"/>
        <v>0</v>
      </c>
      <c r="F96" s="147"/>
      <c r="G96" s="147">
        <f t="shared" si="214"/>
        <v>0</v>
      </c>
      <c r="H96" s="147">
        <f t="shared" si="194"/>
        <v>13.7225</v>
      </c>
      <c r="I96" s="147">
        <f t="shared" si="195"/>
        <v>13.7225</v>
      </c>
      <c r="J96" s="147">
        <f t="shared" si="196"/>
        <v>27.0532</v>
      </c>
      <c r="K96" s="156">
        <f t="shared" si="197"/>
        <v>27.0532</v>
      </c>
      <c r="L96" s="352">
        <f t="shared" si="215"/>
        <v>646.79999999999995</v>
      </c>
      <c r="M96" s="355">
        <f t="shared" si="216"/>
        <v>43569</v>
      </c>
      <c r="N96" s="147">
        <f t="shared" si="217"/>
        <v>0</v>
      </c>
      <c r="O96" s="147"/>
      <c r="P96" s="147">
        <f t="shared" si="218"/>
        <v>0</v>
      </c>
      <c r="Q96" s="147">
        <f t="shared" si="219"/>
        <v>26</v>
      </c>
      <c r="R96" s="147">
        <f t="shared" si="220"/>
        <v>26</v>
      </c>
      <c r="S96" s="147">
        <f t="shared" si="221"/>
        <v>151</v>
      </c>
      <c r="T96" s="147">
        <f t="shared" si="222"/>
        <v>151</v>
      </c>
      <c r="U96" s="349">
        <f t="shared" si="211"/>
        <v>3356</v>
      </c>
      <c r="W96" s="151"/>
      <c r="X96" s="147"/>
      <c r="Y96" s="147"/>
      <c r="Z96" s="147"/>
      <c r="AA96" s="147"/>
      <c r="AB96" s="147"/>
      <c r="AC96" s="147"/>
      <c r="AD96" s="147"/>
      <c r="AE96" s="148"/>
      <c r="AG96" s="155">
        <f t="shared" si="198"/>
        <v>39050</v>
      </c>
      <c r="AH96" s="147">
        <v>23133.365000000002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  <c r="BI96" s="147"/>
      <c r="BJ96" s="147"/>
      <c r="BK96" s="147"/>
      <c r="BL96" s="147"/>
      <c r="BM96" s="147"/>
      <c r="BN96" s="147"/>
      <c r="BO96" s="147">
        <v>13.7225</v>
      </c>
      <c r="BP96" s="147"/>
      <c r="BQ96" s="147"/>
      <c r="BR96" s="147">
        <f t="shared" si="231"/>
        <v>13.7225</v>
      </c>
      <c r="BS96" s="147"/>
      <c r="BT96" s="147"/>
      <c r="BU96" s="147">
        <v>27.0532</v>
      </c>
      <c r="BV96" s="147"/>
      <c r="BW96" s="147">
        <f t="shared" si="233"/>
        <v>27.0532</v>
      </c>
      <c r="BX96" s="147"/>
      <c r="BY96" s="147"/>
      <c r="BZ96" s="147"/>
      <c r="CA96" s="147"/>
      <c r="CB96" s="262">
        <v>646.79999999999995</v>
      </c>
      <c r="CC96" s="1">
        <f t="shared" si="199"/>
        <v>39050</v>
      </c>
    </row>
    <row r="97" spans="1:81" s="3" customFormat="1" ht="15.75" thickBot="1" x14ac:dyDescent="0.3">
      <c r="A97" s="503"/>
      <c r="B97" s="211"/>
      <c r="C97" s="212">
        <v>39100</v>
      </c>
      <c r="D97" s="348">
        <f t="shared" si="212"/>
        <v>20894.138800000001</v>
      </c>
      <c r="E97" s="348">
        <f t="shared" si="213"/>
        <v>0</v>
      </c>
      <c r="F97" s="144"/>
      <c r="G97" s="144">
        <f t="shared" si="214"/>
        <v>0</v>
      </c>
      <c r="H97" s="144">
        <f t="shared" si="194"/>
        <v>13.7225</v>
      </c>
      <c r="I97" s="144">
        <f t="shared" si="195"/>
        <v>13.7225</v>
      </c>
      <c r="J97" s="144">
        <f t="shared" si="196"/>
        <v>27.0532</v>
      </c>
      <c r="K97" s="159">
        <f t="shared" si="197"/>
        <v>27.0532</v>
      </c>
      <c r="L97" s="351">
        <f t="shared" si="215"/>
        <v>793.3</v>
      </c>
      <c r="M97" s="354">
        <f t="shared" si="216"/>
        <v>40767</v>
      </c>
      <c r="N97" s="144">
        <f t="shared" si="217"/>
        <v>0</v>
      </c>
      <c r="O97" s="144"/>
      <c r="P97" s="144">
        <f t="shared" si="218"/>
        <v>0</v>
      </c>
      <c r="Q97" s="144">
        <f t="shared" si="219"/>
        <v>26</v>
      </c>
      <c r="R97" s="144">
        <f t="shared" si="220"/>
        <v>26</v>
      </c>
      <c r="S97" s="144">
        <f t="shared" si="221"/>
        <v>151</v>
      </c>
      <c r="T97" s="144">
        <f t="shared" si="222"/>
        <v>151</v>
      </c>
      <c r="U97" s="348">
        <f t="shared" si="211"/>
        <v>4001</v>
      </c>
      <c r="W97" s="255">
        <f>M96+M97</f>
        <v>84336</v>
      </c>
      <c r="X97" s="255">
        <f t="shared" ref="X97" si="268">N96+N97</f>
        <v>0</v>
      </c>
      <c r="Y97" s="255"/>
      <c r="Z97" s="255">
        <f t="shared" ref="Z97" si="269">P96+P97</f>
        <v>0</v>
      </c>
      <c r="AA97" s="255">
        <f t="shared" ref="AA97" si="270">Q96+Q97</f>
        <v>52</v>
      </c>
      <c r="AB97" s="255">
        <f t="shared" ref="AB97" si="271">R96+R97</f>
        <v>52</v>
      </c>
      <c r="AC97" s="255">
        <f t="shared" ref="AC97" si="272">S96+S97</f>
        <v>302</v>
      </c>
      <c r="AD97" s="255">
        <f t="shared" ref="AD97" si="273">T96+T97</f>
        <v>302</v>
      </c>
      <c r="AE97" s="255">
        <f t="shared" ref="AE97" si="274">U96+U97</f>
        <v>7357</v>
      </c>
      <c r="AG97" s="158">
        <f t="shared" si="198"/>
        <v>39100</v>
      </c>
      <c r="AH97" s="144">
        <v>20894.138800000001</v>
      </c>
      <c r="AI97" s="144"/>
      <c r="AJ97" s="144"/>
      <c r="AK97" s="144"/>
      <c r="AL97" s="144"/>
      <c r="AM97" s="144"/>
      <c r="AN97" s="144"/>
      <c r="AO97" s="144"/>
      <c r="AP97" s="144"/>
      <c r="AQ97" s="144"/>
      <c r="AR97" s="144"/>
      <c r="AS97" s="144"/>
      <c r="AT97" s="144"/>
      <c r="AU97" s="144"/>
      <c r="AV97" s="144"/>
      <c r="AW97" s="144"/>
      <c r="AX97" s="144"/>
      <c r="AY97" s="144"/>
      <c r="AZ97" s="144"/>
      <c r="BA97" s="144"/>
      <c r="BB97" s="144"/>
      <c r="BC97" s="144"/>
      <c r="BD97" s="144"/>
      <c r="BE97" s="144"/>
      <c r="BF97" s="144"/>
      <c r="BG97" s="144"/>
      <c r="BH97" s="144"/>
      <c r="BI97" s="144"/>
      <c r="BJ97" s="144"/>
      <c r="BK97" s="144"/>
      <c r="BL97" s="144"/>
      <c r="BM97" s="144"/>
      <c r="BN97" s="144"/>
      <c r="BO97" s="144">
        <v>13.7225</v>
      </c>
      <c r="BP97" s="144"/>
      <c r="BQ97" s="144"/>
      <c r="BR97" s="144">
        <f t="shared" si="231"/>
        <v>13.7225</v>
      </c>
      <c r="BS97" s="144"/>
      <c r="BT97" s="144"/>
      <c r="BU97" s="144">
        <v>27.0532</v>
      </c>
      <c r="BV97" s="144"/>
      <c r="BW97" s="144">
        <f t="shared" si="233"/>
        <v>27.0532</v>
      </c>
      <c r="BX97" s="144"/>
      <c r="BY97" s="144"/>
      <c r="BZ97" s="144"/>
      <c r="CA97" s="144"/>
      <c r="CB97" s="262">
        <f>789.3+4</f>
        <v>793.3</v>
      </c>
      <c r="CC97" s="1">
        <f t="shared" si="199"/>
        <v>39100</v>
      </c>
    </row>
    <row r="98" spans="1:81" x14ac:dyDescent="0.25">
      <c r="A98" s="503"/>
      <c r="B98" s="125"/>
      <c r="C98" s="210">
        <v>39150</v>
      </c>
      <c r="D98" s="349">
        <f t="shared" si="212"/>
        <v>19137.062999999998</v>
      </c>
      <c r="E98" s="349">
        <f t="shared" si="213"/>
        <v>0</v>
      </c>
      <c r="F98" s="147"/>
      <c r="G98" s="147">
        <f t="shared" si="214"/>
        <v>0</v>
      </c>
      <c r="H98" s="147">
        <f t="shared" si="194"/>
        <v>13.7225</v>
      </c>
      <c r="I98" s="147">
        <f t="shared" si="195"/>
        <v>13.7225</v>
      </c>
      <c r="J98" s="147">
        <f t="shared" si="196"/>
        <v>27.0532</v>
      </c>
      <c r="K98" s="156">
        <f t="shared" si="197"/>
        <v>27.0532</v>
      </c>
      <c r="L98" s="352">
        <f t="shared" si="215"/>
        <v>772.1</v>
      </c>
      <c r="M98" s="355">
        <f t="shared" si="216"/>
        <v>37066</v>
      </c>
      <c r="N98" s="147">
        <f t="shared" si="217"/>
        <v>0</v>
      </c>
      <c r="O98" s="147"/>
      <c r="P98" s="147">
        <f t="shared" si="218"/>
        <v>0</v>
      </c>
      <c r="Q98" s="147">
        <f t="shared" si="219"/>
        <v>26</v>
      </c>
      <c r="R98" s="147">
        <f t="shared" si="220"/>
        <v>26</v>
      </c>
      <c r="S98" s="147">
        <f t="shared" si="221"/>
        <v>151</v>
      </c>
      <c r="T98" s="147">
        <f t="shared" si="222"/>
        <v>151</v>
      </c>
      <c r="U98" s="349">
        <f t="shared" si="211"/>
        <v>4349</v>
      </c>
      <c r="W98" s="151"/>
      <c r="X98" s="147"/>
      <c r="Y98" s="147"/>
      <c r="Z98" s="147"/>
      <c r="AA98" s="147"/>
      <c r="AB98" s="147"/>
      <c r="AC98" s="147"/>
      <c r="AD98" s="147"/>
      <c r="AE98" s="148"/>
      <c r="AG98" s="155">
        <f t="shared" si="198"/>
        <v>39150</v>
      </c>
      <c r="AH98" s="147">
        <v>19137.062999999998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  <c r="BI98" s="147"/>
      <c r="BJ98" s="147"/>
      <c r="BK98" s="147"/>
      <c r="BL98" s="147"/>
      <c r="BM98" s="147"/>
      <c r="BN98" s="147"/>
      <c r="BO98" s="147">
        <v>13.7225</v>
      </c>
      <c r="BP98" s="147"/>
      <c r="BQ98" s="147"/>
      <c r="BR98" s="147">
        <f t="shared" si="231"/>
        <v>13.7225</v>
      </c>
      <c r="BS98" s="147"/>
      <c r="BT98" s="147"/>
      <c r="BU98" s="147">
        <v>27.0532</v>
      </c>
      <c r="BV98" s="147"/>
      <c r="BW98" s="147">
        <f t="shared" si="233"/>
        <v>27.0532</v>
      </c>
      <c r="BX98" s="147"/>
      <c r="BY98" s="147"/>
      <c r="BZ98" s="147"/>
      <c r="CA98" s="147"/>
      <c r="CB98" s="262">
        <f>768.1+4</f>
        <v>772.1</v>
      </c>
      <c r="CC98" s="1">
        <f t="shared" si="199"/>
        <v>39150</v>
      </c>
    </row>
    <row r="99" spans="1:81" s="3" customFormat="1" ht="15.75" thickBot="1" x14ac:dyDescent="0.3">
      <c r="A99" s="503"/>
      <c r="B99" s="211"/>
      <c r="C99" s="212">
        <v>39200</v>
      </c>
      <c r="D99" s="348">
        <f t="shared" si="212"/>
        <v>17646.1584</v>
      </c>
      <c r="E99" s="348">
        <f t="shared" si="213"/>
        <v>0</v>
      </c>
      <c r="F99" s="144"/>
      <c r="G99" s="144">
        <f t="shared" si="214"/>
        <v>0</v>
      </c>
      <c r="H99" s="144">
        <f t="shared" si="194"/>
        <v>13.7225</v>
      </c>
      <c r="I99" s="144">
        <f t="shared" si="195"/>
        <v>13.7225</v>
      </c>
      <c r="J99" s="144">
        <f t="shared" si="196"/>
        <v>27.0532</v>
      </c>
      <c r="K99" s="159">
        <f t="shared" si="197"/>
        <v>27.0532</v>
      </c>
      <c r="L99" s="351">
        <f t="shared" si="215"/>
        <v>750.7</v>
      </c>
      <c r="M99" s="354">
        <f t="shared" si="216"/>
        <v>34059</v>
      </c>
      <c r="N99" s="144">
        <f t="shared" si="217"/>
        <v>0</v>
      </c>
      <c r="O99" s="144"/>
      <c r="P99" s="144">
        <f t="shared" si="218"/>
        <v>0</v>
      </c>
      <c r="Q99" s="144">
        <f t="shared" si="219"/>
        <v>26</v>
      </c>
      <c r="R99" s="144">
        <f t="shared" si="220"/>
        <v>26</v>
      </c>
      <c r="S99" s="144">
        <f t="shared" si="221"/>
        <v>151</v>
      </c>
      <c r="T99" s="144">
        <f t="shared" si="222"/>
        <v>151</v>
      </c>
      <c r="U99" s="348">
        <f t="shared" si="211"/>
        <v>4230</v>
      </c>
      <c r="W99" s="255">
        <f>M98+M99</f>
        <v>71125</v>
      </c>
      <c r="X99" s="255">
        <f t="shared" ref="X99" si="275">N98+N99</f>
        <v>0</v>
      </c>
      <c r="Y99" s="255"/>
      <c r="Z99" s="255">
        <f t="shared" ref="Z99" si="276">P98+P99</f>
        <v>0</v>
      </c>
      <c r="AA99" s="255">
        <f t="shared" ref="AA99" si="277">Q98+Q99</f>
        <v>52</v>
      </c>
      <c r="AB99" s="255">
        <f t="shared" ref="AB99" si="278">R98+R99</f>
        <v>52</v>
      </c>
      <c r="AC99" s="255">
        <f t="shared" ref="AC99" si="279">S98+S99</f>
        <v>302</v>
      </c>
      <c r="AD99" s="255">
        <f t="shared" ref="AD99" si="280">T98+T99</f>
        <v>302</v>
      </c>
      <c r="AE99" s="255">
        <f t="shared" ref="AE99" si="281">U98+U99</f>
        <v>8579</v>
      </c>
      <c r="AG99" s="158">
        <f t="shared" si="198"/>
        <v>39200</v>
      </c>
      <c r="AH99" s="144">
        <v>17646.1584</v>
      </c>
      <c r="AI99" s="144"/>
      <c r="AJ99" s="144"/>
      <c r="AK99" s="144"/>
      <c r="AL99" s="144"/>
      <c r="AM99" s="144"/>
      <c r="AN99" s="144"/>
      <c r="AO99" s="144"/>
      <c r="AP99" s="144"/>
      <c r="AQ99" s="144"/>
      <c r="AR99" s="144"/>
      <c r="AS99" s="144"/>
      <c r="AT99" s="144"/>
      <c r="AU99" s="144"/>
      <c r="AV99" s="144"/>
      <c r="AW99" s="144"/>
      <c r="AX99" s="144"/>
      <c r="AY99" s="144"/>
      <c r="AZ99" s="144"/>
      <c r="BA99" s="144"/>
      <c r="BB99" s="144"/>
      <c r="BC99" s="144"/>
      <c r="BD99" s="144"/>
      <c r="BE99" s="144"/>
      <c r="BF99" s="144"/>
      <c r="BG99" s="144"/>
      <c r="BH99" s="144"/>
      <c r="BI99" s="144"/>
      <c r="BJ99" s="144"/>
      <c r="BK99" s="144"/>
      <c r="BL99" s="144"/>
      <c r="BM99" s="144"/>
      <c r="BN99" s="144"/>
      <c r="BO99" s="144">
        <v>13.7225</v>
      </c>
      <c r="BP99" s="144"/>
      <c r="BQ99" s="144"/>
      <c r="BR99" s="144">
        <f t="shared" si="231"/>
        <v>13.7225</v>
      </c>
      <c r="BS99" s="144"/>
      <c r="BT99" s="144"/>
      <c r="BU99" s="144">
        <v>27.0532</v>
      </c>
      <c r="BV99" s="144"/>
      <c r="BW99" s="144">
        <f t="shared" si="233"/>
        <v>27.0532</v>
      </c>
      <c r="BX99" s="144"/>
      <c r="BY99" s="144"/>
      <c r="BZ99" s="144"/>
      <c r="CA99" s="144"/>
      <c r="CB99" s="262">
        <f>746.7+4</f>
        <v>750.7</v>
      </c>
      <c r="CC99" s="1">
        <f t="shared" si="199"/>
        <v>39200</v>
      </c>
    </row>
    <row r="100" spans="1:81" x14ac:dyDescent="0.25">
      <c r="A100" s="503"/>
      <c r="B100" s="125"/>
      <c r="C100" s="210">
        <v>39250</v>
      </c>
      <c r="D100" s="349">
        <f t="shared" si="212"/>
        <v>15928.772199999999</v>
      </c>
      <c r="E100" s="349">
        <f t="shared" si="213"/>
        <v>0</v>
      </c>
      <c r="F100" s="147"/>
      <c r="G100" s="147">
        <f t="shared" si="214"/>
        <v>0</v>
      </c>
      <c r="H100" s="147">
        <f t="shared" si="194"/>
        <v>13.7225</v>
      </c>
      <c r="I100" s="147">
        <f t="shared" si="195"/>
        <v>13.7225</v>
      </c>
      <c r="J100" s="147">
        <f t="shared" si="196"/>
        <v>27.0532</v>
      </c>
      <c r="K100" s="156">
        <f t="shared" si="197"/>
        <v>27.0532</v>
      </c>
      <c r="L100" s="352">
        <f t="shared" si="215"/>
        <v>730.1</v>
      </c>
      <c r="M100" s="355">
        <f t="shared" si="216"/>
        <v>31088</v>
      </c>
      <c r="N100" s="147">
        <f t="shared" si="217"/>
        <v>0</v>
      </c>
      <c r="O100" s="147"/>
      <c r="P100" s="147">
        <f t="shared" si="218"/>
        <v>0</v>
      </c>
      <c r="Q100" s="147">
        <f t="shared" si="219"/>
        <v>26</v>
      </c>
      <c r="R100" s="147">
        <f t="shared" si="220"/>
        <v>26</v>
      </c>
      <c r="S100" s="147">
        <f t="shared" si="221"/>
        <v>151</v>
      </c>
      <c r="T100" s="147">
        <f t="shared" si="222"/>
        <v>151</v>
      </c>
      <c r="U100" s="349">
        <f t="shared" si="211"/>
        <v>4114</v>
      </c>
      <c r="V100" s="220"/>
      <c r="W100" s="151"/>
      <c r="X100" s="147"/>
      <c r="Y100" s="147"/>
      <c r="Z100" s="147"/>
      <c r="AA100" s="147"/>
      <c r="AB100" s="147"/>
      <c r="AC100" s="147"/>
      <c r="AD100" s="147"/>
      <c r="AE100" s="148"/>
      <c r="AF100" s="221"/>
      <c r="AG100" s="155">
        <f t="shared" si="198"/>
        <v>39250</v>
      </c>
      <c r="AH100" s="147">
        <v>15928.772199999999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  <c r="BI100" s="147"/>
      <c r="BJ100" s="147"/>
      <c r="BK100" s="147"/>
      <c r="BL100" s="147"/>
      <c r="BM100" s="147"/>
      <c r="BN100" s="147"/>
      <c r="BO100" s="147">
        <v>13.7225</v>
      </c>
      <c r="BP100" s="147"/>
      <c r="BQ100" s="147"/>
      <c r="BR100" s="147">
        <f t="shared" si="231"/>
        <v>13.7225</v>
      </c>
      <c r="BS100" s="147"/>
      <c r="BT100" s="147"/>
      <c r="BU100" s="147">
        <v>27.0532</v>
      </c>
      <c r="BV100" s="147"/>
      <c r="BW100" s="147">
        <f t="shared" si="233"/>
        <v>27.0532</v>
      </c>
      <c r="BX100" s="147"/>
      <c r="BY100" s="147"/>
      <c r="BZ100" s="147"/>
      <c r="CA100" s="147"/>
      <c r="CB100" s="262">
        <f>726.1+4</f>
        <v>730.1</v>
      </c>
      <c r="CC100" s="1">
        <f t="shared" si="199"/>
        <v>39250</v>
      </c>
    </row>
    <row r="101" spans="1:81" s="3" customFormat="1" ht="15.75" thickBot="1" x14ac:dyDescent="0.3">
      <c r="A101" s="503"/>
      <c r="B101" s="211"/>
      <c r="C101" s="212">
        <v>39300</v>
      </c>
      <c r="D101" s="348">
        <f t="shared" si="212"/>
        <v>14090.433800000001</v>
      </c>
      <c r="E101" s="348">
        <f t="shared" si="213"/>
        <v>0</v>
      </c>
      <c r="F101" s="144"/>
      <c r="G101" s="144">
        <f t="shared" si="214"/>
        <v>0</v>
      </c>
      <c r="H101" s="144">
        <f t="shared" si="194"/>
        <v>13.7225</v>
      </c>
      <c r="I101" s="144">
        <f t="shared" si="195"/>
        <v>13.7225</v>
      </c>
      <c r="J101" s="144">
        <f t="shared" si="196"/>
        <v>27.0532</v>
      </c>
      <c r="K101" s="159">
        <f t="shared" si="197"/>
        <v>27.0532</v>
      </c>
      <c r="L101" s="351">
        <f t="shared" si="215"/>
        <v>711.7</v>
      </c>
      <c r="M101" s="354">
        <f t="shared" si="216"/>
        <v>27796</v>
      </c>
      <c r="N101" s="144">
        <f t="shared" si="217"/>
        <v>0</v>
      </c>
      <c r="O101" s="144"/>
      <c r="P101" s="144">
        <f t="shared" si="218"/>
        <v>0</v>
      </c>
      <c r="Q101" s="144">
        <f t="shared" si="219"/>
        <v>26</v>
      </c>
      <c r="R101" s="144">
        <f t="shared" si="220"/>
        <v>26</v>
      </c>
      <c r="S101" s="144">
        <f t="shared" si="221"/>
        <v>151</v>
      </c>
      <c r="T101" s="144">
        <f t="shared" si="222"/>
        <v>151</v>
      </c>
      <c r="U101" s="348">
        <f t="shared" si="211"/>
        <v>4005</v>
      </c>
      <c r="W101" s="255">
        <f>M100+M101</f>
        <v>58884</v>
      </c>
      <c r="X101" s="255">
        <f t="shared" ref="X101" si="282">N100+N101</f>
        <v>0</v>
      </c>
      <c r="Y101" s="255"/>
      <c r="Z101" s="255">
        <f t="shared" ref="Z101" si="283">P100+P101</f>
        <v>0</v>
      </c>
      <c r="AA101" s="255">
        <f t="shared" ref="AA101" si="284">Q100+Q101</f>
        <v>52</v>
      </c>
      <c r="AB101" s="255">
        <f t="shared" ref="AB101" si="285">R100+R101</f>
        <v>52</v>
      </c>
      <c r="AC101" s="255">
        <f t="shared" ref="AC101" si="286">S100+S101</f>
        <v>302</v>
      </c>
      <c r="AD101" s="255">
        <f t="shared" ref="AD101" si="287">T100+T101</f>
        <v>302</v>
      </c>
      <c r="AE101" s="255">
        <f t="shared" ref="AE101" si="288">U100+U101</f>
        <v>8119</v>
      </c>
      <c r="AG101" s="158">
        <f t="shared" si="198"/>
        <v>39300</v>
      </c>
      <c r="AH101" s="144">
        <v>14090.433800000001</v>
      </c>
      <c r="AI101" s="144"/>
      <c r="AJ101" s="144"/>
      <c r="AK101" s="144"/>
      <c r="AL101" s="144"/>
      <c r="AM101" s="144"/>
      <c r="AN101" s="144"/>
      <c r="AO101" s="144"/>
      <c r="AP101" s="144"/>
      <c r="AQ101" s="144"/>
      <c r="AR101" s="144"/>
      <c r="AS101" s="144"/>
      <c r="AT101" s="144"/>
      <c r="AU101" s="144"/>
      <c r="AV101" s="144"/>
      <c r="AW101" s="144"/>
      <c r="AX101" s="144"/>
      <c r="AY101" s="144"/>
      <c r="AZ101" s="144"/>
      <c r="BA101" s="144"/>
      <c r="BB101" s="144"/>
      <c r="BC101" s="144"/>
      <c r="BD101" s="144"/>
      <c r="BE101" s="144"/>
      <c r="BF101" s="144"/>
      <c r="BG101" s="144"/>
      <c r="BH101" s="144"/>
      <c r="BI101" s="144"/>
      <c r="BJ101" s="144"/>
      <c r="BK101" s="144"/>
      <c r="BL101" s="144"/>
      <c r="BM101" s="144"/>
      <c r="BN101" s="144"/>
      <c r="BO101" s="144">
        <v>13.7225</v>
      </c>
      <c r="BP101" s="144"/>
      <c r="BQ101" s="144"/>
      <c r="BR101" s="144">
        <f t="shared" si="231"/>
        <v>13.7225</v>
      </c>
      <c r="BS101" s="144"/>
      <c r="BT101" s="144"/>
      <c r="BU101" s="144">
        <v>27.0532</v>
      </c>
      <c r="BV101" s="144"/>
      <c r="BW101" s="144">
        <f t="shared" si="233"/>
        <v>27.0532</v>
      </c>
      <c r="BX101" s="144"/>
      <c r="BY101" s="144"/>
      <c r="BZ101" s="144"/>
      <c r="CA101" s="144"/>
      <c r="CB101" s="262">
        <f>707.7+4</f>
        <v>711.7</v>
      </c>
      <c r="CC101" s="1">
        <f t="shared" si="199"/>
        <v>39300</v>
      </c>
    </row>
    <row r="102" spans="1:81" x14ac:dyDescent="0.25">
      <c r="A102" s="503"/>
      <c r="B102" s="125"/>
      <c r="C102" s="210">
        <v>39350</v>
      </c>
      <c r="D102" s="349">
        <f t="shared" si="212"/>
        <v>12465.075699999999</v>
      </c>
      <c r="E102" s="349">
        <f t="shared" si="213"/>
        <v>0</v>
      </c>
      <c r="F102" s="147"/>
      <c r="G102" s="147">
        <f t="shared" si="214"/>
        <v>0</v>
      </c>
      <c r="H102" s="147">
        <f t="shared" si="194"/>
        <v>13.7225</v>
      </c>
      <c r="I102" s="147">
        <f t="shared" si="195"/>
        <v>13.7225</v>
      </c>
      <c r="J102" s="147">
        <f t="shared" si="196"/>
        <v>27.0532</v>
      </c>
      <c r="K102" s="156">
        <f t="shared" si="197"/>
        <v>27.0532</v>
      </c>
      <c r="L102" s="352">
        <f t="shared" si="215"/>
        <v>693.5</v>
      </c>
      <c r="M102" s="355">
        <f t="shared" si="216"/>
        <v>24589</v>
      </c>
      <c r="N102" s="147">
        <f t="shared" si="217"/>
        <v>0</v>
      </c>
      <c r="O102" s="147"/>
      <c r="P102" s="147">
        <f t="shared" si="218"/>
        <v>0</v>
      </c>
      <c r="Q102" s="147">
        <f t="shared" si="219"/>
        <v>26</v>
      </c>
      <c r="R102" s="147">
        <f t="shared" si="220"/>
        <v>26</v>
      </c>
      <c r="S102" s="147">
        <f t="shared" si="221"/>
        <v>151</v>
      </c>
      <c r="T102" s="147">
        <f t="shared" si="222"/>
        <v>151</v>
      </c>
      <c r="U102" s="349">
        <f t="shared" si="211"/>
        <v>3904</v>
      </c>
      <c r="W102" s="151"/>
      <c r="X102" s="147"/>
      <c r="Y102" s="147"/>
      <c r="Z102" s="147"/>
      <c r="AA102" s="147"/>
      <c r="AB102" s="147"/>
      <c r="AC102" s="147"/>
      <c r="AD102" s="147"/>
      <c r="AE102" s="148"/>
      <c r="AG102" s="155">
        <f t="shared" si="198"/>
        <v>39350</v>
      </c>
      <c r="AH102" s="147">
        <v>12465.075699999999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  <c r="BI102" s="147"/>
      <c r="BJ102" s="147"/>
      <c r="BK102" s="147"/>
      <c r="BL102" s="147"/>
      <c r="BM102" s="147"/>
      <c r="BN102" s="147"/>
      <c r="BO102" s="147">
        <v>13.7225</v>
      </c>
      <c r="BP102" s="147"/>
      <c r="BQ102" s="147"/>
      <c r="BR102" s="147">
        <f t="shared" si="231"/>
        <v>13.7225</v>
      </c>
      <c r="BS102" s="147"/>
      <c r="BT102" s="147"/>
      <c r="BU102" s="147">
        <v>27.0532</v>
      </c>
      <c r="BV102" s="147"/>
      <c r="BW102" s="147">
        <f t="shared" si="233"/>
        <v>27.0532</v>
      </c>
      <c r="BX102" s="147"/>
      <c r="BY102" s="147"/>
      <c r="BZ102" s="147"/>
      <c r="CA102" s="147"/>
      <c r="CB102" s="262">
        <f>689.5+4</f>
        <v>693.5</v>
      </c>
      <c r="CC102" s="1">
        <f t="shared" si="199"/>
        <v>39350</v>
      </c>
    </row>
    <row r="103" spans="1:81" s="3" customFormat="1" ht="15.75" thickBot="1" x14ac:dyDescent="0.3">
      <c r="A103" s="503"/>
      <c r="C103" s="212">
        <v>39400</v>
      </c>
      <c r="D103" s="348">
        <f t="shared" si="212"/>
        <v>10899.774600000001</v>
      </c>
      <c r="E103" s="348">
        <f t="shared" si="213"/>
        <v>0</v>
      </c>
      <c r="F103" s="144"/>
      <c r="G103" s="144">
        <f t="shared" si="214"/>
        <v>0</v>
      </c>
      <c r="H103" s="144">
        <f t="shared" si="194"/>
        <v>13.7225</v>
      </c>
      <c r="I103" s="144">
        <f t="shared" si="195"/>
        <v>13.7225</v>
      </c>
      <c r="J103" s="144">
        <f t="shared" si="196"/>
        <v>27.0532</v>
      </c>
      <c r="K103" s="159">
        <f t="shared" si="197"/>
        <v>27.0532</v>
      </c>
      <c r="L103" s="351">
        <f t="shared" si="215"/>
        <v>672.2</v>
      </c>
      <c r="M103" s="354">
        <f t="shared" si="216"/>
        <v>21635</v>
      </c>
      <c r="N103" s="144">
        <f t="shared" si="217"/>
        <v>0</v>
      </c>
      <c r="O103" s="144"/>
      <c r="P103" s="144">
        <f t="shared" si="218"/>
        <v>0</v>
      </c>
      <c r="Q103" s="144">
        <f t="shared" si="219"/>
        <v>26</v>
      </c>
      <c r="R103" s="144">
        <f t="shared" si="220"/>
        <v>26</v>
      </c>
      <c r="S103" s="144">
        <f t="shared" si="221"/>
        <v>151</v>
      </c>
      <c r="T103" s="144">
        <f t="shared" si="222"/>
        <v>151</v>
      </c>
      <c r="U103" s="348">
        <f t="shared" si="211"/>
        <v>3794</v>
      </c>
      <c r="W103" s="255">
        <f>M102+M103</f>
        <v>46224</v>
      </c>
      <c r="X103" s="255">
        <f t="shared" ref="X103" si="289">N102+N103</f>
        <v>0</v>
      </c>
      <c r="Y103" s="255"/>
      <c r="Z103" s="255">
        <f t="shared" ref="Z103" si="290">P102+P103</f>
        <v>0</v>
      </c>
      <c r="AA103" s="255">
        <f t="shared" ref="AA103" si="291">Q102+Q103</f>
        <v>52</v>
      </c>
      <c r="AB103" s="255">
        <f t="shared" ref="AB103" si="292">R102+R103</f>
        <v>52</v>
      </c>
      <c r="AC103" s="255">
        <f t="shared" ref="AC103" si="293">S102+S103</f>
        <v>302</v>
      </c>
      <c r="AD103" s="255">
        <f t="shared" ref="AD103" si="294">T102+T103</f>
        <v>302</v>
      </c>
      <c r="AE103" s="255">
        <f t="shared" ref="AE103" si="295">U102+U103</f>
        <v>7698</v>
      </c>
      <c r="AG103" s="158">
        <f t="shared" si="198"/>
        <v>39400</v>
      </c>
      <c r="AH103" s="144">
        <v>10899.774600000001</v>
      </c>
      <c r="AI103" s="144"/>
      <c r="AJ103" s="144"/>
      <c r="AK103" s="144"/>
      <c r="AL103" s="144"/>
      <c r="AM103" s="144"/>
      <c r="AN103" s="144"/>
      <c r="AO103" s="144"/>
      <c r="AP103" s="144"/>
      <c r="AQ103" s="144"/>
      <c r="AR103" s="144"/>
      <c r="AS103" s="144"/>
      <c r="AT103" s="144"/>
      <c r="AU103" s="144"/>
      <c r="AV103" s="144"/>
      <c r="AW103" s="144"/>
      <c r="AX103" s="144"/>
      <c r="AY103" s="144"/>
      <c r="AZ103" s="144"/>
      <c r="BA103" s="144"/>
      <c r="BB103" s="144"/>
      <c r="BC103" s="144"/>
      <c r="BD103" s="144"/>
      <c r="BE103" s="144"/>
      <c r="BF103" s="144"/>
      <c r="BG103" s="144"/>
      <c r="BH103" s="144"/>
      <c r="BI103" s="144"/>
      <c r="BJ103" s="144"/>
      <c r="BK103" s="144"/>
      <c r="BL103" s="144"/>
      <c r="BM103" s="144"/>
      <c r="BN103" s="144"/>
      <c r="BO103" s="144">
        <v>13.7225</v>
      </c>
      <c r="BP103" s="144"/>
      <c r="BQ103" s="144"/>
      <c r="BR103" s="144">
        <f t="shared" si="231"/>
        <v>13.7225</v>
      </c>
      <c r="BS103" s="144"/>
      <c r="BT103" s="144"/>
      <c r="BU103" s="144">
        <v>27.0532</v>
      </c>
      <c r="BV103" s="144"/>
      <c r="BW103" s="144">
        <f t="shared" si="233"/>
        <v>27.0532</v>
      </c>
      <c r="BX103" s="144"/>
      <c r="BY103" s="144"/>
      <c r="BZ103" s="144"/>
      <c r="CA103" s="144"/>
      <c r="CB103" s="262">
        <f>668.2+4</f>
        <v>672.2</v>
      </c>
      <c r="CC103" s="1">
        <f t="shared" si="199"/>
        <v>39400</v>
      </c>
    </row>
    <row r="104" spans="1:81" x14ac:dyDescent="0.25">
      <c r="A104" s="503"/>
      <c r="C104" s="210">
        <v>39450</v>
      </c>
      <c r="D104" s="349">
        <f t="shared" si="212"/>
        <v>4496.6863999999996</v>
      </c>
      <c r="E104" s="349">
        <f t="shared" si="213"/>
        <v>0</v>
      </c>
      <c r="F104" s="147"/>
      <c r="G104" s="147">
        <f t="shared" si="214"/>
        <v>0</v>
      </c>
      <c r="H104" s="147">
        <f t="shared" si="194"/>
        <v>13.7225</v>
      </c>
      <c r="I104" s="147">
        <f t="shared" si="195"/>
        <v>13.7225</v>
      </c>
      <c r="J104" s="147">
        <f t="shared" si="196"/>
        <v>27.0532</v>
      </c>
      <c r="K104" s="156">
        <f t="shared" si="197"/>
        <v>27.0532</v>
      </c>
      <c r="L104" s="352">
        <f t="shared" si="215"/>
        <v>324.2</v>
      </c>
      <c r="M104" s="355">
        <f t="shared" si="216"/>
        <v>14256</v>
      </c>
      <c r="N104" s="147">
        <f t="shared" si="217"/>
        <v>0</v>
      </c>
      <c r="O104" s="147"/>
      <c r="P104" s="147">
        <f t="shared" si="218"/>
        <v>0</v>
      </c>
      <c r="Q104" s="147">
        <f t="shared" si="219"/>
        <v>26</v>
      </c>
      <c r="R104" s="147">
        <f t="shared" si="220"/>
        <v>26</v>
      </c>
      <c r="S104" s="147">
        <f t="shared" si="221"/>
        <v>151</v>
      </c>
      <c r="T104" s="147">
        <f t="shared" si="222"/>
        <v>151</v>
      </c>
      <c r="U104" s="349">
        <f t="shared" si="211"/>
        <v>2768</v>
      </c>
      <c r="W104" s="151"/>
      <c r="X104" s="147"/>
      <c r="Y104" s="147"/>
      <c r="Z104" s="147"/>
      <c r="AA104" s="147"/>
      <c r="AB104" s="147"/>
      <c r="AC104" s="147"/>
      <c r="AD104" s="147"/>
      <c r="AE104" s="148"/>
      <c r="AG104" s="155">
        <f t="shared" si="198"/>
        <v>39450</v>
      </c>
      <c r="AH104" s="147">
        <v>4496.6863999999996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  <c r="BI104" s="147"/>
      <c r="BJ104" s="147"/>
      <c r="BK104" s="147"/>
      <c r="BL104" s="147"/>
      <c r="BM104" s="147"/>
      <c r="BN104" s="147"/>
      <c r="BO104" s="147">
        <v>13.7225</v>
      </c>
      <c r="BP104" s="147"/>
      <c r="BQ104" s="147"/>
      <c r="BR104" s="147">
        <f t="shared" si="231"/>
        <v>13.7225</v>
      </c>
      <c r="BS104" s="147"/>
      <c r="BT104" s="147"/>
      <c r="BU104" s="147">
        <v>27.0532</v>
      </c>
      <c r="BV104" s="147"/>
      <c r="BW104" s="147">
        <f t="shared" si="233"/>
        <v>27.0532</v>
      </c>
      <c r="BX104" s="147"/>
      <c r="BY104" s="147"/>
      <c r="BZ104" s="147"/>
      <c r="CA104" s="147"/>
      <c r="CB104" s="262">
        <f>320.2+4</f>
        <v>324.2</v>
      </c>
      <c r="CC104" s="1">
        <f t="shared" si="199"/>
        <v>39450</v>
      </c>
    </row>
    <row r="105" spans="1:81" s="3" customFormat="1" ht="15.75" thickBot="1" x14ac:dyDescent="0.3">
      <c r="A105" s="503"/>
      <c r="C105" s="212">
        <v>39500</v>
      </c>
      <c r="D105" s="348">
        <f t="shared" si="212"/>
        <v>2763.0378999999998</v>
      </c>
      <c r="E105" s="348">
        <f t="shared" si="213"/>
        <v>0</v>
      </c>
      <c r="F105" s="144"/>
      <c r="G105" s="144">
        <f t="shared" si="214"/>
        <v>0</v>
      </c>
      <c r="H105" s="144">
        <f t="shared" si="194"/>
        <v>13.7225</v>
      </c>
      <c r="I105" s="144">
        <f t="shared" si="195"/>
        <v>13.7225</v>
      </c>
      <c r="J105" s="144">
        <f t="shared" si="196"/>
        <v>27.0532</v>
      </c>
      <c r="K105" s="159">
        <f t="shared" si="197"/>
        <v>27.0532</v>
      </c>
      <c r="L105" s="351">
        <f t="shared" si="215"/>
        <v>234.1</v>
      </c>
      <c r="M105" s="354">
        <f t="shared" si="216"/>
        <v>6722</v>
      </c>
      <c r="N105" s="144">
        <f t="shared" si="217"/>
        <v>0</v>
      </c>
      <c r="O105" s="144"/>
      <c r="P105" s="144">
        <f t="shared" si="218"/>
        <v>0</v>
      </c>
      <c r="Q105" s="144">
        <f t="shared" si="219"/>
        <v>26</v>
      </c>
      <c r="R105" s="144">
        <f t="shared" si="220"/>
        <v>26</v>
      </c>
      <c r="S105" s="144">
        <f t="shared" si="221"/>
        <v>151</v>
      </c>
      <c r="T105" s="144">
        <f t="shared" si="222"/>
        <v>151</v>
      </c>
      <c r="U105" s="348">
        <f t="shared" si="211"/>
        <v>1551</v>
      </c>
      <c r="W105" s="255">
        <f>M104+M105</f>
        <v>20978</v>
      </c>
      <c r="X105" s="255">
        <f t="shared" ref="X105" si="296">N104+N105</f>
        <v>0</v>
      </c>
      <c r="Y105" s="255"/>
      <c r="Z105" s="255">
        <f t="shared" ref="Z105" si="297">P104+P105</f>
        <v>0</v>
      </c>
      <c r="AA105" s="255">
        <f t="shared" ref="AA105" si="298">Q104+Q105</f>
        <v>52</v>
      </c>
      <c r="AB105" s="255">
        <f t="shared" ref="AB105" si="299">R104+R105</f>
        <v>52</v>
      </c>
      <c r="AC105" s="255">
        <f t="shared" ref="AC105" si="300">S104+S105</f>
        <v>302</v>
      </c>
      <c r="AD105" s="255">
        <f t="shared" ref="AD105" si="301">T104+T105</f>
        <v>302</v>
      </c>
      <c r="AE105" s="255">
        <f t="shared" ref="AE105" si="302">U104+U105</f>
        <v>4319</v>
      </c>
      <c r="AG105" s="158">
        <f t="shared" si="198"/>
        <v>39500</v>
      </c>
      <c r="AH105" s="144">
        <v>2763.0378999999998</v>
      </c>
      <c r="AI105" s="144"/>
      <c r="AJ105" s="144"/>
      <c r="AK105" s="144"/>
      <c r="AL105" s="144"/>
      <c r="AM105" s="144"/>
      <c r="AN105" s="144"/>
      <c r="AO105" s="144"/>
      <c r="AP105" s="144"/>
      <c r="AQ105" s="144"/>
      <c r="AR105" s="144"/>
      <c r="AS105" s="144"/>
      <c r="AT105" s="144"/>
      <c r="AU105" s="144"/>
      <c r="AV105" s="144"/>
      <c r="AW105" s="144"/>
      <c r="AX105" s="144"/>
      <c r="AY105" s="144"/>
      <c r="AZ105" s="144"/>
      <c r="BA105" s="144"/>
      <c r="BB105" s="144"/>
      <c r="BC105" s="144"/>
      <c r="BD105" s="144"/>
      <c r="BE105" s="144"/>
      <c r="BF105" s="144"/>
      <c r="BG105" s="144"/>
      <c r="BH105" s="144"/>
      <c r="BI105" s="144"/>
      <c r="BJ105" s="144"/>
      <c r="BK105" s="144"/>
      <c r="BL105" s="144"/>
      <c r="BM105" s="144"/>
      <c r="BN105" s="144"/>
      <c r="BO105" s="144">
        <v>13.7225</v>
      </c>
      <c r="BP105" s="144"/>
      <c r="BQ105" s="144"/>
      <c r="BR105" s="144">
        <f t="shared" si="231"/>
        <v>13.7225</v>
      </c>
      <c r="BS105" s="144"/>
      <c r="BT105" s="144"/>
      <c r="BU105" s="144">
        <v>27.0532</v>
      </c>
      <c r="BV105" s="144"/>
      <c r="BW105" s="144">
        <f t="shared" si="233"/>
        <v>27.0532</v>
      </c>
      <c r="BX105" s="144"/>
      <c r="BY105" s="144"/>
      <c r="BZ105" s="144"/>
      <c r="CA105" s="144"/>
      <c r="CB105" s="262">
        <f>230.1+4</f>
        <v>234.1</v>
      </c>
      <c r="CC105" s="1">
        <f t="shared" si="199"/>
        <v>39500</v>
      </c>
    </row>
    <row r="106" spans="1:81" x14ac:dyDescent="0.25">
      <c r="A106" s="503"/>
      <c r="C106" s="210">
        <v>39550</v>
      </c>
      <c r="D106" s="349">
        <f t="shared" si="212"/>
        <v>2039.1152</v>
      </c>
      <c r="E106" s="349">
        <f t="shared" si="213"/>
        <v>0</v>
      </c>
      <c r="F106" s="147"/>
      <c r="G106" s="147">
        <f t="shared" si="214"/>
        <v>0</v>
      </c>
      <c r="H106" s="147">
        <f t="shared" si="194"/>
        <v>13.7225</v>
      </c>
      <c r="I106" s="147">
        <f t="shared" si="195"/>
        <v>13.7225</v>
      </c>
      <c r="J106" s="147">
        <f t="shared" si="196"/>
        <v>27.0532</v>
      </c>
      <c r="K106" s="156">
        <f t="shared" si="197"/>
        <v>27.0532</v>
      </c>
      <c r="L106" s="352">
        <f t="shared" si="215"/>
        <v>191.9</v>
      </c>
      <c r="M106" s="355">
        <f t="shared" si="216"/>
        <v>4447</v>
      </c>
      <c r="N106" s="147">
        <f t="shared" si="217"/>
        <v>0</v>
      </c>
      <c r="O106" s="147"/>
      <c r="P106" s="147">
        <f t="shared" si="218"/>
        <v>0</v>
      </c>
      <c r="Q106" s="147">
        <f t="shared" si="219"/>
        <v>26</v>
      </c>
      <c r="R106" s="147">
        <f t="shared" si="220"/>
        <v>26</v>
      </c>
      <c r="S106" s="147">
        <f t="shared" si="221"/>
        <v>151</v>
      </c>
      <c r="T106" s="147">
        <f t="shared" si="222"/>
        <v>151</v>
      </c>
      <c r="U106" s="349">
        <f t="shared" si="211"/>
        <v>1184</v>
      </c>
      <c r="W106" s="151"/>
      <c r="X106" s="147"/>
      <c r="Y106" s="147"/>
      <c r="Z106" s="147"/>
      <c r="AA106" s="147"/>
      <c r="AB106" s="147"/>
      <c r="AC106" s="147"/>
      <c r="AD106" s="147"/>
      <c r="AE106" s="148"/>
      <c r="AG106" s="155">
        <f t="shared" si="198"/>
        <v>39550</v>
      </c>
      <c r="AH106" s="147">
        <v>2039.1152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  <c r="BI106" s="147"/>
      <c r="BJ106" s="147"/>
      <c r="BK106" s="147"/>
      <c r="BL106" s="147"/>
      <c r="BM106" s="147"/>
      <c r="BN106" s="147"/>
      <c r="BO106" s="147">
        <v>13.7225</v>
      </c>
      <c r="BP106" s="147"/>
      <c r="BQ106" s="147"/>
      <c r="BR106" s="147">
        <f t="shared" si="231"/>
        <v>13.7225</v>
      </c>
      <c r="BS106" s="147"/>
      <c r="BT106" s="147"/>
      <c r="BU106" s="147">
        <v>27.0532</v>
      </c>
      <c r="BV106" s="147"/>
      <c r="BW106" s="147">
        <f t="shared" si="233"/>
        <v>27.0532</v>
      </c>
      <c r="BX106" s="147"/>
      <c r="BY106" s="147"/>
      <c r="BZ106" s="147"/>
      <c r="CA106" s="147"/>
      <c r="CB106" s="262">
        <f>187.9+4</f>
        <v>191.9</v>
      </c>
      <c r="CC106" s="1">
        <f t="shared" si="199"/>
        <v>39550</v>
      </c>
    </row>
    <row r="107" spans="1:81" x14ac:dyDescent="0.25">
      <c r="A107" s="503"/>
      <c r="C107" s="121">
        <v>39600</v>
      </c>
      <c r="D107" s="347">
        <f t="shared" si="212"/>
        <v>1677.55</v>
      </c>
      <c r="E107" s="347">
        <f t="shared" si="213"/>
        <v>0</v>
      </c>
      <c r="F107" s="58"/>
      <c r="G107" s="58">
        <f t="shared" si="214"/>
        <v>0</v>
      </c>
      <c r="H107" s="58">
        <f t="shared" si="194"/>
        <v>13.7225</v>
      </c>
      <c r="I107" s="58">
        <f t="shared" si="195"/>
        <v>13.7225</v>
      </c>
      <c r="J107" s="58">
        <f t="shared" si="196"/>
        <v>27.0532</v>
      </c>
      <c r="K107" s="51">
        <f t="shared" si="197"/>
        <v>27.0532</v>
      </c>
      <c r="L107" s="350">
        <f t="shared" si="215"/>
        <v>159.5</v>
      </c>
      <c r="M107" s="353">
        <f t="shared" si="216"/>
        <v>3442</v>
      </c>
      <c r="N107" s="58">
        <f t="shared" si="217"/>
        <v>0</v>
      </c>
      <c r="O107" s="58"/>
      <c r="P107" s="58">
        <f t="shared" si="218"/>
        <v>0</v>
      </c>
      <c r="Q107" s="58">
        <f t="shared" si="219"/>
        <v>26</v>
      </c>
      <c r="R107" s="58">
        <f t="shared" si="220"/>
        <v>26</v>
      </c>
      <c r="S107" s="58">
        <f t="shared" si="221"/>
        <v>151</v>
      </c>
      <c r="T107" s="58">
        <f t="shared" si="222"/>
        <v>151</v>
      </c>
      <c r="U107" s="347">
        <f t="shared" si="211"/>
        <v>977</v>
      </c>
      <c r="W107" s="105"/>
      <c r="X107" s="58"/>
      <c r="Y107" s="58"/>
      <c r="Z107" s="58"/>
      <c r="AA107" s="58"/>
      <c r="AB107" s="58"/>
      <c r="AC107" s="58"/>
      <c r="AD107" s="58"/>
      <c r="AE107" s="138"/>
      <c r="AG107" s="57">
        <f t="shared" si="198"/>
        <v>39600</v>
      </c>
      <c r="AH107" s="58">
        <v>1677.55</v>
      </c>
      <c r="AI107" s="58"/>
      <c r="AJ107" s="58"/>
      <c r="AK107" s="58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58"/>
      <c r="BH107" s="58"/>
      <c r="BI107" s="58"/>
      <c r="BJ107" s="58"/>
      <c r="BK107" s="58"/>
      <c r="BL107" s="58"/>
      <c r="BM107" s="58"/>
      <c r="BN107" s="58"/>
      <c r="BO107" s="58">
        <v>13.7225</v>
      </c>
      <c r="BP107" s="58"/>
      <c r="BQ107" s="58"/>
      <c r="BR107" s="58">
        <f t="shared" si="231"/>
        <v>13.7225</v>
      </c>
      <c r="BS107" s="58"/>
      <c r="BT107" s="58"/>
      <c r="BU107" s="58">
        <v>27.0532</v>
      </c>
      <c r="BV107" s="58"/>
      <c r="BW107" s="58">
        <f t="shared" si="233"/>
        <v>27.0532</v>
      </c>
      <c r="BX107" s="58"/>
      <c r="BY107" s="58"/>
      <c r="BZ107" s="58"/>
      <c r="CA107" s="58"/>
      <c r="CB107" s="262">
        <f>155.5+4</f>
        <v>159.5</v>
      </c>
      <c r="CC107" s="1">
        <f t="shared" si="199"/>
        <v>39600</v>
      </c>
    </row>
    <row r="108" spans="1:81" s="3" customFormat="1" ht="15.75" thickBot="1" x14ac:dyDescent="0.3">
      <c r="A108" s="503"/>
      <c r="C108" s="212">
        <v>39650</v>
      </c>
      <c r="D108" s="348">
        <f t="shared" si="212"/>
        <v>1362.6881000000001</v>
      </c>
      <c r="E108" s="348">
        <f t="shared" si="213"/>
        <v>0</v>
      </c>
      <c r="F108" s="144"/>
      <c r="G108" s="144">
        <f t="shared" si="214"/>
        <v>0</v>
      </c>
      <c r="H108" s="144">
        <f t="shared" si="194"/>
        <v>13.7225</v>
      </c>
      <c r="I108" s="144">
        <f t="shared" si="195"/>
        <v>13.7225</v>
      </c>
      <c r="J108" s="144">
        <f t="shared" si="196"/>
        <v>27.0532</v>
      </c>
      <c r="K108" s="159">
        <f t="shared" si="197"/>
        <v>27.0532</v>
      </c>
      <c r="L108" s="351">
        <f t="shared" si="215"/>
        <v>140.30000000000001</v>
      </c>
      <c r="M108" s="354">
        <f t="shared" si="216"/>
        <v>2816</v>
      </c>
      <c r="N108" s="144">
        <f t="shared" si="217"/>
        <v>0</v>
      </c>
      <c r="O108" s="144"/>
      <c r="P108" s="144">
        <f t="shared" si="218"/>
        <v>0</v>
      </c>
      <c r="Q108" s="144">
        <f t="shared" si="219"/>
        <v>26</v>
      </c>
      <c r="R108" s="144">
        <f t="shared" si="220"/>
        <v>26</v>
      </c>
      <c r="S108" s="144">
        <f t="shared" si="221"/>
        <v>151</v>
      </c>
      <c r="T108" s="144">
        <f t="shared" si="222"/>
        <v>151</v>
      </c>
      <c r="U108" s="348">
        <f t="shared" si="211"/>
        <v>833</v>
      </c>
      <c r="W108" s="255">
        <f>M106+M107+M108</f>
        <v>10705</v>
      </c>
      <c r="X108" s="255">
        <f t="shared" ref="X108" si="303">N106+N107+N108</f>
        <v>0</v>
      </c>
      <c r="Y108" s="255"/>
      <c r="Z108" s="255">
        <f t="shared" ref="Z108" si="304">P106+P107+P108</f>
        <v>0</v>
      </c>
      <c r="AA108" s="255">
        <f t="shared" ref="AA108" si="305">Q106+Q107+Q108</f>
        <v>78</v>
      </c>
      <c r="AB108" s="255">
        <f t="shared" ref="AB108" si="306">R106+R107+R108</f>
        <v>78</v>
      </c>
      <c r="AC108" s="255">
        <f t="shared" ref="AC108" si="307">S106+S107+S108</f>
        <v>453</v>
      </c>
      <c r="AD108" s="255">
        <f t="shared" ref="AD108" si="308">T106+T107+T108</f>
        <v>453</v>
      </c>
      <c r="AE108" s="255">
        <f t="shared" ref="AE108" si="309">U106+U107+U108</f>
        <v>2994</v>
      </c>
      <c r="AG108" s="158">
        <f t="shared" si="198"/>
        <v>39650</v>
      </c>
      <c r="AH108" s="144">
        <v>1362.6881000000001</v>
      </c>
      <c r="AI108" s="144"/>
      <c r="AJ108" s="144"/>
      <c r="AK108" s="144"/>
      <c r="AL108" s="144"/>
      <c r="AM108" s="144"/>
      <c r="AN108" s="144"/>
      <c r="AO108" s="144"/>
      <c r="AP108" s="144"/>
      <c r="AQ108" s="144"/>
      <c r="AR108" s="144"/>
      <c r="AS108" s="144"/>
      <c r="AT108" s="144"/>
      <c r="AU108" s="144"/>
      <c r="AV108" s="144"/>
      <c r="AW108" s="144"/>
      <c r="AX108" s="144"/>
      <c r="AY108" s="144"/>
      <c r="AZ108" s="144"/>
      <c r="BA108" s="144"/>
      <c r="BB108" s="144"/>
      <c r="BC108" s="144"/>
      <c r="BD108" s="144"/>
      <c r="BE108" s="144"/>
      <c r="BF108" s="144"/>
      <c r="BG108" s="144"/>
      <c r="BH108" s="144"/>
      <c r="BI108" s="144"/>
      <c r="BJ108" s="144"/>
      <c r="BK108" s="144"/>
      <c r="BL108" s="144"/>
      <c r="BM108" s="144"/>
      <c r="BN108" s="144"/>
      <c r="BO108" s="144">
        <v>13.7225</v>
      </c>
      <c r="BP108" s="144"/>
      <c r="BQ108" s="144"/>
      <c r="BR108" s="144">
        <f t="shared" si="231"/>
        <v>13.7225</v>
      </c>
      <c r="BS108" s="144"/>
      <c r="BT108" s="144"/>
      <c r="BU108" s="144">
        <v>27.0532</v>
      </c>
      <c r="BV108" s="144"/>
      <c r="BW108" s="144">
        <f t="shared" si="233"/>
        <v>27.0532</v>
      </c>
      <c r="BX108" s="144"/>
      <c r="BY108" s="144"/>
      <c r="BZ108" s="144"/>
      <c r="CA108" s="144"/>
      <c r="CB108" s="262">
        <f>136.3+4</f>
        <v>140.30000000000001</v>
      </c>
      <c r="CC108" s="1">
        <f t="shared" si="199"/>
        <v>39650</v>
      </c>
    </row>
    <row r="109" spans="1:81" x14ac:dyDescent="0.25">
      <c r="A109" s="503"/>
      <c r="C109" s="210">
        <v>39700</v>
      </c>
      <c r="D109" s="349">
        <f t="shared" si="212"/>
        <v>977.82270000000005</v>
      </c>
      <c r="E109" s="349">
        <f t="shared" si="213"/>
        <v>30.013000000000002</v>
      </c>
      <c r="F109" s="147"/>
      <c r="G109" s="147">
        <f t="shared" si="214"/>
        <v>0</v>
      </c>
      <c r="H109" s="147">
        <f t="shared" si="194"/>
        <v>13.7225</v>
      </c>
      <c r="I109" s="147">
        <f t="shared" si="195"/>
        <v>13.7225</v>
      </c>
      <c r="J109" s="147">
        <f t="shared" si="196"/>
        <v>25.581099999999999</v>
      </c>
      <c r="K109" s="156">
        <f t="shared" si="197"/>
        <v>25.581099999999999</v>
      </c>
      <c r="L109" s="352">
        <f t="shared" si="215"/>
        <v>135.9</v>
      </c>
      <c r="M109" s="355">
        <f t="shared" si="216"/>
        <v>2168</v>
      </c>
      <c r="N109" s="147">
        <f t="shared" si="217"/>
        <v>28</v>
      </c>
      <c r="O109" s="147"/>
      <c r="P109" s="147">
        <f t="shared" si="218"/>
        <v>0</v>
      </c>
      <c r="Q109" s="147">
        <f t="shared" si="219"/>
        <v>26</v>
      </c>
      <c r="R109" s="147">
        <f t="shared" si="220"/>
        <v>26</v>
      </c>
      <c r="S109" s="147">
        <f t="shared" si="221"/>
        <v>147</v>
      </c>
      <c r="T109" s="147">
        <f t="shared" si="222"/>
        <v>147</v>
      </c>
      <c r="U109" s="349">
        <f t="shared" si="211"/>
        <v>768</v>
      </c>
      <c r="W109" s="151"/>
      <c r="X109" s="147"/>
      <c r="Y109" s="147"/>
      <c r="Z109" s="147"/>
      <c r="AA109" s="147"/>
      <c r="AB109" s="147"/>
      <c r="AC109" s="147"/>
      <c r="AD109" s="147"/>
      <c r="AE109" s="148"/>
      <c r="AG109" s="155">
        <f t="shared" si="198"/>
        <v>39700</v>
      </c>
      <c r="AH109" s="147">
        <v>977.82270000000005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>
        <v>30.013000000000002</v>
      </c>
      <c r="AZ109" s="147"/>
      <c r="BA109" s="147"/>
      <c r="BB109" s="147"/>
      <c r="BC109" s="147"/>
      <c r="BD109" s="147"/>
      <c r="BE109" s="147"/>
      <c r="BF109" s="147"/>
      <c r="BG109" s="147"/>
      <c r="BH109" s="147"/>
      <c r="BI109" s="147"/>
      <c r="BJ109" s="147"/>
      <c r="BK109" s="147"/>
      <c r="BL109" s="147"/>
      <c r="BM109" s="147"/>
      <c r="BN109" s="147"/>
      <c r="BO109" s="147">
        <v>13.7225</v>
      </c>
      <c r="BP109" s="147"/>
      <c r="BQ109" s="147"/>
      <c r="BR109" s="147">
        <f t="shared" si="231"/>
        <v>13.7225</v>
      </c>
      <c r="BS109" s="147"/>
      <c r="BT109" s="147"/>
      <c r="BU109" s="147">
        <v>25.581099999999999</v>
      </c>
      <c r="BV109" s="147"/>
      <c r="BW109" s="147">
        <f t="shared" si="233"/>
        <v>25.581099999999999</v>
      </c>
      <c r="BX109" s="147"/>
      <c r="BY109" s="147"/>
      <c r="BZ109" s="147"/>
      <c r="CA109" s="147"/>
      <c r="CB109" s="262">
        <f>131.9+4</f>
        <v>135.9</v>
      </c>
      <c r="CC109" s="1">
        <f t="shared" si="199"/>
        <v>39700</v>
      </c>
    </row>
    <row r="110" spans="1:81" x14ac:dyDescent="0.25">
      <c r="A110" s="503"/>
      <c r="C110" s="121">
        <v>39750</v>
      </c>
      <c r="D110" s="347">
        <f t="shared" si="212"/>
        <v>51.789099999999998</v>
      </c>
      <c r="E110" s="347">
        <f t="shared" si="213"/>
        <v>33.036999999999999</v>
      </c>
      <c r="F110" s="58"/>
      <c r="G110" s="58">
        <f t="shared" si="214"/>
        <v>0</v>
      </c>
      <c r="H110" s="58">
        <f t="shared" si="194"/>
        <v>12.437200000000001</v>
      </c>
      <c r="I110" s="58">
        <f t="shared" si="195"/>
        <v>12.437200000000001</v>
      </c>
      <c r="J110" s="58">
        <f t="shared" si="196"/>
        <v>17.599</v>
      </c>
      <c r="K110" s="51">
        <f t="shared" si="197"/>
        <v>17.599</v>
      </c>
      <c r="L110" s="350">
        <f t="shared" si="215"/>
        <v>8.8803999999999998</v>
      </c>
      <c r="M110" s="353">
        <f t="shared" si="216"/>
        <v>954</v>
      </c>
      <c r="N110" s="58">
        <f t="shared" si="217"/>
        <v>59</v>
      </c>
      <c r="O110" s="58"/>
      <c r="P110" s="58">
        <f t="shared" si="218"/>
        <v>0</v>
      </c>
      <c r="Q110" s="58">
        <f t="shared" si="219"/>
        <v>25</v>
      </c>
      <c r="R110" s="58">
        <f t="shared" si="220"/>
        <v>25</v>
      </c>
      <c r="S110" s="58">
        <f t="shared" si="221"/>
        <v>120</v>
      </c>
      <c r="T110" s="58">
        <f t="shared" si="222"/>
        <v>120</v>
      </c>
      <c r="U110" s="347">
        <f t="shared" si="211"/>
        <v>403</v>
      </c>
      <c r="W110" s="105"/>
      <c r="X110" s="58"/>
      <c r="Y110" s="58"/>
      <c r="Z110" s="58"/>
      <c r="AA110" s="58"/>
      <c r="AB110" s="58"/>
      <c r="AC110" s="58"/>
      <c r="AD110" s="58"/>
      <c r="AE110" s="138"/>
      <c r="AG110" s="57">
        <f t="shared" si="198"/>
        <v>39750</v>
      </c>
      <c r="AH110" s="58">
        <v>51.789099999999998</v>
      </c>
      <c r="AI110" s="58"/>
      <c r="AJ110" s="58"/>
      <c r="AK110" s="58"/>
      <c r="AL110" s="58"/>
      <c r="AM110" s="58"/>
      <c r="AN110" s="58"/>
      <c r="AO110" s="58"/>
      <c r="AP110" s="58"/>
      <c r="AQ110" s="58"/>
      <c r="AR110" s="58"/>
      <c r="AS110" s="58"/>
      <c r="AT110" s="58"/>
      <c r="AU110" s="58"/>
      <c r="AV110" s="58"/>
      <c r="AW110" s="58"/>
      <c r="AX110" s="58"/>
      <c r="AY110" s="58">
        <v>33.036999999999999</v>
      </c>
      <c r="AZ110" s="58"/>
      <c r="BA110" s="58"/>
      <c r="BB110" s="58"/>
      <c r="BC110" s="58"/>
      <c r="BD110" s="58"/>
      <c r="BE110" s="58"/>
      <c r="BF110" s="58"/>
      <c r="BG110" s="58"/>
      <c r="BH110" s="58"/>
      <c r="BI110" s="58"/>
      <c r="BJ110" s="58"/>
      <c r="BK110" s="58"/>
      <c r="BL110" s="58"/>
      <c r="BM110" s="58"/>
      <c r="BN110" s="58"/>
      <c r="BO110" s="58">
        <v>12.437200000000001</v>
      </c>
      <c r="BP110" s="58"/>
      <c r="BQ110" s="58"/>
      <c r="BR110" s="58">
        <f t="shared" si="231"/>
        <v>12.437200000000001</v>
      </c>
      <c r="BS110" s="58"/>
      <c r="BT110" s="58"/>
      <c r="BU110" s="58">
        <v>17.599</v>
      </c>
      <c r="BV110" s="58"/>
      <c r="BW110" s="58">
        <f t="shared" si="233"/>
        <v>17.599</v>
      </c>
      <c r="BX110" s="58"/>
      <c r="BY110" s="58"/>
      <c r="BZ110" s="58"/>
      <c r="CA110" s="58"/>
      <c r="CB110" s="262">
        <v>8.8803999999999998</v>
      </c>
      <c r="CC110" s="1">
        <f t="shared" si="199"/>
        <v>39750</v>
      </c>
    </row>
    <row r="111" spans="1:81" ht="15.75" thickBot="1" x14ac:dyDescent="0.3">
      <c r="A111" s="503"/>
      <c r="C111" s="121">
        <v>39751.56</v>
      </c>
      <c r="D111" s="347">
        <f t="shared" si="212"/>
        <v>567.51859999999999</v>
      </c>
      <c r="E111" s="347">
        <f t="shared" si="213"/>
        <v>9.0614000000000008</v>
      </c>
      <c r="F111" s="58"/>
      <c r="G111" s="58">
        <f t="shared" si="214"/>
        <v>0</v>
      </c>
      <c r="H111" s="58">
        <f t="shared" si="194"/>
        <v>0</v>
      </c>
      <c r="I111" s="58">
        <f t="shared" si="195"/>
        <v>0</v>
      </c>
      <c r="J111" s="58">
        <f t="shared" si="196"/>
        <v>0</v>
      </c>
      <c r="K111" s="51">
        <f t="shared" si="197"/>
        <v>0</v>
      </c>
      <c r="L111" s="350">
        <f t="shared" si="215"/>
        <v>111.9</v>
      </c>
      <c r="M111" s="353">
        <f t="shared" si="216"/>
        <v>18</v>
      </c>
      <c r="N111" s="58">
        <f t="shared" si="217"/>
        <v>2</v>
      </c>
      <c r="O111" s="58"/>
      <c r="P111" s="58">
        <f t="shared" si="218"/>
        <v>0</v>
      </c>
      <c r="Q111" s="58">
        <f t="shared" si="219"/>
        <v>1</v>
      </c>
      <c r="R111" s="58">
        <f t="shared" si="220"/>
        <v>1</v>
      </c>
      <c r="S111" s="58">
        <f t="shared" si="221"/>
        <v>2</v>
      </c>
      <c r="T111" s="58">
        <f t="shared" si="222"/>
        <v>2</v>
      </c>
      <c r="U111" s="347">
        <f t="shared" si="211"/>
        <v>11</v>
      </c>
      <c r="W111" s="255">
        <f>M109+M110+M111</f>
        <v>3140</v>
      </c>
      <c r="X111" s="255">
        <f t="shared" ref="X111" si="310">N109+N110+N111</f>
        <v>89</v>
      </c>
      <c r="Y111" s="255"/>
      <c r="Z111" s="255">
        <f t="shared" ref="Z111" si="311">P109+P110+P111</f>
        <v>0</v>
      </c>
      <c r="AA111" s="255">
        <f t="shared" ref="AA111" si="312">Q109+Q110+Q111</f>
        <v>52</v>
      </c>
      <c r="AB111" s="255">
        <f t="shared" ref="AB111" si="313">R109+R110+R111</f>
        <v>52</v>
      </c>
      <c r="AC111" s="255">
        <f t="shared" ref="AC111" si="314">S109+S110+S111</f>
        <v>269</v>
      </c>
      <c r="AD111" s="255">
        <f t="shared" ref="AD111" si="315">T109+T110+T111</f>
        <v>269</v>
      </c>
      <c r="AE111" s="255">
        <f t="shared" ref="AE111" si="316">U109+U110+U111</f>
        <v>1182</v>
      </c>
      <c r="AG111" s="57">
        <f t="shared" si="198"/>
        <v>39751.56</v>
      </c>
      <c r="AH111" s="58">
        <v>567.51859999999999</v>
      </c>
      <c r="AI111" s="58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>
        <v>9.0614000000000008</v>
      </c>
      <c r="AZ111" s="58"/>
      <c r="BA111" s="58"/>
      <c r="BB111" s="58"/>
      <c r="BC111" s="58"/>
      <c r="BD111" s="58"/>
      <c r="BE111" s="58"/>
      <c r="BF111" s="58"/>
      <c r="BG111" s="58"/>
      <c r="BH111" s="58"/>
      <c r="BI111" s="58"/>
      <c r="BJ111" s="58"/>
      <c r="BK111" s="58"/>
      <c r="BL111" s="58"/>
      <c r="BM111" s="58"/>
      <c r="BN111" s="58"/>
      <c r="BO111" s="58"/>
      <c r="BP111" s="58"/>
      <c r="BQ111" s="58"/>
      <c r="BR111" s="58"/>
      <c r="BS111" s="58"/>
      <c r="BT111" s="58"/>
      <c r="BU111" s="58"/>
      <c r="BV111" s="58"/>
      <c r="BW111" s="58"/>
      <c r="BX111" s="58"/>
      <c r="BY111" s="58"/>
      <c r="BZ111" s="58"/>
      <c r="CA111" s="58"/>
      <c r="CB111" s="262">
        <f>107.9+4</f>
        <v>111.9</v>
      </c>
      <c r="CC111" s="1">
        <f t="shared" si="199"/>
        <v>39751.56</v>
      </c>
    </row>
    <row r="112" spans="1:81" x14ac:dyDescent="0.25">
      <c r="A112" s="503"/>
      <c r="C112" s="121"/>
      <c r="AE112" s="208"/>
      <c r="AG112" s="57"/>
      <c r="AH112" s="53"/>
      <c r="AI112" s="53"/>
      <c r="AJ112" s="53"/>
      <c r="AK112" s="53"/>
      <c r="AL112" s="53"/>
      <c r="AM112" s="53"/>
      <c r="AN112" s="53"/>
      <c r="AO112" s="53"/>
      <c r="AP112" s="53"/>
      <c r="AQ112" s="53"/>
      <c r="AR112" s="53"/>
      <c r="AS112" s="53"/>
      <c r="AT112" s="53"/>
      <c r="AU112" s="53"/>
      <c r="AV112" s="53"/>
      <c r="AW112" s="53"/>
      <c r="AX112" s="53"/>
      <c r="AY112" s="53"/>
      <c r="AZ112" s="53"/>
      <c r="BA112" s="53"/>
      <c r="BB112" s="53"/>
      <c r="BC112" s="53"/>
      <c r="BD112" s="53"/>
      <c r="BE112" s="53"/>
      <c r="BF112" s="53"/>
      <c r="BG112" s="53"/>
      <c r="BH112" s="53"/>
      <c r="BI112" s="53"/>
      <c r="BJ112" s="53"/>
      <c r="BK112" s="53"/>
      <c r="BL112" s="53"/>
      <c r="BM112" s="53"/>
      <c r="BN112" s="53"/>
      <c r="BO112" s="53"/>
      <c r="BP112" s="53"/>
      <c r="BQ112" s="53"/>
      <c r="BR112" s="53"/>
      <c r="BS112" s="53"/>
      <c r="BT112" s="53"/>
      <c r="BU112" s="53"/>
      <c r="BV112" s="53"/>
      <c r="BW112" s="53"/>
      <c r="BX112" s="53"/>
      <c r="BY112" s="53"/>
      <c r="BZ112" s="53"/>
      <c r="CA112" s="53"/>
      <c r="CB112" s="270"/>
      <c r="CC112" s="1"/>
    </row>
    <row r="113" spans="1:113" ht="21" x14ac:dyDescent="0.35">
      <c r="A113" s="503"/>
      <c r="M113" s="385">
        <f>SUM(M83:M111)</f>
        <v>600221</v>
      </c>
      <c r="N113" s="120">
        <f t="shared" ref="N113:U113" si="317">SUM(N83:N111)</f>
        <v>2027</v>
      </c>
      <c r="O113" s="120"/>
      <c r="P113" s="120">
        <f t="shared" si="317"/>
        <v>0</v>
      </c>
      <c r="Q113" s="120">
        <f t="shared" si="317"/>
        <v>789</v>
      </c>
      <c r="R113" s="120">
        <f t="shared" si="317"/>
        <v>789</v>
      </c>
      <c r="S113" s="120">
        <f t="shared" si="317"/>
        <v>4549</v>
      </c>
      <c r="T113" s="120">
        <f t="shared" si="317"/>
        <v>4549</v>
      </c>
      <c r="U113" s="385">
        <f t="shared" si="317"/>
        <v>59627</v>
      </c>
      <c r="W113" s="120">
        <f>SUM(W83:W111)</f>
        <v>600221</v>
      </c>
      <c r="X113" s="120">
        <f t="shared" ref="X113:AE113" si="318">SUM(X83:X111)</f>
        <v>2027</v>
      </c>
      <c r="Y113" s="120"/>
      <c r="Z113" s="120">
        <f t="shared" si="318"/>
        <v>0</v>
      </c>
      <c r="AA113" s="120">
        <f t="shared" si="318"/>
        <v>789</v>
      </c>
      <c r="AB113" s="120">
        <f t="shared" si="318"/>
        <v>789</v>
      </c>
      <c r="AC113" s="120">
        <f t="shared" si="318"/>
        <v>4549</v>
      </c>
      <c r="AD113" s="120">
        <f t="shared" si="318"/>
        <v>4549</v>
      </c>
      <c r="AE113" s="209">
        <f t="shared" si="318"/>
        <v>59627</v>
      </c>
    </row>
    <row r="114" spans="1:113" x14ac:dyDescent="0.25">
      <c r="AE114" s="208"/>
    </row>
    <row r="115" spans="1:113" x14ac:dyDescent="0.25">
      <c r="AE115" s="208"/>
    </row>
    <row r="116" spans="1:113" x14ac:dyDescent="0.25">
      <c r="AE116" s="208"/>
      <c r="CC116" s="1"/>
    </row>
    <row r="117" spans="1:113" ht="15.75" thickBot="1" x14ac:dyDescent="0.3">
      <c r="AE117" s="208"/>
      <c r="CC117" s="1"/>
    </row>
    <row r="118" spans="1:113" s="2" customFormat="1" ht="15" customHeight="1" x14ac:dyDescent="0.25">
      <c r="A118" s="502" t="s">
        <v>79</v>
      </c>
      <c r="B118" s="125"/>
      <c r="C118" s="121">
        <v>37989.279999999999</v>
      </c>
      <c r="D118" s="347">
        <f>SUM(AH118:AX118)</f>
        <v>0</v>
      </c>
      <c r="E118" s="347">
        <f>SUM(AY118:BG118)</f>
        <v>2508.4883</v>
      </c>
      <c r="F118" s="58">
        <f>SUM(BJ118:BK118)</f>
        <v>0</v>
      </c>
      <c r="G118" s="58">
        <f>SUM(BL118:BN118)</f>
        <v>0</v>
      </c>
      <c r="H118" s="58">
        <f t="shared" ref="H118:H139" si="319">SUM(BO118:BQ118)</f>
        <v>0</v>
      </c>
      <c r="I118" s="58">
        <f t="shared" ref="I118:I139" si="320">SUM(BR118:BT118)</f>
        <v>0</v>
      </c>
      <c r="J118" s="58">
        <f t="shared" ref="J118:J139" si="321">SUM(BU118:BV118)</f>
        <v>0</v>
      </c>
      <c r="K118" s="51">
        <f t="shared" ref="K118:K139" si="322">BW118+BX118</f>
        <v>0</v>
      </c>
      <c r="L118" s="350">
        <f>SUM(BY118:CB118)</f>
        <v>0</v>
      </c>
      <c r="M118" s="353"/>
      <c r="N118" s="58"/>
      <c r="O118" s="58"/>
      <c r="P118" s="58"/>
      <c r="Q118" s="58"/>
      <c r="R118" s="58"/>
      <c r="S118" s="58"/>
      <c r="T118" s="58"/>
      <c r="U118" s="347"/>
      <c r="V118" s="56"/>
      <c r="W118" s="105"/>
      <c r="X118" s="58"/>
      <c r="Y118" s="58"/>
      <c r="Z118" s="58"/>
      <c r="AA118" s="58"/>
      <c r="AB118" s="58"/>
      <c r="AC118" s="58"/>
      <c r="AD118" s="58"/>
      <c r="AE118" s="138"/>
      <c r="AF118" s="55"/>
      <c r="AG118" s="57">
        <f>C118</f>
        <v>37989.279999999999</v>
      </c>
      <c r="AH118" s="58"/>
      <c r="AI118" s="58"/>
      <c r="AJ118" s="58"/>
      <c r="AK118" s="58"/>
      <c r="AL118" s="58"/>
      <c r="AM118" s="58"/>
      <c r="AN118" s="58"/>
      <c r="AO118" s="58"/>
      <c r="AP118" s="58"/>
      <c r="AQ118" s="58"/>
      <c r="AR118" s="58"/>
      <c r="AS118" s="58"/>
      <c r="AT118" s="58"/>
      <c r="AU118" s="58"/>
      <c r="AV118" s="58"/>
      <c r="AW118" s="58"/>
      <c r="AX118" s="58"/>
      <c r="AY118" s="58">
        <v>2508.4883</v>
      </c>
      <c r="AZ118" s="58"/>
      <c r="BA118" s="58"/>
      <c r="BB118" s="58"/>
      <c r="BC118" s="58"/>
      <c r="BD118" s="58"/>
      <c r="BE118" s="58"/>
      <c r="BF118" s="58"/>
      <c r="BG118" s="58"/>
      <c r="BH118" s="58"/>
      <c r="BI118" s="58"/>
      <c r="BJ118" s="58"/>
      <c r="BK118" s="58"/>
      <c r="BL118" s="58"/>
      <c r="BM118" s="58"/>
      <c r="BN118" s="58"/>
      <c r="BO118" s="58"/>
      <c r="BP118" s="58"/>
      <c r="BQ118" s="58"/>
      <c r="BR118" s="58"/>
      <c r="BS118" s="58"/>
      <c r="BT118" s="58"/>
      <c r="BU118" s="58"/>
      <c r="BV118" s="58"/>
      <c r="BW118" s="58"/>
      <c r="BX118" s="58"/>
      <c r="BY118" s="207"/>
      <c r="BZ118" s="58"/>
      <c r="CA118" s="58"/>
      <c r="CB118" s="53">
        <v>0</v>
      </c>
      <c r="CC118" s="1">
        <f t="shared" ref="CC118:CC139" si="323">C118</f>
        <v>37989.279999999999</v>
      </c>
      <c r="CD118" s="53"/>
      <c r="CE118" s="53"/>
      <c r="CF118" s="53"/>
      <c r="CG118" s="53"/>
      <c r="CH118" s="53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 s="41"/>
    </row>
    <row r="119" spans="1:113" s="3" customFormat="1" ht="15.75" thickBot="1" x14ac:dyDescent="0.3">
      <c r="A119" s="503"/>
      <c r="B119" s="125"/>
      <c r="C119" s="222">
        <v>38000</v>
      </c>
      <c r="D119" s="365">
        <f t="shared" ref="D119" si="324">SUM(AH119:AX119)</f>
        <v>0</v>
      </c>
      <c r="E119" s="365">
        <f t="shared" ref="E119" si="325">SUM(AY119:BG119)</f>
        <v>1627.8656000000001</v>
      </c>
      <c r="F119" s="58">
        <f t="shared" ref="F119:F139" si="326">SUM(BJ119:BK119)</f>
        <v>0</v>
      </c>
      <c r="G119" s="223">
        <f t="shared" ref="G119" si="327">SUM(BL119:BN119)</f>
        <v>0</v>
      </c>
      <c r="H119" s="223">
        <f t="shared" si="319"/>
        <v>0</v>
      </c>
      <c r="I119" s="223">
        <f t="shared" si="320"/>
        <v>0</v>
      </c>
      <c r="J119" s="223">
        <f t="shared" si="321"/>
        <v>0</v>
      </c>
      <c r="K119" s="224">
        <f t="shared" si="322"/>
        <v>0</v>
      </c>
      <c r="L119" s="378">
        <f t="shared" ref="L119" si="328">SUM(BY119:CB119)</f>
        <v>68.400000000000006</v>
      </c>
      <c r="M119" s="390">
        <f t="shared" ref="M119" si="329">ROUNDUP(((D118+D119)*0.5)*(C119-C118)/27,0)</f>
        <v>0</v>
      </c>
      <c r="N119" s="223">
        <f t="shared" ref="N119" si="330">ROUNDUP(((E118+E119)*0.5)*(C119-C118)/27,0)</f>
        <v>822</v>
      </c>
      <c r="O119" s="223"/>
      <c r="P119" s="223">
        <f t="shared" ref="P119" si="331">ROUNDUP(((G118+G119)*0.5)*(C119-C118)/27,0)</f>
        <v>0</v>
      </c>
      <c r="Q119" s="223">
        <f t="shared" ref="Q119" si="332">ROUNDUP(((H119+H118)*0.5)*(C119-C118)/27,0)</f>
        <v>0</v>
      </c>
      <c r="R119" s="223">
        <f t="shared" ref="R119" si="333">ROUNDUP(((I119+I118)*0.5)*(C119-C118)/27,0)</f>
        <v>0</v>
      </c>
      <c r="S119" s="223">
        <f t="shared" ref="S119" si="334">ROUNDUP(((J119+J118)*0.5)*(C119-C118)/9,0)</f>
        <v>0</v>
      </c>
      <c r="T119" s="223">
        <f t="shared" ref="T119" si="335">ROUNDUP(((K119+K118)*0.5)*(C119-C118)/9,0)</f>
        <v>0</v>
      </c>
      <c r="U119" s="365">
        <f t="shared" ref="U119" si="336">ROUNDUP(((L119+L118)*0.5)*(C119-C118)/9,0)</f>
        <v>41</v>
      </c>
      <c r="V119" s="56"/>
      <c r="W119" s="225"/>
      <c r="X119" s="223"/>
      <c r="Y119" s="223"/>
      <c r="Z119" s="223"/>
      <c r="AA119" s="223"/>
      <c r="AB119" s="223"/>
      <c r="AC119" s="223"/>
      <c r="AD119" s="223"/>
      <c r="AE119" s="226"/>
      <c r="AF119" s="55"/>
      <c r="AG119" s="227">
        <f t="shared" ref="AG119" si="337">C119</f>
        <v>38000</v>
      </c>
      <c r="AH119" s="223"/>
      <c r="AI119" s="223"/>
      <c r="AJ119" s="223"/>
      <c r="AK119" s="223"/>
      <c r="AL119" s="223"/>
      <c r="AM119" s="223"/>
      <c r="AN119" s="223"/>
      <c r="AO119" s="223"/>
      <c r="AP119" s="223"/>
      <c r="AQ119" s="223"/>
      <c r="AR119" s="223"/>
      <c r="AS119" s="223"/>
      <c r="AT119" s="223"/>
      <c r="AU119" s="223"/>
      <c r="AV119" s="223"/>
      <c r="AW119" s="223"/>
      <c r="AX119" s="223"/>
      <c r="AY119" s="223">
        <v>1627.8656000000001</v>
      </c>
      <c r="AZ119" s="223"/>
      <c r="BA119" s="223"/>
      <c r="BB119" s="223"/>
      <c r="BC119" s="223"/>
      <c r="BD119" s="223"/>
      <c r="BE119" s="223"/>
      <c r="BF119" s="223"/>
      <c r="BG119" s="223"/>
      <c r="BH119" s="223"/>
      <c r="BI119" s="223"/>
      <c r="BJ119" s="223"/>
      <c r="BK119" s="223"/>
      <c r="BL119" s="223"/>
      <c r="BM119" s="223"/>
      <c r="BN119" s="223"/>
      <c r="BO119" s="223"/>
      <c r="BP119" s="223"/>
      <c r="BQ119" s="223"/>
      <c r="BR119" s="223"/>
      <c r="BS119" s="223"/>
      <c r="BT119" s="223"/>
      <c r="BU119" s="223"/>
      <c r="BV119" s="223"/>
      <c r="BW119" s="223"/>
      <c r="BX119" s="223"/>
      <c r="BY119" s="230"/>
      <c r="BZ119" s="58"/>
      <c r="CA119" s="58"/>
      <c r="CB119" s="53">
        <v>68.400000000000006</v>
      </c>
      <c r="CC119" s="1">
        <f t="shared" si="323"/>
        <v>38000</v>
      </c>
      <c r="CD119" s="53"/>
      <c r="CE119" s="53"/>
      <c r="CF119" s="53"/>
      <c r="CG119" s="53"/>
      <c r="CH119" s="53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</row>
    <row r="120" spans="1:113" s="168" customFormat="1" ht="15.75" thickBot="1" x14ac:dyDescent="0.3">
      <c r="A120" s="503"/>
      <c r="B120" s="243"/>
      <c r="C120" s="212">
        <v>38050</v>
      </c>
      <c r="D120" s="348">
        <f t="shared" ref="D120:D139" si="338">SUM(AH120:AX120)</f>
        <v>0</v>
      </c>
      <c r="E120" s="348">
        <f t="shared" ref="E120:E139" si="339">SUM(AY120:BG120)</f>
        <v>0</v>
      </c>
      <c r="F120" s="58">
        <f t="shared" si="326"/>
        <v>1483.8710000000001</v>
      </c>
      <c r="G120" s="144">
        <f t="shared" ref="G120:G139" si="340">SUM(BL120:BN120)</f>
        <v>0</v>
      </c>
      <c r="H120" s="144">
        <f t="shared" si="319"/>
        <v>0</v>
      </c>
      <c r="I120" s="144">
        <f t="shared" si="320"/>
        <v>0</v>
      </c>
      <c r="J120" s="144">
        <f t="shared" si="321"/>
        <v>0</v>
      </c>
      <c r="K120" s="159">
        <f t="shared" si="322"/>
        <v>0</v>
      </c>
      <c r="L120" s="351">
        <f t="shared" ref="L120:L139" si="341">SUM(BY120:CB120)</f>
        <v>99.3</v>
      </c>
      <c r="M120" s="354">
        <f>ROUNDUP(((D119+D120)*0.5)*(C120-C119)/27,0)</f>
        <v>0</v>
      </c>
      <c r="N120" s="144">
        <f>ROUNDUP(((E119+E120)*0.5)*(C120-C119)/27,0)</f>
        <v>1508</v>
      </c>
      <c r="O120" s="144">
        <f>ROUNDUP(((F119+F120)*0.5)*(C120-38025)/27,0)</f>
        <v>687</v>
      </c>
      <c r="P120" s="144">
        <f>ROUNDUP(((G119+G120)*0.5)*(C120-C119)/27,0)</f>
        <v>0</v>
      </c>
      <c r="Q120" s="144">
        <f>ROUNDUP(((H120+H119)*0.5)*(C120-C119)/27,0)</f>
        <v>0</v>
      </c>
      <c r="R120" s="144">
        <f>ROUNDUP(((I120+I119)*0.5)*(C120-C119)/27,0)</f>
        <v>0</v>
      </c>
      <c r="S120" s="144">
        <f>ROUNDUP(((J120+J119)*0.5)*(C120-C119)/9,0)</f>
        <v>0</v>
      </c>
      <c r="T120" s="144">
        <f>ROUNDUP(((K120+K119)*0.5)*(C120-C119)/9,0)</f>
        <v>0</v>
      </c>
      <c r="U120" s="348">
        <f>ROUNDUP(((L120+L119)*0.5)*(C120-C119)/9,0)</f>
        <v>466</v>
      </c>
      <c r="V120" s="154"/>
      <c r="W120" s="255">
        <f>M118+M119+M120</f>
        <v>0</v>
      </c>
      <c r="X120" s="255">
        <f>N118+N119+N120</f>
        <v>2330</v>
      </c>
      <c r="Y120" s="255">
        <f t="shared" ref="Y120:AE120" si="342">O118+O119+O120</f>
        <v>687</v>
      </c>
      <c r="Z120" s="255">
        <f t="shared" si="342"/>
        <v>0</v>
      </c>
      <c r="AA120" s="255">
        <f t="shared" si="342"/>
        <v>0</v>
      </c>
      <c r="AB120" s="255">
        <f t="shared" si="342"/>
        <v>0</v>
      </c>
      <c r="AC120" s="255">
        <f t="shared" si="342"/>
        <v>0</v>
      </c>
      <c r="AD120" s="255">
        <f t="shared" si="342"/>
        <v>0</v>
      </c>
      <c r="AE120" s="255">
        <f t="shared" si="342"/>
        <v>507</v>
      </c>
      <c r="AF120" s="153"/>
      <c r="AG120" s="158">
        <f t="shared" ref="AG120:AG139" si="343">C120</f>
        <v>38050</v>
      </c>
      <c r="AH120" s="144"/>
      <c r="AI120" s="144"/>
      <c r="AJ120" s="144"/>
      <c r="AK120" s="144"/>
      <c r="AL120" s="144"/>
      <c r="AM120" s="144"/>
      <c r="AN120" s="144"/>
      <c r="AO120" s="144"/>
      <c r="AP120" s="144"/>
      <c r="AQ120" s="144"/>
      <c r="AR120" s="144"/>
      <c r="AS120" s="144"/>
      <c r="AT120" s="144"/>
      <c r="AU120" s="144"/>
      <c r="AV120" s="144"/>
      <c r="AW120" s="144"/>
      <c r="AX120" s="144"/>
      <c r="AY120" s="144"/>
      <c r="AZ120" s="144"/>
      <c r="BA120" s="144"/>
      <c r="BB120" s="144"/>
      <c r="BC120" s="144"/>
      <c r="BD120" s="144"/>
      <c r="BE120" s="144"/>
      <c r="BF120" s="144"/>
      <c r="BG120" s="144"/>
      <c r="BH120" s="144"/>
      <c r="BI120" s="144"/>
      <c r="BJ120" s="144">
        <v>1437.0903000000001</v>
      </c>
      <c r="BK120" s="144">
        <v>46.780700000000003</v>
      </c>
      <c r="BL120" s="144"/>
      <c r="BM120" s="144"/>
      <c r="BN120" s="144"/>
      <c r="BO120" s="144"/>
      <c r="BP120" s="144"/>
      <c r="BQ120" s="144"/>
      <c r="BR120" s="144"/>
      <c r="BS120" s="144"/>
      <c r="BT120" s="144"/>
      <c r="BU120" s="144"/>
      <c r="BV120" s="144"/>
      <c r="BW120" s="144"/>
      <c r="BX120" s="144"/>
      <c r="BY120" s="229"/>
      <c r="BZ120" s="144"/>
      <c r="CA120" s="144"/>
      <c r="CB120" s="244">
        <f>95.3+4</f>
        <v>99.3</v>
      </c>
      <c r="CC120" s="1">
        <f t="shared" si="323"/>
        <v>38050</v>
      </c>
      <c r="CD120" s="244"/>
      <c r="CE120" s="244"/>
      <c r="CF120" s="244"/>
      <c r="CG120" s="244"/>
      <c r="CH120" s="244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167"/>
    </row>
    <row r="121" spans="1:113" s="2" customFormat="1" x14ac:dyDescent="0.25">
      <c r="A121" s="503"/>
      <c r="B121" s="235"/>
      <c r="C121" s="236">
        <v>38100</v>
      </c>
      <c r="D121" s="366">
        <f t="shared" si="338"/>
        <v>0</v>
      </c>
      <c r="E121" s="366">
        <f t="shared" si="339"/>
        <v>0</v>
      </c>
      <c r="F121" s="58">
        <f t="shared" si="326"/>
        <v>2631.3040999999998</v>
      </c>
      <c r="G121" s="237">
        <f t="shared" si="340"/>
        <v>0</v>
      </c>
      <c r="H121" s="237">
        <f t="shared" si="319"/>
        <v>0</v>
      </c>
      <c r="I121" s="237">
        <f t="shared" si="320"/>
        <v>0</v>
      </c>
      <c r="J121" s="237">
        <f t="shared" si="321"/>
        <v>0</v>
      </c>
      <c r="K121" s="238">
        <f t="shared" si="322"/>
        <v>0</v>
      </c>
      <c r="L121" s="379">
        <f t="shared" si="341"/>
        <v>155.9</v>
      </c>
      <c r="M121" s="391">
        <f t="shared" ref="M121:M139" si="344">ROUNDUP(((D120+D121)*0.5)*(C121-C120)/27,0)</f>
        <v>0</v>
      </c>
      <c r="N121" s="237">
        <f t="shared" ref="N121:N139" si="345">ROUNDUP(((E120+E121)*0.5)*(C121-C120)/27,0)</f>
        <v>0</v>
      </c>
      <c r="O121" s="237">
        <f>ROUNDUP(((F120+F121)*0.5)*(C121-C120)/27,0)</f>
        <v>3811</v>
      </c>
      <c r="P121" s="237">
        <f t="shared" ref="P121:P139" si="346">ROUNDUP(((G120+G121)*0.5)*(C121-C120)/27,0)</f>
        <v>0</v>
      </c>
      <c r="Q121" s="237">
        <f t="shared" ref="Q121:Q139" si="347">ROUNDUP(((H121+H120)*0.5)*(C121-C120)/27,0)</f>
        <v>0</v>
      </c>
      <c r="R121" s="237">
        <f t="shared" ref="R121:R139" si="348">ROUNDUP(((I121+I120)*0.5)*(C121-C120)/27,0)</f>
        <v>0</v>
      </c>
      <c r="S121" s="237">
        <f t="shared" ref="S121:S139" si="349">ROUNDUP(((J121+J120)*0.5)*(C121-C120)/9,0)</f>
        <v>0</v>
      </c>
      <c r="T121" s="237">
        <f t="shared" ref="T121:T139" si="350">ROUNDUP(((K121+K120)*0.5)*(C121-C120)/9,0)</f>
        <v>0</v>
      </c>
      <c r="U121" s="366">
        <f t="shared" ref="U121:U139" si="351">ROUNDUP(((L121+L120)*0.5)*(C121-C120)/9,0)</f>
        <v>709</v>
      </c>
      <c r="V121" s="56"/>
      <c r="W121" s="240"/>
      <c r="X121" s="237"/>
      <c r="Y121" s="237"/>
      <c r="Z121" s="237"/>
      <c r="AA121" s="237"/>
      <c r="AB121" s="237"/>
      <c r="AC121" s="237"/>
      <c r="AD121" s="237"/>
      <c r="AE121" s="241"/>
      <c r="AF121" s="55"/>
      <c r="AG121" s="242">
        <f t="shared" si="343"/>
        <v>38100</v>
      </c>
      <c r="AH121" s="237"/>
      <c r="AI121" s="237"/>
      <c r="AJ121" s="237"/>
      <c r="AK121" s="237"/>
      <c r="AL121" s="237"/>
      <c r="AM121" s="237"/>
      <c r="AN121" s="237"/>
      <c r="AO121" s="237"/>
      <c r="AP121" s="237"/>
      <c r="AQ121" s="237"/>
      <c r="AR121" s="237"/>
      <c r="AS121" s="237"/>
      <c r="AT121" s="237"/>
      <c r="AU121" s="237"/>
      <c r="AV121" s="237"/>
      <c r="AW121" s="237"/>
      <c r="AX121" s="237"/>
      <c r="AY121" s="237"/>
      <c r="AZ121" s="237"/>
      <c r="BA121" s="237"/>
      <c r="BB121" s="237"/>
      <c r="BC121" s="237"/>
      <c r="BD121" s="237"/>
      <c r="BE121" s="237"/>
      <c r="BF121" s="237"/>
      <c r="BG121" s="237"/>
      <c r="BH121" s="237"/>
      <c r="BI121" s="237"/>
      <c r="BJ121" s="237">
        <v>2624.0848999999998</v>
      </c>
      <c r="BK121" s="237">
        <v>7.2191999999999998</v>
      </c>
      <c r="BL121" s="237"/>
      <c r="BM121" s="237"/>
      <c r="BN121" s="237"/>
      <c r="BO121" s="237"/>
      <c r="BP121" s="237"/>
      <c r="BQ121" s="237"/>
      <c r="BR121" s="237"/>
      <c r="BS121" s="237"/>
      <c r="BT121" s="237"/>
      <c r="BU121" s="237"/>
      <c r="BV121" s="237"/>
      <c r="BW121" s="237"/>
      <c r="BX121" s="237"/>
      <c r="BY121" s="239"/>
      <c r="BZ121" s="147"/>
      <c r="CA121" s="147"/>
      <c r="CB121" s="2">
        <f>151.9+4</f>
        <v>155.9</v>
      </c>
      <c r="CC121" s="1">
        <f t="shared" si="323"/>
        <v>38100</v>
      </c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 s="41"/>
    </row>
    <row r="122" spans="1:113" x14ac:dyDescent="0.25">
      <c r="A122" s="503"/>
      <c r="B122" s="228"/>
      <c r="C122" s="222">
        <v>38150</v>
      </c>
      <c r="D122" s="365">
        <f t="shared" si="338"/>
        <v>0</v>
      </c>
      <c r="E122" s="365">
        <f t="shared" si="339"/>
        <v>0</v>
      </c>
      <c r="F122" s="58">
        <f t="shared" si="326"/>
        <v>4865.0501999999997</v>
      </c>
      <c r="G122" s="223">
        <f t="shared" si="340"/>
        <v>0</v>
      </c>
      <c r="H122" s="223">
        <f t="shared" si="319"/>
        <v>0</v>
      </c>
      <c r="I122" s="223">
        <f t="shared" si="320"/>
        <v>0</v>
      </c>
      <c r="J122" s="223">
        <f t="shared" si="321"/>
        <v>0</v>
      </c>
      <c r="K122" s="224">
        <f t="shared" si="322"/>
        <v>0</v>
      </c>
      <c r="L122" s="378">
        <f t="shared" si="341"/>
        <v>288.2</v>
      </c>
      <c r="M122" s="390">
        <f t="shared" si="344"/>
        <v>0</v>
      </c>
      <c r="N122" s="223">
        <f>ROUNDUP(((E121+E122)*0.5)*(C122-C121)/27,0)</f>
        <v>0</v>
      </c>
      <c r="O122" s="223">
        <f t="shared" ref="O122:O137" si="352">ROUNDUP(((F121+F122)*0.5)*(C122-C121)/27,0)</f>
        <v>6942</v>
      </c>
      <c r="P122" s="223">
        <f t="shared" si="346"/>
        <v>0</v>
      </c>
      <c r="Q122" s="223">
        <f t="shared" si="347"/>
        <v>0</v>
      </c>
      <c r="R122" s="223">
        <f t="shared" si="348"/>
        <v>0</v>
      </c>
      <c r="S122" s="223">
        <f t="shared" si="349"/>
        <v>0</v>
      </c>
      <c r="T122" s="223">
        <f t="shared" si="350"/>
        <v>0</v>
      </c>
      <c r="U122" s="365">
        <f t="shared" si="351"/>
        <v>1234</v>
      </c>
      <c r="V122" s="56"/>
      <c r="W122" s="225"/>
      <c r="X122" s="223"/>
      <c r="Y122" s="223"/>
      <c r="Z122" s="223"/>
      <c r="AA122" s="223"/>
      <c r="AB122" s="223"/>
      <c r="AC122" s="223"/>
      <c r="AD122" s="223"/>
      <c r="AE122" s="226"/>
      <c r="AF122" s="55"/>
      <c r="AG122" s="227">
        <f t="shared" si="343"/>
        <v>38150</v>
      </c>
      <c r="AH122" s="223"/>
      <c r="AI122" s="223"/>
      <c r="AJ122" s="223"/>
      <c r="AK122" s="223"/>
      <c r="AL122" s="223"/>
      <c r="AM122" s="223"/>
      <c r="AN122" s="223"/>
      <c r="AO122" s="223"/>
      <c r="AP122" s="223"/>
      <c r="AQ122" s="223"/>
      <c r="AR122" s="223"/>
      <c r="AS122" s="223"/>
      <c r="AT122" s="223"/>
      <c r="AU122" s="223"/>
      <c r="AV122" s="223"/>
      <c r="AW122" s="223"/>
      <c r="AX122" s="223"/>
      <c r="AY122" s="223"/>
      <c r="AZ122" s="223"/>
      <c r="BA122" s="223"/>
      <c r="BB122" s="223"/>
      <c r="BC122" s="223"/>
      <c r="BD122" s="223"/>
      <c r="BE122" s="223"/>
      <c r="BF122" s="223"/>
      <c r="BG122" s="223"/>
      <c r="BH122" s="223"/>
      <c r="BI122" s="223"/>
      <c r="BJ122" s="223">
        <v>4822.6194999999998</v>
      </c>
      <c r="BK122" s="223">
        <v>42.430700000000002</v>
      </c>
      <c r="BL122" s="223"/>
      <c r="BM122" s="223"/>
      <c r="BN122" s="223"/>
      <c r="BO122" s="223"/>
      <c r="BP122" s="223"/>
      <c r="BQ122" s="223"/>
      <c r="BR122" s="223"/>
      <c r="BS122" s="223"/>
      <c r="BT122" s="223"/>
      <c r="BU122" s="223"/>
      <c r="BV122" s="223"/>
      <c r="BW122" s="223"/>
      <c r="BX122" s="223"/>
      <c r="BY122" s="230"/>
      <c r="BZ122" s="58"/>
      <c r="CA122" s="58"/>
      <c r="CB122" s="53">
        <v>288.2</v>
      </c>
      <c r="CC122" s="1">
        <f t="shared" si="323"/>
        <v>38150</v>
      </c>
      <c r="CD122" s="53"/>
      <c r="CE122" s="53"/>
      <c r="CF122" s="53"/>
      <c r="CG122" s="53"/>
      <c r="CH122" s="53"/>
    </row>
    <row r="123" spans="1:113" s="3" customFormat="1" ht="15.75" thickBot="1" x14ac:dyDescent="0.3">
      <c r="A123" s="503"/>
      <c r="B123" s="243"/>
      <c r="C123" s="212">
        <v>38200</v>
      </c>
      <c r="D123" s="348">
        <f t="shared" si="338"/>
        <v>33.157200000000003</v>
      </c>
      <c r="E123" s="348">
        <f t="shared" si="339"/>
        <v>0</v>
      </c>
      <c r="F123" s="58">
        <f t="shared" si="326"/>
        <v>5218.5351999999993</v>
      </c>
      <c r="G123" s="144">
        <f t="shared" si="340"/>
        <v>0</v>
      </c>
      <c r="H123" s="144">
        <f t="shared" si="319"/>
        <v>0</v>
      </c>
      <c r="I123" s="144">
        <f t="shared" si="320"/>
        <v>0</v>
      </c>
      <c r="J123" s="144">
        <f t="shared" si="321"/>
        <v>0</v>
      </c>
      <c r="K123" s="159">
        <f t="shared" si="322"/>
        <v>0</v>
      </c>
      <c r="L123" s="351">
        <f t="shared" si="341"/>
        <v>269.60000000000002</v>
      </c>
      <c r="M123" s="354">
        <f>ROUNDUP(((D122+D123)*0.5)*(C123-C122)/27,0)</f>
        <v>31</v>
      </c>
      <c r="N123" s="144">
        <f>ROUNDUP(((E122+E123)*0.5)*(C123-C122)/27,0)</f>
        <v>0</v>
      </c>
      <c r="O123" s="144">
        <f>ROUNDUP(((F122+F123)*0.5)*(C123-C122)/27,0)</f>
        <v>9337</v>
      </c>
      <c r="P123" s="144">
        <f>ROUNDUP(((G122+G123)*0.5)*(C123-C122)/27,0)</f>
        <v>0</v>
      </c>
      <c r="Q123" s="144">
        <f>ROUNDUP(((H123+H122)*0.5)*(C123-C122)/27,0)</f>
        <v>0</v>
      </c>
      <c r="R123" s="144">
        <f>ROUNDUP(((I123+I122)*0.5)*(C123-C122)/27,0)</f>
        <v>0</v>
      </c>
      <c r="S123" s="144">
        <f>ROUNDUP(((J123+J122)*0.5)*(C123-C122)/9,0)</f>
        <v>0</v>
      </c>
      <c r="T123" s="144">
        <f>ROUNDUP(((K123+K122)*0.5)*(C123-C122)/9,0)</f>
        <v>0</v>
      </c>
      <c r="U123" s="348">
        <f>ROUNDUP(((L123+L122)*0.5)*(C123-C122)/9,0)</f>
        <v>1550</v>
      </c>
      <c r="V123" s="154"/>
      <c r="W123" s="255">
        <f>M121+M122+M123</f>
        <v>31</v>
      </c>
      <c r="X123" s="255">
        <f t="shared" ref="X123:Y123" si="353">N121+N122+N123</f>
        <v>0</v>
      </c>
      <c r="Y123" s="255">
        <f t="shared" si="353"/>
        <v>20090</v>
      </c>
      <c r="Z123" s="255">
        <f t="shared" ref="Z123" si="354">P121+P122+P123</f>
        <v>0</v>
      </c>
      <c r="AA123" s="255">
        <f t="shared" ref="AA123" si="355">Q121+Q122+Q123</f>
        <v>0</v>
      </c>
      <c r="AB123" s="255">
        <f t="shared" ref="AB123" si="356">R121+R122+R123</f>
        <v>0</v>
      </c>
      <c r="AC123" s="255">
        <f t="shared" ref="AC123" si="357">S121+S122+S123</f>
        <v>0</v>
      </c>
      <c r="AD123" s="255">
        <f t="shared" ref="AD123" si="358">T121+T122+T123</f>
        <v>0</v>
      </c>
      <c r="AE123" s="255">
        <f t="shared" ref="AE123" si="359">U121+U122+U123</f>
        <v>3493</v>
      </c>
      <c r="AF123" s="153"/>
      <c r="AG123" s="158">
        <f t="shared" si="343"/>
        <v>38200</v>
      </c>
      <c r="AH123" s="144">
        <v>33.157200000000003</v>
      </c>
      <c r="AI123" s="144"/>
      <c r="AJ123" s="144"/>
      <c r="AK123" s="144"/>
      <c r="AL123" s="144"/>
      <c r="AM123" s="144"/>
      <c r="AN123" s="144"/>
      <c r="AO123" s="144"/>
      <c r="AP123" s="144"/>
      <c r="AQ123" s="144"/>
      <c r="AR123" s="144"/>
      <c r="AS123" s="144"/>
      <c r="AT123" s="144"/>
      <c r="AU123" s="144"/>
      <c r="AV123" s="144"/>
      <c r="AW123" s="144"/>
      <c r="AX123" s="144"/>
      <c r="AY123" s="144"/>
      <c r="AZ123" s="144"/>
      <c r="BA123" s="144"/>
      <c r="BB123" s="144"/>
      <c r="BC123" s="144"/>
      <c r="BD123" s="144"/>
      <c r="BE123" s="144"/>
      <c r="BF123" s="144"/>
      <c r="BG123" s="144"/>
      <c r="BH123" s="144"/>
      <c r="BI123" s="144"/>
      <c r="BJ123" s="144">
        <v>5180.3622999999998</v>
      </c>
      <c r="BK123" s="144">
        <v>38.172899999999998</v>
      </c>
      <c r="BL123" s="144"/>
      <c r="BM123" s="144"/>
      <c r="BN123" s="144"/>
      <c r="BO123" s="144"/>
      <c r="BP123" s="144"/>
      <c r="BQ123" s="144"/>
      <c r="BR123" s="144"/>
      <c r="BS123" s="144"/>
      <c r="BT123" s="144"/>
      <c r="BU123" s="144"/>
      <c r="BV123" s="144"/>
      <c r="BW123" s="144"/>
      <c r="BX123" s="144"/>
      <c r="BY123" s="229"/>
      <c r="BZ123" s="144"/>
      <c r="CA123" s="144"/>
      <c r="CB123" s="244">
        <f>265.6+4</f>
        <v>269.60000000000002</v>
      </c>
      <c r="CC123" s="1">
        <f t="shared" si="323"/>
        <v>38200</v>
      </c>
      <c r="CD123" s="244"/>
      <c r="CE123" s="244"/>
      <c r="CF123" s="244"/>
      <c r="CG123" s="244"/>
      <c r="CH123" s="244"/>
    </row>
    <row r="124" spans="1:113" x14ac:dyDescent="0.25">
      <c r="A124" s="503"/>
      <c r="B124" s="235"/>
      <c r="C124" s="236">
        <v>38250</v>
      </c>
      <c r="D124" s="366">
        <f t="shared" si="338"/>
        <v>29.122599999999998</v>
      </c>
      <c r="E124" s="366">
        <f t="shared" si="339"/>
        <v>0</v>
      </c>
      <c r="F124" s="58">
        <f t="shared" si="326"/>
        <v>5480.0781999999999</v>
      </c>
      <c r="G124" s="237">
        <f t="shared" si="340"/>
        <v>0</v>
      </c>
      <c r="H124" s="237">
        <f t="shared" si="319"/>
        <v>0</v>
      </c>
      <c r="I124" s="237">
        <f t="shared" si="320"/>
        <v>0</v>
      </c>
      <c r="J124" s="237">
        <f t="shared" si="321"/>
        <v>0</v>
      </c>
      <c r="K124" s="238">
        <f t="shared" si="322"/>
        <v>0</v>
      </c>
      <c r="L124" s="379">
        <f t="shared" si="341"/>
        <v>251.4</v>
      </c>
      <c r="M124" s="391">
        <f t="shared" si="344"/>
        <v>58</v>
      </c>
      <c r="N124" s="237">
        <f t="shared" si="345"/>
        <v>0</v>
      </c>
      <c r="O124" s="237">
        <f t="shared" si="352"/>
        <v>9907</v>
      </c>
      <c r="P124" s="237">
        <f t="shared" si="346"/>
        <v>0</v>
      </c>
      <c r="Q124" s="237">
        <f t="shared" si="347"/>
        <v>0</v>
      </c>
      <c r="R124" s="237">
        <f t="shared" si="348"/>
        <v>0</v>
      </c>
      <c r="S124" s="237">
        <f t="shared" si="349"/>
        <v>0</v>
      </c>
      <c r="T124" s="237">
        <f t="shared" si="350"/>
        <v>0</v>
      </c>
      <c r="U124" s="366">
        <f t="shared" si="351"/>
        <v>1448</v>
      </c>
      <c r="V124" s="56"/>
      <c r="W124" s="240"/>
      <c r="X124" s="237"/>
      <c r="Y124" s="237"/>
      <c r="Z124" s="237"/>
      <c r="AA124" s="237"/>
      <c r="AB124" s="237"/>
      <c r="AC124" s="237"/>
      <c r="AD124" s="237"/>
      <c r="AE124" s="241"/>
      <c r="AF124" s="55"/>
      <c r="AG124" s="242">
        <f t="shared" si="343"/>
        <v>38250</v>
      </c>
      <c r="AH124" s="237">
        <v>29.122599999999998</v>
      </c>
      <c r="AI124" s="237"/>
      <c r="AJ124" s="237"/>
      <c r="AK124" s="237"/>
      <c r="AL124" s="237"/>
      <c r="AM124" s="237"/>
      <c r="AN124" s="237"/>
      <c r="AO124" s="237"/>
      <c r="AP124" s="237"/>
      <c r="AQ124" s="237"/>
      <c r="AR124" s="237"/>
      <c r="AS124" s="237"/>
      <c r="AT124" s="237"/>
      <c r="AU124" s="237"/>
      <c r="AV124" s="237"/>
      <c r="AW124" s="237"/>
      <c r="AX124" s="237"/>
      <c r="AY124" s="237"/>
      <c r="AZ124" s="237"/>
      <c r="BA124" s="237"/>
      <c r="BB124" s="237"/>
      <c r="BC124" s="237"/>
      <c r="BD124" s="237"/>
      <c r="BE124" s="237"/>
      <c r="BF124" s="237"/>
      <c r="BG124" s="237"/>
      <c r="BH124" s="237"/>
      <c r="BI124" s="237"/>
      <c r="BJ124" s="237">
        <v>5458.2255999999998</v>
      </c>
      <c r="BK124" s="237">
        <v>21.852599999999999</v>
      </c>
      <c r="BL124" s="237"/>
      <c r="BM124" s="237"/>
      <c r="BN124" s="237"/>
      <c r="BO124" s="237"/>
      <c r="BP124" s="237"/>
      <c r="BQ124" s="237"/>
      <c r="BR124" s="237"/>
      <c r="BS124" s="237"/>
      <c r="BT124" s="237"/>
      <c r="BU124" s="237"/>
      <c r="BV124" s="237"/>
      <c r="BW124" s="237"/>
      <c r="BX124" s="237"/>
      <c r="BY124" s="239"/>
      <c r="BZ124" s="147"/>
      <c r="CA124" s="147"/>
      <c r="CB124" s="2">
        <v>251.4</v>
      </c>
      <c r="CC124" s="1">
        <f t="shared" si="323"/>
        <v>38250</v>
      </c>
      <c r="CD124" s="2"/>
      <c r="CE124" s="2"/>
      <c r="CF124" s="2"/>
      <c r="CG124" s="2"/>
      <c r="CH124" s="2"/>
    </row>
    <row r="125" spans="1:113" x14ac:dyDescent="0.25">
      <c r="A125" s="503"/>
      <c r="B125" s="234"/>
      <c r="C125" s="222">
        <v>38300</v>
      </c>
      <c r="D125" s="365">
        <f t="shared" si="338"/>
        <v>8.3213000000000008</v>
      </c>
      <c r="E125" s="365">
        <f t="shared" si="339"/>
        <v>0</v>
      </c>
      <c r="F125" s="58">
        <f t="shared" si="326"/>
        <v>5474.5647999999992</v>
      </c>
      <c r="G125" s="223">
        <f t="shared" si="340"/>
        <v>0</v>
      </c>
      <c r="H125" s="223">
        <f t="shared" si="319"/>
        <v>0</v>
      </c>
      <c r="I125" s="223">
        <f t="shared" si="320"/>
        <v>0</v>
      </c>
      <c r="J125" s="223">
        <f t="shared" si="321"/>
        <v>0</v>
      </c>
      <c r="K125" s="224">
        <f t="shared" si="322"/>
        <v>0</v>
      </c>
      <c r="L125" s="378">
        <f t="shared" si="341"/>
        <v>241.2</v>
      </c>
      <c r="M125" s="390">
        <f t="shared" si="344"/>
        <v>35</v>
      </c>
      <c r="N125" s="223">
        <f t="shared" si="345"/>
        <v>0</v>
      </c>
      <c r="O125" s="223">
        <f t="shared" si="352"/>
        <v>10144</v>
      </c>
      <c r="P125" s="223">
        <f t="shared" si="346"/>
        <v>0</v>
      </c>
      <c r="Q125" s="223">
        <f t="shared" si="347"/>
        <v>0</v>
      </c>
      <c r="R125" s="223">
        <f t="shared" si="348"/>
        <v>0</v>
      </c>
      <c r="S125" s="223">
        <f t="shared" si="349"/>
        <v>0</v>
      </c>
      <c r="T125" s="223">
        <f t="shared" si="350"/>
        <v>0</v>
      </c>
      <c r="U125" s="365">
        <f t="shared" si="351"/>
        <v>1369</v>
      </c>
      <c r="V125" s="56"/>
      <c r="W125" s="225"/>
      <c r="X125" s="223"/>
      <c r="Y125" s="223"/>
      <c r="Z125" s="223"/>
      <c r="AA125" s="223"/>
      <c r="AB125" s="223"/>
      <c r="AC125" s="223"/>
      <c r="AD125" s="223"/>
      <c r="AE125" s="226"/>
      <c r="AF125" s="55"/>
      <c r="AG125" s="227">
        <f t="shared" si="343"/>
        <v>38300</v>
      </c>
      <c r="AH125" s="223">
        <v>8.3213000000000008</v>
      </c>
      <c r="AI125" s="223"/>
      <c r="AJ125" s="223"/>
      <c r="AK125" s="223"/>
      <c r="AL125" s="223"/>
      <c r="AM125" s="223"/>
      <c r="AN125" s="223"/>
      <c r="AO125" s="223"/>
      <c r="AP125" s="223"/>
      <c r="AQ125" s="223"/>
      <c r="AR125" s="223"/>
      <c r="AS125" s="223"/>
      <c r="AT125" s="223"/>
      <c r="AU125" s="223"/>
      <c r="AV125" s="223"/>
      <c r="AW125" s="223"/>
      <c r="AX125" s="223"/>
      <c r="AY125" s="223"/>
      <c r="AZ125" s="223"/>
      <c r="BA125" s="223"/>
      <c r="BB125" s="223"/>
      <c r="BC125" s="223"/>
      <c r="BD125" s="223"/>
      <c r="BE125" s="223"/>
      <c r="BF125" s="223"/>
      <c r="BG125" s="223"/>
      <c r="BH125" s="223"/>
      <c r="BI125" s="223"/>
      <c r="BJ125" s="223">
        <v>5464.9669999999996</v>
      </c>
      <c r="BK125" s="223">
        <v>9.5977999999999994</v>
      </c>
      <c r="BL125" s="223"/>
      <c r="BM125" s="223"/>
      <c r="BN125" s="223"/>
      <c r="BO125" s="223"/>
      <c r="BP125" s="223"/>
      <c r="BQ125" s="223"/>
      <c r="BR125" s="223"/>
      <c r="BS125" s="223"/>
      <c r="BT125" s="223"/>
      <c r="BU125" s="223"/>
      <c r="BV125" s="223"/>
      <c r="BW125" s="223"/>
      <c r="BX125" s="223"/>
      <c r="BY125" s="230"/>
      <c r="BZ125" s="58"/>
      <c r="CA125" s="58"/>
      <c r="CB125" s="53">
        <f>237.2+4</f>
        <v>241.2</v>
      </c>
      <c r="CC125" s="1">
        <f t="shared" si="323"/>
        <v>38300</v>
      </c>
      <c r="CD125" s="53"/>
      <c r="CE125" s="53"/>
      <c r="CF125" s="53"/>
      <c r="CG125" s="53"/>
      <c r="CH125" s="53"/>
    </row>
    <row r="126" spans="1:113" s="3" customFormat="1" ht="15.75" thickBot="1" x14ac:dyDescent="0.3">
      <c r="A126" s="503"/>
      <c r="B126" s="245"/>
      <c r="C126" s="212">
        <v>38350</v>
      </c>
      <c r="D126" s="348">
        <f t="shared" si="338"/>
        <v>1.6905000000000001</v>
      </c>
      <c r="E126" s="348">
        <f t="shared" si="339"/>
        <v>0</v>
      </c>
      <c r="F126" s="58">
        <f t="shared" si="326"/>
        <v>5283.0853000000006</v>
      </c>
      <c r="G126" s="144">
        <f t="shared" si="340"/>
        <v>0</v>
      </c>
      <c r="H126" s="144">
        <f t="shared" si="319"/>
        <v>0</v>
      </c>
      <c r="I126" s="144">
        <f t="shared" si="320"/>
        <v>0</v>
      </c>
      <c r="J126" s="144">
        <f t="shared" si="321"/>
        <v>0</v>
      </c>
      <c r="K126" s="159">
        <f t="shared" si="322"/>
        <v>0</v>
      </c>
      <c r="L126" s="351">
        <f t="shared" si="341"/>
        <v>224.8</v>
      </c>
      <c r="M126" s="354">
        <f t="shared" si="344"/>
        <v>10</v>
      </c>
      <c r="N126" s="144">
        <f t="shared" si="345"/>
        <v>0</v>
      </c>
      <c r="O126" s="144">
        <f t="shared" si="352"/>
        <v>9961</v>
      </c>
      <c r="P126" s="144">
        <f t="shared" si="346"/>
        <v>0</v>
      </c>
      <c r="Q126" s="144">
        <f t="shared" si="347"/>
        <v>0</v>
      </c>
      <c r="R126" s="144">
        <f t="shared" si="348"/>
        <v>0</v>
      </c>
      <c r="S126" s="144">
        <f t="shared" si="349"/>
        <v>0</v>
      </c>
      <c r="T126" s="144">
        <f t="shared" si="350"/>
        <v>0</v>
      </c>
      <c r="U126" s="348">
        <f t="shared" si="351"/>
        <v>1295</v>
      </c>
      <c r="V126" s="154"/>
      <c r="W126" s="255">
        <f>M124+M125+M126</f>
        <v>103</v>
      </c>
      <c r="X126" s="255">
        <f t="shared" ref="X126" si="360">N124+N125+N126</f>
        <v>0</v>
      </c>
      <c r="Y126" s="255">
        <f>O124+O125+O126</f>
        <v>30012</v>
      </c>
      <c r="Z126" s="255">
        <f t="shared" ref="Z126" si="361">P124+P125+P126</f>
        <v>0</v>
      </c>
      <c r="AA126" s="255">
        <f t="shared" ref="AA126" si="362">Q124+Q125+Q126</f>
        <v>0</v>
      </c>
      <c r="AB126" s="255">
        <f t="shared" ref="AB126" si="363">R124+R125+R126</f>
        <v>0</v>
      </c>
      <c r="AC126" s="255">
        <f t="shared" ref="AC126" si="364">S124+S125+S126</f>
        <v>0</v>
      </c>
      <c r="AD126" s="255">
        <f t="shared" ref="AD126" si="365">T124+T125+T126</f>
        <v>0</v>
      </c>
      <c r="AE126" s="255">
        <f t="shared" ref="AE126" si="366">U124+U125+U126</f>
        <v>4112</v>
      </c>
      <c r="AF126" s="153"/>
      <c r="AG126" s="158">
        <f t="shared" si="343"/>
        <v>38350</v>
      </c>
      <c r="AH126" s="144">
        <v>1.0243</v>
      </c>
      <c r="AI126" s="144">
        <v>0.66620000000000001</v>
      </c>
      <c r="AJ126" s="144"/>
      <c r="AK126" s="144"/>
      <c r="AL126" s="144"/>
      <c r="AM126" s="144"/>
      <c r="AN126" s="144"/>
      <c r="AO126" s="144"/>
      <c r="AP126" s="144"/>
      <c r="AQ126" s="144"/>
      <c r="AR126" s="144"/>
      <c r="AS126" s="144"/>
      <c r="AT126" s="144"/>
      <c r="AU126" s="144"/>
      <c r="AV126" s="144"/>
      <c r="AW126" s="144"/>
      <c r="AX126" s="144"/>
      <c r="AY126" s="144"/>
      <c r="AZ126" s="144"/>
      <c r="BA126" s="144"/>
      <c r="BB126" s="144"/>
      <c r="BC126" s="144"/>
      <c r="BD126" s="144"/>
      <c r="BE126" s="144"/>
      <c r="BF126" s="144"/>
      <c r="BG126" s="144"/>
      <c r="BH126" s="144"/>
      <c r="BI126" s="144"/>
      <c r="BJ126" s="144">
        <v>5282.2924000000003</v>
      </c>
      <c r="BK126" s="144">
        <v>0.79290000000000005</v>
      </c>
      <c r="BL126" s="144"/>
      <c r="BM126" s="144"/>
      <c r="BN126" s="144"/>
      <c r="BO126" s="144"/>
      <c r="BP126" s="144"/>
      <c r="BQ126" s="144"/>
      <c r="BR126" s="144"/>
      <c r="BS126" s="144"/>
      <c r="BT126" s="144"/>
      <c r="BU126" s="144"/>
      <c r="BV126" s="144"/>
      <c r="BW126" s="144"/>
      <c r="BX126" s="144"/>
      <c r="BY126" s="229"/>
      <c r="BZ126" s="144"/>
      <c r="CA126" s="144"/>
      <c r="CB126" s="244">
        <f>220.8+4</f>
        <v>224.8</v>
      </c>
      <c r="CC126" s="1">
        <f t="shared" si="323"/>
        <v>38350</v>
      </c>
      <c r="CD126" s="244"/>
      <c r="CE126" s="244"/>
      <c r="CF126" s="244"/>
      <c r="CG126" s="244"/>
      <c r="CH126" s="244"/>
    </row>
    <row r="127" spans="1:113" s="219" customFormat="1" x14ac:dyDescent="0.25">
      <c r="A127" s="503"/>
      <c r="B127" s="235"/>
      <c r="C127" s="236">
        <v>38400</v>
      </c>
      <c r="D127" s="366">
        <f t="shared" si="338"/>
        <v>1.1079000000000001</v>
      </c>
      <c r="E127" s="366">
        <f t="shared" si="339"/>
        <v>0</v>
      </c>
      <c r="F127" s="58">
        <f t="shared" si="326"/>
        <v>4863.8308999999999</v>
      </c>
      <c r="G127" s="237">
        <f t="shared" si="340"/>
        <v>0</v>
      </c>
      <c r="H127" s="237">
        <f t="shared" si="319"/>
        <v>0</v>
      </c>
      <c r="I127" s="237">
        <f t="shared" si="320"/>
        <v>0</v>
      </c>
      <c r="J127" s="237">
        <f t="shared" si="321"/>
        <v>0</v>
      </c>
      <c r="K127" s="238">
        <f t="shared" si="322"/>
        <v>0</v>
      </c>
      <c r="L127" s="379">
        <f t="shared" si="341"/>
        <v>208.4</v>
      </c>
      <c r="M127" s="391">
        <f t="shared" si="344"/>
        <v>3</v>
      </c>
      <c r="N127" s="237">
        <f t="shared" si="345"/>
        <v>0</v>
      </c>
      <c r="O127" s="237">
        <f t="shared" si="352"/>
        <v>9396</v>
      </c>
      <c r="P127" s="237">
        <f t="shared" si="346"/>
        <v>0</v>
      </c>
      <c r="Q127" s="237">
        <f t="shared" si="347"/>
        <v>0</v>
      </c>
      <c r="R127" s="237">
        <f t="shared" si="348"/>
        <v>0</v>
      </c>
      <c r="S127" s="237">
        <f t="shared" si="349"/>
        <v>0</v>
      </c>
      <c r="T127" s="237">
        <f t="shared" si="350"/>
        <v>0</v>
      </c>
      <c r="U127" s="366">
        <f t="shared" si="351"/>
        <v>1204</v>
      </c>
      <c r="V127" s="56"/>
      <c r="W127" s="240"/>
      <c r="X127" s="237"/>
      <c r="Y127" s="237"/>
      <c r="Z127" s="237"/>
      <c r="AA127" s="237"/>
      <c r="AB127" s="237"/>
      <c r="AC127" s="237"/>
      <c r="AD127" s="237"/>
      <c r="AE127" s="241"/>
      <c r="AF127" s="55"/>
      <c r="AG127" s="242">
        <f t="shared" si="343"/>
        <v>38400</v>
      </c>
      <c r="AH127" s="237">
        <v>1.1079000000000001</v>
      </c>
      <c r="AI127" s="237"/>
      <c r="AJ127" s="237"/>
      <c r="AK127" s="237"/>
      <c r="AL127" s="237"/>
      <c r="AM127" s="237"/>
      <c r="AN127" s="237"/>
      <c r="AO127" s="237"/>
      <c r="AP127" s="237"/>
      <c r="AQ127" s="237"/>
      <c r="AR127" s="237"/>
      <c r="AS127" s="237"/>
      <c r="AT127" s="237"/>
      <c r="AU127" s="237"/>
      <c r="AV127" s="237"/>
      <c r="AW127" s="237"/>
      <c r="AX127" s="237"/>
      <c r="AY127" s="237"/>
      <c r="AZ127" s="237"/>
      <c r="BA127" s="237"/>
      <c r="BB127" s="237"/>
      <c r="BC127" s="237"/>
      <c r="BD127" s="237"/>
      <c r="BE127" s="237"/>
      <c r="BF127" s="237"/>
      <c r="BG127" s="237"/>
      <c r="BH127" s="237"/>
      <c r="BI127" s="237"/>
      <c r="BJ127" s="237">
        <v>4863.8308999999999</v>
      </c>
      <c r="BK127" s="237"/>
      <c r="BL127" s="237"/>
      <c r="BM127" s="237"/>
      <c r="BN127" s="237"/>
      <c r="BO127" s="237"/>
      <c r="BP127" s="237"/>
      <c r="BQ127" s="237"/>
      <c r="BR127" s="237"/>
      <c r="BS127" s="237"/>
      <c r="BT127" s="237"/>
      <c r="BU127" s="237"/>
      <c r="BV127" s="237"/>
      <c r="BW127" s="237"/>
      <c r="BX127" s="237"/>
      <c r="BY127" s="239"/>
      <c r="BZ127" s="147"/>
      <c r="CA127" s="147"/>
      <c r="CB127" s="2">
        <f>204.4+4</f>
        <v>208.4</v>
      </c>
      <c r="CC127" s="1">
        <f t="shared" si="323"/>
        <v>38400</v>
      </c>
      <c r="CD127" s="2"/>
      <c r="CE127" s="2"/>
      <c r="CF127" s="2"/>
      <c r="CG127" s="2"/>
      <c r="CH127" s="2"/>
    </row>
    <row r="128" spans="1:113" s="3" customFormat="1" ht="15.75" thickBot="1" x14ac:dyDescent="0.3">
      <c r="A128" s="503"/>
      <c r="B128" s="228"/>
      <c r="C128" s="222">
        <v>38450</v>
      </c>
      <c r="D128" s="365">
        <f t="shared" si="338"/>
        <v>0</v>
      </c>
      <c r="E128" s="365">
        <f t="shared" si="339"/>
        <v>0</v>
      </c>
      <c r="F128" s="58">
        <f t="shared" si="326"/>
        <v>4263.2016999999996</v>
      </c>
      <c r="G128" s="223">
        <f t="shared" si="340"/>
        <v>0</v>
      </c>
      <c r="H128" s="223">
        <f t="shared" si="319"/>
        <v>0</v>
      </c>
      <c r="I128" s="223">
        <f t="shared" si="320"/>
        <v>0</v>
      </c>
      <c r="J128" s="223">
        <f t="shared" si="321"/>
        <v>0</v>
      </c>
      <c r="K128" s="224">
        <f t="shared" si="322"/>
        <v>0</v>
      </c>
      <c r="L128" s="378">
        <f t="shared" si="341"/>
        <v>187</v>
      </c>
      <c r="M128" s="390">
        <f t="shared" si="344"/>
        <v>2</v>
      </c>
      <c r="N128" s="223">
        <f t="shared" si="345"/>
        <v>0</v>
      </c>
      <c r="O128" s="223">
        <f t="shared" si="352"/>
        <v>8451</v>
      </c>
      <c r="P128" s="223">
        <f t="shared" si="346"/>
        <v>0</v>
      </c>
      <c r="Q128" s="223">
        <f t="shared" si="347"/>
        <v>0</v>
      </c>
      <c r="R128" s="223">
        <f t="shared" si="348"/>
        <v>0</v>
      </c>
      <c r="S128" s="223">
        <f t="shared" si="349"/>
        <v>0</v>
      </c>
      <c r="T128" s="223">
        <f t="shared" si="350"/>
        <v>0</v>
      </c>
      <c r="U128" s="365">
        <f t="shared" si="351"/>
        <v>1099</v>
      </c>
      <c r="V128" s="56"/>
      <c r="W128" s="225"/>
      <c r="X128" s="223"/>
      <c r="Y128" s="223"/>
      <c r="Z128" s="223"/>
      <c r="AA128" s="223"/>
      <c r="AB128" s="223"/>
      <c r="AC128" s="223"/>
      <c r="AD128" s="223"/>
      <c r="AE128" s="226"/>
      <c r="AF128" s="55"/>
      <c r="AG128" s="227">
        <f t="shared" si="343"/>
        <v>38450</v>
      </c>
      <c r="AH128" s="223"/>
      <c r="AI128" s="223"/>
      <c r="AJ128" s="223"/>
      <c r="AK128" s="223"/>
      <c r="AL128" s="223"/>
      <c r="AM128" s="223"/>
      <c r="AN128" s="223"/>
      <c r="AO128" s="223"/>
      <c r="AP128" s="223"/>
      <c r="AQ128" s="223"/>
      <c r="AR128" s="223"/>
      <c r="AS128" s="223"/>
      <c r="AT128" s="223"/>
      <c r="AU128" s="223"/>
      <c r="AV128" s="223"/>
      <c r="AW128" s="223"/>
      <c r="AX128" s="223"/>
      <c r="AY128" s="223"/>
      <c r="AZ128" s="223"/>
      <c r="BA128" s="223"/>
      <c r="BB128" s="223"/>
      <c r="BC128" s="223"/>
      <c r="BD128" s="223"/>
      <c r="BE128" s="223"/>
      <c r="BF128" s="223"/>
      <c r="BG128" s="223"/>
      <c r="BH128" s="223"/>
      <c r="BI128" s="223"/>
      <c r="BJ128" s="223">
        <v>4263.2016999999996</v>
      </c>
      <c r="BK128" s="223"/>
      <c r="BL128" s="223"/>
      <c r="BM128" s="223"/>
      <c r="BN128" s="223"/>
      <c r="BO128" s="223"/>
      <c r="BP128" s="223"/>
      <c r="BQ128" s="223"/>
      <c r="BR128" s="223"/>
      <c r="BS128" s="223"/>
      <c r="BT128" s="223"/>
      <c r="BU128" s="223"/>
      <c r="BV128" s="223"/>
      <c r="BW128" s="223"/>
      <c r="BX128" s="223"/>
      <c r="BY128" s="230"/>
      <c r="BZ128" s="58"/>
      <c r="CA128" s="58"/>
      <c r="CB128" s="53">
        <f>183+4</f>
        <v>187</v>
      </c>
      <c r="CC128" s="1">
        <f t="shared" si="323"/>
        <v>38450</v>
      </c>
      <c r="CD128" s="53"/>
      <c r="CE128" s="53"/>
      <c r="CF128" s="53"/>
      <c r="CG128" s="53"/>
      <c r="CH128" s="53"/>
    </row>
    <row r="129" spans="1:86" s="3" customFormat="1" ht="15.75" thickBot="1" x14ac:dyDescent="0.3">
      <c r="A129" s="503"/>
      <c r="B129" s="243"/>
      <c r="C129" s="212">
        <v>38500</v>
      </c>
      <c r="D129" s="348">
        <f t="shared" si="338"/>
        <v>0</v>
      </c>
      <c r="E129" s="348">
        <f t="shared" si="339"/>
        <v>0</v>
      </c>
      <c r="F129" s="58">
        <f t="shared" si="326"/>
        <v>3665.8652000000002</v>
      </c>
      <c r="G129" s="144">
        <f t="shared" si="340"/>
        <v>0</v>
      </c>
      <c r="H129" s="144">
        <f t="shared" si="319"/>
        <v>0</v>
      </c>
      <c r="I129" s="144">
        <f t="shared" si="320"/>
        <v>0</v>
      </c>
      <c r="J129" s="144">
        <f t="shared" si="321"/>
        <v>0</v>
      </c>
      <c r="K129" s="159">
        <f t="shared" si="322"/>
        <v>0</v>
      </c>
      <c r="L129" s="351">
        <f t="shared" si="341"/>
        <v>163.69999999999999</v>
      </c>
      <c r="M129" s="354">
        <f t="shared" si="344"/>
        <v>0</v>
      </c>
      <c r="N129" s="144">
        <f t="shared" si="345"/>
        <v>0</v>
      </c>
      <c r="O129" s="144">
        <f t="shared" si="352"/>
        <v>7342</v>
      </c>
      <c r="P129" s="144">
        <f t="shared" si="346"/>
        <v>0</v>
      </c>
      <c r="Q129" s="144">
        <f t="shared" si="347"/>
        <v>0</v>
      </c>
      <c r="R129" s="144">
        <f t="shared" si="348"/>
        <v>0</v>
      </c>
      <c r="S129" s="144">
        <f t="shared" si="349"/>
        <v>0</v>
      </c>
      <c r="T129" s="144">
        <f t="shared" si="350"/>
        <v>0</v>
      </c>
      <c r="U129" s="348">
        <f t="shared" si="351"/>
        <v>975</v>
      </c>
      <c r="V129" s="154"/>
      <c r="W129" s="255">
        <f>M127+M128+M129</f>
        <v>5</v>
      </c>
      <c r="X129" s="255">
        <f t="shared" ref="X129" si="367">N127+N128+N129</f>
        <v>0</v>
      </c>
      <c r="Y129" s="255">
        <f>O127+O128+O129</f>
        <v>25189</v>
      </c>
      <c r="Z129" s="255">
        <f t="shared" ref="Z129" si="368">P127+P128+P129</f>
        <v>0</v>
      </c>
      <c r="AA129" s="255">
        <f t="shared" ref="AA129" si="369">Q127+Q128+Q129</f>
        <v>0</v>
      </c>
      <c r="AB129" s="255">
        <f t="shared" ref="AB129" si="370">R127+R128+R129</f>
        <v>0</v>
      </c>
      <c r="AC129" s="255">
        <f t="shared" ref="AC129" si="371">S127+S128+S129</f>
        <v>0</v>
      </c>
      <c r="AD129" s="255">
        <f t="shared" ref="AD129" si="372">T127+T128+T129</f>
        <v>0</v>
      </c>
      <c r="AE129" s="255">
        <f t="shared" ref="AE129" si="373">U127+U128+U129</f>
        <v>3278</v>
      </c>
      <c r="AF129" s="153"/>
      <c r="AG129" s="158">
        <f t="shared" si="343"/>
        <v>38500</v>
      </c>
      <c r="AH129" s="144"/>
      <c r="AI129" s="144"/>
      <c r="AJ129" s="144"/>
      <c r="AK129" s="144"/>
      <c r="AL129" s="144"/>
      <c r="AM129" s="144"/>
      <c r="AN129" s="144"/>
      <c r="AO129" s="144"/>
      <c r="AP129" s="144"/>
      <c r="AQ129" s="144"/>
      <c r="AR129" s="144"/>
      <c r="AS129" s="144"/>
      <c r="AT129" s="144"/>
      <c r="AU129" s="144"/>
      <c r="AV129" s="144"/>
      <c r="AW129" s="144"/>
      <c r="AX129" s="144"/>
      <c r="AY129" s="144"/>
      <c r="AZ129" s="144"/>
      <c r="BA129" s="144"/>
      <c r="BB129" s="144"/>
      <c r="BC129" s="144"/>
      <c r="BD129" s="144"/>
      <c r="BE129" s="144"/>
      <c r="BF129" s="144"/>
      <c r="BG129" s="144"/>
      <c r="BH129" s="144"/>
      <c r="BI129" s="144"/>
      <c r="BJ129" s="144">
        <v>3665.8652000000002</v>
      </c>
      <c r="BK129" s="144"/>
      <c r="BL129" s="144"/>
      <c r="BM129" s="144"/>
      <c r="BN129" s="144"/>
      <c r="BO129" s="144"/>
      <c r="BP129" s="144"/>
      <c r="BQ129" s="144"/>
      <c r="BR129" s="144"/>
      <c r="BS129" s="144"/>
      <c r="BT129" s="144"/>
      <c r="BU129" s="144"/>
      <c r="BV129" s="144"/>
      <c r="BW129" s="144"/>
      <c r="BX129" s="144"/>
      <c r="BY129" s="229"/>
      <c r="BZ129" s="144"/>
      <c r="CA129" s="144"/>
      <c r="CB129" s="244">
        <f>159.7+4</f>
        <v>163.69999999999999</v>
      </c>
      <c r="CC129" s="1">
        <f t="shared" si="323"/>
        <v>38500</v>
      </c>
      <c r="CD129" s="244"/>
      <c r="CE129" s="244"/>
      <c r="CF129" s="244"/>
      <c r="CG129" s="244"/>
      <c r="CH129" s="244"/>
    </row>
    <row r="130" spans="1:86" s="3" customFormat="1" ht="15.75" thickBot="1" x14ac:dyDescent="0.3">
      <c r="A130" s="503"/>
      <c r="B130" s="235"/>
      <c r="C130" s="236">
        <v>38550</v>
      </c>
      <c r="D130" s="366">
        <f t="shared" si="338"/>
        <v>0</v>
      </c>
      <c r="E130" s="366">
        <f t="shared" si="339"/>
        <v>0</v>
      </c>
      <c r="F130" s="58">
        <f t="shared" si="326"/>
        <v>3085.1810999999998</v>
      </c>
      <c r="G130" s="237">
        <f t="shared" si="340"/>
        <v>0</v>
      </c>
      <c r="H130" s="237">
        <f t="shared" si="319"/>
        <v>0</v>
      </c>
      <c r="I130" s="237">
        <f t="shared" si="320"/>
        <v>0</v>
      </c>
      <c r="J130" s="237">
        <f t="shared" si="321"/>
        <v>0</v>
      </c>
      <c r="K130" s="238">
        <f t="shared" si="322"/>
        <v>0</v>
      </c>
      <c r="L130" s="379">
        <f t="shared" si="341"/>
        <v>142.4</v>
      </c>
      <c r="M130" s="391">
        <f t="shared" si="344"/>
        <v>0</v>
      </c>
      <c r="N130" s="237">
        <f t="shared" si="345"/>
        <v>0</v>
      </c>
      <c r="O130" s="237">
        <f t="shared" si="352"/>
        <v>6251</v>
      </c>
      <c r="P130" s="237">
        <f t="shared" si="346"/>
        <v>0</v>
      </c>
      <c r="Q130" s="237">
        <f t="shared" si="347"/>
        <v>0</v>
      </c>
      <c r="R130" s="237">
        <f t="shared" si="348"/>
        <v>0</v>
      </c>
      <c r="S130" s="237">
        <f t="shared" si="349"/>
        <v>0</v>
      </c>
      <c r="T130" s="237">
        <f t="shared" si="350"/>
        <v>0</v>
      </c>
      <c r="U130" s="366">
        <f t="shared" si="351"/>
        <v>851</v>
      </c>
      <c r="V130" s="56"/>
      <c r="W130" s="240"/>
      <c r="X130" s="237"/>
      <c r="Y130" s="237"/>
      <c r="Z130" s="237"/>
      <c r="AA130" s="237"/>
      <c r="AB130" s="237"/>
      <c r="AC130" s="237"/>
      <c r="AD130" s="237"/>
      <c r="AE130" s="241"/>
      <c r="AF130" s="55"/>
      <c r="AG130" s="242">
        <f t="shared" si="343"/>
        <v>38550</v>
      </c>
      <c r="AH130" s="237"/>
      <c r="AI130" s="237"/>
      <c r="AJ130" s="237"/>
      <c r="AK130" s="237"/>
      <c r="AL130" s="237"/>
      <c r="AM130" s="237"/>
      <c r="AN130" s="237"/>
      <c r="AO130" s="237"/>
      <c r="AP130" s="237"/>
      <c r="AQ130" s="237"/>
      <c r="AR130" s="237"/>
      <c r="AS130" s="237"/>
      <c r="AT130" s="237"/>
      <c r="AU130" s="237"/>
      <c r="AV130" s="237"/>
      <c r="AW130" s="237"/>
      <c r="AX130" s="237"/>
      <c r="AY130" s="237"/>
      <c r="AZ130" s="237"/>
      <c r="BA130" s="237"/>
      <c r="BB130" s="237"/>
      <c r="BC130" s="237"/>
      <c r="BD130" s="237"/>
      <c r="BE130" s="237"/>
      <c r="BF130" s="237"/>
      <c r="BG130" s="237"/>
      <c r="BH130" s="237"/>
      <c r="BI130" s="237"/>
      <c r="BJ130" s="237">
        <v>3085.1810999999998</v>
      </c>
      <c r="BK130" s="237"/>
      <c r="BL130" s="237"/>
      <c r="BM130" s="237"/>
      <c r="BN130" s="237"/>
      <c r="BO130" s="237"/>
      <c r="BP130" s="237"/>
      <c r="BQ130" s="237"/>
      <c r="BR130" s="237"/>
      <c r="BS130" s="237"/>
      <c r="BT130" s="237"/>
      <c r="BU130" s="237"/>
      <c r="BV130" s="237"/>
      <c r="BW130" s="237"/>
      <c r="BX130" s="237"/>
      <c r="BY130" s="239"/>
      <c r="BZ130" s="147"/>
      <c r="CA130" s="147"/>
      <c r="CB130" s="2">
        <f>138.4+4</f>
        <v>142.4</v>
      </c>
      <c r="CC130" s="1">
        <f t="shared" si="323"/>
        <v>38550</v>
      </c>
      <c r="CD130" s="2"/>
      <c r="CE130" s="2"/>
      <c r="CF130" s="2"/>
      <c r="CG130" s="2"/>
      <c r="CH130" s="2"/>
    </row>
    <row r="131" spans="1:86" x14ac:dyDescent="0.25">
      <c r="A131" s="503"/>
      <c r="B131" s="228"/>
      <c r="C131" s="222">
        <v>38600</v>
      </c>
      <c r="D131" s="365">
        <f t="shared" si="338"/>
        <v>0</v>
      </c>
      <c r="E131" s="365">
        <f t="shared" si="339"/>
        <v>0</v>
      </c>
      <c r="F131" s="58">
        <f t="shared" si="326"/>
        <v>2503.5529999999999</v>
      </c>
      <c r="G131" s="223">
        <f t="shared" si="340"/>
        <v>0</v>
      </c>
      <c r="H131" s="223">
        <f t="shared" si="319"/>
        <v>0</v>
      </c>
      <c r="I131" s="223">
        <f t="shared" si="320"/>
        <v>0</v>
      </c>
      <c r="J131" s="223">
        <f t="shared" si="321"/>
        <v>0</v>
      </c>
      <c r="K131" s="224">
        <f t="shared" si="322"/>
        <v>0</v>
      </c>
      <c r="L131" s="378">
        <f t="shared" si="341"/>
        <v>123.2</v>
      </c>
      <c r="M131" s="390">
        <f t="shared" si="344"/>
        <v>0</v>
      </c>
      <c r="N131" s="223">
        <f t="shared" si="345"/>
        <v>0</v>
      </c>
      <c r="O131" s="223">
        <f t="shared" si="352"/>
        <v>5175</v>
      </c>
      <c r="P131" s="223">
        <f t="shared" si="346"/>
        <v>0</v>
      </c>
      <c r="Q131" s="223">
        <f t="shared" si="347"/>
        <v>0</v>
      </c>
      <c r="R131" s="223">
        <f t="shared" si="348"/>
        <v>0</v>
      </c>
      <c r="S131" s="223">
        <f t="shared" si="349"/>
        <v>0</v>
      </c>
      <c r="T131" s="223">
        <f t="shared" si="350"/>
        <v>0</v>
      </c>
      <c r="U131" s="365">
        <f t="shared" si="351"/>
        <v>738</v>
      </c>
      <c r="V131" s="56"/>
      <c r="W131" s="225"/>
      <c r="X131" s="223"/>
      <c r="Y131" s="223"/>
      <c r="Z131" s="223"/>
      <c r="AA131" s="223"/>
      <c r="AB131" s="223"/>
      <c r="AC131" s="223"/>
      <c r="AD131" s="223"/>
      <c r="AE131" s="226"/>
      <c r="AF131" s="55"/>
      <c r="AG131" s="227">
        <f t="shared" si="343"/>
        <v>38600</v>
      </c>
      <c r="AH131" s="223"/>
      <c r="AI131" s="223"/>
      <c r="AJ131" s="223"/>
      <c r="AK131" s="223"/>
      <c r="AL131" s="223"/>
      <c r="AM131" s="223"/>
      <c r="AN131" s="223"/>
      <c r="AO131" s="223"/>
      <c r="AP131" s="223"/>
      <c r="AQ131" s="223"/>
      <c r="AR131" s="223"/>
      <c r="AS131" s="223"/>
      <c r="AT131" s="223"/>
      <c r="AU131" s="223"/>
      <c r="AV131" s="223"/>
      <c r="AW131" s="223"/>
      <c r="AX131" s="223"/>
      <c r="AY131" s="223"/>
      <c r="AZ131" s="223"/>
      <c r="BA131" s="223"/>
      <c r="BB131" s="223"/>
      <c r="BC131" s="223"/>
      <c r="BD131" s="223"/>
      <c r="BE131" s="223"/>
      <c r="BF131" s="223"/>
      <c r="BG131" s="223"/>
      <c r="BH131" s="223"/>
      <c r="BI131" s="223"/>
      <c r="BJ131" s="223">
        <v>2503.5529999999999</v>
      </c>
      <c r="BK131" s="223"/>
      <c r="BL131" s="223"/>
      <c r="BM131" s="223"/>
      <c r="BN131" s="223"/>
      <c r="BO131" s="223"/>
      <c r="BP131" s="223"/>
      <c r="BQ131" s="223"/>
      <c r="BR131" s="223"/>
      <c r="BS131" s="223"/>
      <c r="BT131" s="223"/>
      <c r="BU131" s="223"/>
      <c r="BV131" s="223"/>
      <c r="BW131" s="223"/>
      <c r="BX131" s="223"/>
      <c r="BY131" s="230"/>
      <c r="BZ131" s="58"/>
      <c r="CA131" s="58"/>
      <c r="CB131" s="53">
        <f>119.2+4</f>
        <v>123.2</v>
      </c>
      <c r="CC131" s="1">
        <f t="shared" si="323"/>
        <v>38600</v>
      </c>
      <c r="CD131" s="53"/>
      <c r="CE131" s="53"/>
      <c r="CF131" s="53"/>
      <c r="CG131" s="53"/>
      <c r="CH131" s="53"/>
    </row>
    <row r="132" spans="1:86" s="3" customFormat="1" ht="15.75" thickBot="1" x14ac:dyDescent="0.3">
      <c r="A132" s="503"/>
      <c r="B132" s="228"/>
      <c r="C132" s="222">
        <v>38650</v>
      </c>
      <c r="D132" s="365">
        <f t="shared" si="338"/>
        <v>0</v>
      </c>
      <c r="E132" s="365">
        <f t="shared" si="339"/>
        <v>0</v>
      </c>
      <c r="F132" s="58">
        <f t="shared" si="326"/>
        <v>1956.9454000000001</v>
      </c>
      <c r="G132" s="223">
        <f t="shared" si="340"/>
        <v>0</v>
      </c>
      <c r="H132" s="223">
        <f t="shared" si="319"/>
        <v>0</v>
      </c>
      <c r="I132" s="223">
        <f t="shared" si="320"/>
        <v>0</v>
      </c>
      <c r="J132" s="223">
        <f t="shared" si="321"/>
        <v>0</v>
      </c>
      <c r="K132" s="224">
        <f t="shared" si="322"/>
        <v>0</v>
      </c>
      <c r="L132" s="378">
        <f t="shared" si="341"/>
        <v>106.5</v>
      </c>
      <c r="M132" s="390">
        <f t="shared" si="344"/>
        <v>0</v>
      </c>
      <c r="N132" s="223">
        <f t="shared" si="345"/>
        <v>0</v>
      </c>
      <c r="O132" s="223">
        <f t="shared" si="352"/>
        <v>4131</v>
      </c>
      <c r="P132" s="223">
        <f t="shared" si="346"/>
        <v>0</v>
      </c>
      <c r="Q132" s="223">
        <f t="shared" si="347"/>
        <v>0</v>
      </c>
      <c r="R132" s="223">
        <f t="shared" si="348"/>
        <v>0</v>
      </c>
      <c r="S132" s="223">
        <f t="shared" si="349"/>
        <v>0</v>
      </c>
      <c r="T132" s="223">
        <f t="shared" si="350"/>
        <v>0</v>
      </c>
      <c r="U132" s="365">
        <f t="shared" si="351"/>
        <v>639</v>
      </c>
      <c r="V132" s="56"/>
      <c r="W132" s="225"/>
      <c r="X132" s="223"/>
      <c r="Y132" s="223"/>
      <c r="Z132" s="223"/>
      <c r="AA132" s="223"/>
      <c r="AB132" s="223"/>
      <c r="AC132" s="223"/>
      <c r="AD132" s="223"/>
      <c r="AE132" s="226"/>
      <c r="AF132" s="55"/>
      <c r="AG132" s="227">
        <f t="shared" si="343"/>
        <v>38650</v>
      </c>
      <c r="AH132" s="223"/>
      <c r="AI132" s="223"/>
      <c r="AJ132" s="223"/>
      <c r="AK132" s="223"/>
      <c r="AL132" s="223"/>
      <c r="AM132" s="223"/>
      <c r="AN132" s="223"/>
      <c r="AO132" s="223"/>
      <c r="AP132" s="223"/>
      <c r="AQ132" s="223"/>
      <c r="AR132" s="223"/>
      <c r="AS132" s="223"/>
      <c r="AT132" s="223"/>
      <c r="AU132" s="223"/>
      <c r="AV132" s="223"/>
      <c r="AW132" s="223"/>
      <c r="AX132" s="223"/>
      <c r="AY132" s="223"/>
      <c r="AZ132" s="223"/>
      <c r="BA132" s="223"/>
      <c r="BB132" s="223"/>
      <c r="BC132" s="223"/>
      <c r="BD132" s="223"/>
      <c r="BE132" s="223"/>
      <c r="BF132" s="223"/>
      <c r="BG132" s="223"/>
      <c r="BH132" s="223"/>
      <c r="BI132" s="223"/>
      <c r="BJ132" s="223">
        <v>1956.9454000000001</v>
      </c>
      <c r="BK132" s="223"/>
      <c r="BL132" s="223"/>
      <c r="BM132" s="223"/>
      <c r="BN132" s="223"/>
      <c r="BO132" s="223"/>
      <c r="BP132" s="223"/>
      <c r="BQ132" s="223"/>
      <c r="BR132" s="223"/>
      <c r="BS132" s="223"/>
      <c r="BT132" s="223"/>
      <c r="BU132" s="223"/>
      <c r="BV132" s="223"/>
      <c r="BW132" s="223"/>
      <c r="BX132" s="223"/>
      <c r="BY132" s="230"/>
      <c r="BZ132" s="58"/>
      <c r="CA132" s="58"/>
      <c r="CB132" s="53">
        <f>102.5+4</f>
        <v>106.5</v>
      </c>
      <c r="CC132" s="1">
        <f t="shared" si="323"/>
        <v>38650</v>
      </c>
      <c r="CD132" s="53"/>
      <c r="CE132" s="53"/>
      <c r="CF132" s="53"/>
      <c r="CG132" s="53"/>
      <c r="CH132" s="53"/>
    </row>
    <row r="133" spans="1:86" s="3" customFormat="1" ht="15.75" thickBot="1" x14ac:dyDescent="0.3">
      <c r="A133" s="503"/>
      <c r="B133" s="243"/>
      <c r="C133" s="212">
        <v>38700</v>
      </c>
      <c r="D133" s="348">
        <f t="shared" si="338"/>
        <v>0</v>
      </c>
      <c r="E133" s="348">
        <f t="shared" si="339"/>
        <v>0</v>
      </c>
      <c r="F133" s="58">
        <f>SUM(BJ133:BK133)</f>
        <v>1452.5663</v>
      </c>
      <c r="G133" s="144">
        <f t="shared" si="340"/>
        <v>0</v>
      </c>
      <c r="H133" s="144">
        <f t="shared" si="319"/>
        <v>0</v>
      </c>
      <c r="I133" s="144">
        <f t="shared" si="320"/>
        <v>0</v>
      </c>
      <c r="J133" s="144">
        <f t="shared" si="321"/>
        <v>0</v>
      </c>
      <c r="K133" s="159">
        <f t="shared" si="322"/>
        <v>0</v>
      </c>
      <c r="L133" s="351">
        <f t="shared" si="341"/>
        <v>93.8</v>
      </c>
      <c r="M133" s="354">
        <f t="shared" si="344"/>
        <v>0</v>
      </c>
      <c r="N133" s="144">
        <f t="shared" si="345"/>
        <v>0</v>
      </c>
      <c r="O133" s="144">
        <f t="shared" si="352"/>
        <v>3157</v>
      </c>
      <c r="P133" s="144">
        <f t="shared" si="346"/>
        <v>0</v>
      </c>
      <c r="Q133" s="144">
        <f t="shared" si="347"/>
        <v>0</v>
      </c>
      <c r="R133" s="144">
        <f t="shared" si="348"/>
        <v>0</v>
      </c>
      <c r="S133" s="144">
        <f t="shared" si="349"/>
        <v>0</v>
      </c>
      <c r="T133" s="144">
        <f t="shared" si="350"/>
        <v>0</v>
      </c>
      <c r="U133" s="348">
        <f t="shared" si="351"/>
        <v>557</v>
      </c>
      <c r="V133" s="154"/>
      <c r="W133" s="255">
        <f>M130+M131+M132+M133</f>
        <v>0</v>
      </c>
      <c r="X133" s="255">
        <f>N130+N131+N132+N133</f>
        <v>0</v>
      </c>
      <c r="Y133" s="255">
        <f>O131+O132+O133+O130</f>
        <v>18714</v>
      </c>
      <c r="Z133" s="255">
        <f t="shared" ref="Z133" si="374">P130+P131+P132+P133</f>
        <v>0</v>
      </c>
      <c r="AA133" s="255">
        <f t="shared" ref="AA133" si="375">Q130+Q131+Q132+Q133</f>
        <v>0</v>
      </c>
      <c r="AB133" s="255">
        <f t="shared" ref="AB133" si="376">R130+R131+R132+R133</f>
        <v>0</v>
      </c>
      <c r="AC133" s="255">
        <f t="shared" ref="AC133" si="377">S130+S131+S132+S133</f>
        <v>0</v>
      </c>
      <c r="AD133" s="255">
        <f t="shared" ref="AD133" si="378">T130+T131+T132+T133</f>
        <v>0</v>
      </c>
      <c r="AE133" s="255">
        <f t="shared" ref="AE133" si="379">U130+U131+U132+U133</f>
        <v>2785</v>
      </c>
      <c r="AF133" s="153"/>
      <c r="AG133" s="158">
        <f t="shared" si="343"/>
        <v>38700</v>
      </c>
      <c r="AH133" s="144"/>
      <c r="AI133" s="144"/>
      <c r="AJ133" s="144"/>
      <c r="AK133" s="144"/>
      <c r="AL133" s="144"/>
      <c r="AM133" s="144"/>
      <c r="AN133" s="144"/>
      <c r="AO133" s="144"/>
      <c r="AP133" s="144"/>
      <c r="AQ133" s="144"/>
      <c r="AR133" s="144"/>
      <c r="AS133" s="144"/>
      <c r="AT133" s="144"/>
      <c r="AU133" s="144"/>
      <c r="AV133" s="144"/>
      <c r="AW133" s="144"/>
      <c r="AX133" s="144"/>
      <c r="AY133" s="144"/>
      <c r="AZ133" s="144"/>
      <c r="BA133" s="144"/>
      <c r="BB133" s="144"/>
      <c r="BC133" s="144"/>
      <c r="BD133" s="144"/>
      <c r="BE133" s="144"/>
      <c r="BF133" s="144"/>
      <c r="BG133" s="144"/>
      <c r="BH133" s="144"/>
      <c r="BI133" s="144"/>
      <c r="BJ133" s="144">
        <v>1452.5663</v>
      </c>
      <c r="BK133" s="144"/>
      <c r="BL133" s="144"/>
      <c r="BM133" s="144"/>
      <c r="BN133" s="144"/>
      <c r="BO133" s="144"/>
      <c r="BP133" s="144"/>
      <c r="BQ133" s="144"/>
      <c r="BR133" s="144"/>
      <c r="BS133" s="144"/>
      <c r="BT133" s="144"/>
      <c r="BU133" s="144"/>
      <c r="BV133" s="144"/>
      <c r="BW133" s="144"/>
      <c r="BX133" s="144"/>
      <c r="BY133" s="229"/>
      <c r="BZ133" s="144"/>
      <c r="CA133" s="144"/>
      <c r="CB133" s="244">
        <f>89.8+4</f>
        <v>93.8</v>
      </c>
      <c r="CC133" s="1">
        <f t="shared" si="323"/>
        <v>38700</v>
      </c>
      <c r="CD133" s="244"/>
      <c r="CE133" s="244"/>
      <c r="CF133" s="244"/>
      <c r="CG133" s="244"/>
      <c r="CH133" s="244"/>
    </row>
    <row r="134" spans="1:86" s="3" customFormat="1" ht="15.75" thickBot="1" x14ac:dyDescent="0.3">
      <c r="A134" s="503"/>
      <c r="B134" s="235"/>
      <c r="C134" s="236">
        <v>38750</v>
      </c>
      <c r="D134" s="366">
        <f t="shared" si="338"/>
        <v>0</v>
      </c>
      <c r="E134" s="366">
        <f t="shared" si="339"/>
        <v>0</v>
      </c>
      <c r="F134" s="58">
        <f t="shared" si="326"/>
        <v>1072.9826</v>
      </c>
      <c r="G134" s="237">
        <f t="shared" si="340"/>
        <v>0</v>
      </c>
      <c r="H134" s="237">
        <f t="shared" si="319"/>
        <v>0</v>
      </c>
      <c r="I134" s="237">
        <f t="shared" si="320"/>
        <v>0</v>
      </c>
      <c r="J134" s="237">
        <f t="shared" si="321"/>
        <v>0</v>
      </c>
      <c r="K134" s="238">
        <f t="shared" si="322"/>
        <v>0</v>
      </c>
      <c r="L134" s="379">
        <f t="shared" si="341"/>
        <v>86.9</v>
      </c>
      <c r="M134" s="391">
        <f t="shared" si="344"/>
        <v>0</v>
      </c>
      <c r="N134" s="237">
        <f t="shared" si="345"/>
        <v>0</v>
      </c>
      <c r="O134" s="237">
        <f t="shared" si="352"/>
        <v>2339</v>
      </c>
      <c r="P134" s="237">
        <f t="shared" si="346"/>
        <v>0</v>
      </c>
      <c r="Q134" s="237">
        <f t="shared" si="347"/>
        <v>0</v>
      </c>
      <c r="R134" s="237">
        <f t="shared" si="348"/>
        <v>0</v>
      </c>
      <c r="S134" s="237">
        <f t="shared" si="349"/>
        <v>0</v>
      </c>
      <c r="T134" s="237">
        <f t="shared" si="350"/>
        <v>0</v>
      </c>
      <c r="U134" s="366">
        <f t="shared" si="351"/>
        <v>502</v>
      </c>
      <c r="V134" s="56"/>
      <c r="W134" s="240"/>
      <c r="X134" s="237"/>
      <c r="Y134" s="237"/>
      <c r="Z134" s="237"/>
      <c r="AA134" s="237"/>
      <c r="AB134" s="237"/>
      <c r="AC134" s="237"/>
      <c r="AD134" s="237"/>
      <c r="AE134" s="241"/>
      <c r="AF134" s="55"/>
      <c r="AG134" s="242">
        <f t="shared" si="343"/>
        <v>38750</v>
      </c>
      <c r="AH134" s="237"/>
      <c r="AI134" s="237"/>
      <c r="AJ134" s="237"/>
      <c r="AK134" s="237"/>
      <c r="AL134" s="237"/>
      <c r="AM134" s="237"/>
      <c r="AN134" s="237"/>
      <c r="AO134" s="237"/>
      <c r="AP134" s="237"/>
      <c r="AQ134" s="237"/>
      <c r="AR134" s="237"/>
      <c r="AS134" s="237"/>
      <c r="AT134" s="237"/>
      <c r="AU134" s="237"/>
      <c r="AV134" s="237"/>
      <c r="AW134" s="237"/>
      <c r="AX134" s="237"/>
      <c r="AY134" s="237"/>
      <c r="AZ134" s="237"/>
      <c r="BA134" s="237"/>
      <c r="BB134" s="237"/>
      <c r="BC134" s="237"/>
      <c r="BD134" s="237"/>
      <c r="BE134" s="237"/>
      <c r="BF134" s="237"/>
      <c r="BG134" s="237"/>
      <c r="BH134" s="237"/>
      <c r="BI134" s="237"/>
      <c r="BJ134" s="237">
        <v>1072.9826</v>
      </c>
      <c r="BK134" s="237"/>
      <c r="BL134" s="237"/>
      <c r="BM134" s="237"/>
      <c r="BN134" s="237"/>
      <c r="BO134" s="237"/>
      <c r="BP134" s="237"/>
      <c r="BQ134" s="237"/>
      <c r="BR134" s="237"/>
      <c r="BS134" s="237"/>
      <c r="BT134" s="237"/>
      <c r="BU134" s="237"/>
      <c r="BV134" s="237"/>
      <c r="BW134" s="237"/>
      <c r="BX134" s="237"/>
      <c r="BY134" s="239"/>
      <c r="BZ134" s="147"/>
      <c r="CA134" s="147"/>
      <c r="CB134" s="2">
        <f>82.9+4</f>
        <v>86.9</v>
      </c>
      <c r="CC134" s="1">
        <f t="shared" si="323"/>
        <v>38750</v>
      </c>
      <c r="CD134" s="2"/>
      <c r="CE134" s="2"/>
      <c r="CF134" s="2"/>
      <c r="CG134" s="2"/>
      <c r="CH134" s="2"/>
    </row>
    <row r="135" spans="1:86" x14ac:dyDescent="0.25">
      <c r="A135" s="503"/>
      <c r="B135" s="228"/>
      <c r="C135" s="222">
        <v>38800</v>
      </c>
      <c r="D135" s="365">
        <f t="shared" si="338"/>
        <v>0</v>
      </c>
      <c r="E135" s="365">
        <f t="shared" si="339"/>
        <v>0</v>
      </c>
      <c r="F135" s="58">
        <f t="shared" si="326"/>
        <v>882.2473</v>
      </c>
      <c r="G135" s="223">
        <f t="shared" si="340"/>
        <v>0</v>
      </c>
      <c r="H135" s="223">
        <f t="shared" si="319"/>
        <v>0</v>
      </c>
      <c r="I135" s="223">
        <f t="shared" si="320"/>
        <v>0</v>
      </c>
      <c r="J135" s="223">
        <f t="shared" si="321"/>
        <v>0</v>
      </c>
      <c r="K135" s="224">
        <f t="shared" si="322"/>
        <v>0</v>
      </c>
      <c r="L135" s="378">
        <f t="shared" si="341"/>
        <v>98.3</v>
      </c>
      <c r="M135" s="390">
        <f t="shared" si="344"/>
        <v>0</v>
      </c>
      <c r="N135" s="223">
        <f t="shared" si="345"/>
        <v>0</v>
      </c>
      <c r="O135" s="223">
        <f t="shared" si="352"/>
        <v>1811</v>
      </c>
      <c r="P135" s="223">
        <f t="shared" si="346"/>
        <v>0</v>
      </c>
      <c r="Q135" s="223">
        <f t="shared" si="347"/>
        <v>0</v>
      </c>
      <c r="R135" s="223">
        <f t="shared" si="348"/>
        <v>0</v>
      </c>
      <c r="S135" s="223">
        <f t="shared" si="349"/>
        <v>0</v>
      </c>
      <c r="T135" s="223">
        <f t="shared" si="350"/>
        <v>0</v>
      </c>
      <c r="U135" s="365">
        <f t="shared" si="351"/>
        <v>515</v>
      </c>
      <c r="V135" s="56"/>
      <c r="W135" s="225"/>
      <c r="X135" s="223"/>
      <c r="Y135" s="223"/>
      <c r="Z135" s="223"/>
      <c r="AA135" s="223"/>
      <c r="AB135" s="223"/>
      <c r="AC135" s="223"/>
      <c r="AD135" s="223"/>
      <c r="AE135" s="226"/>
      <c r="AF135" s="55"/>
      <c r="AG135" s="227">
        <f t="shared" si="343"/>
        <v>38800</v>
      </c>
      <c r="AH135" s="223"/>
      <c r="AI135" s="223"/>
      <c r="AJ135" s="223"/>
      <c r="AK135" s="223"/>
      <c r="AL135" s="223"/>
      <c r="AM135" s="223"/>
      <c r="AN135" s="223"/>
      <c r="AO135" s="223"/>
      <c r="AP135" s="223"/>
      <c r="AQ135" s="223"/>
      <c r="AR135" s="223"/>
      <c r="AS135" s="223"/>
      <c r="AT135" s="223"/>
      <c r="AU135" s="223"/>
      <c r="AV135" s="223"/>
      <c r="AW135" s="223"/>
      <c r="AX135" s="223"/>
      <c r="AY135" s="223"/>
      <c r="AZ135" s="223"/>
      <c r="BA135" s="223"/>
      <c r="BB135" s="223"/>
      <c r="BC135" s="223"/>
      <c r="BD135" s="223"/>
      <c r="BE135" s="223"/>
      <c r="BF135" s="223"/>
      <c r="BG135" s="223"/>
      <c r="BH135" s="223"/>
      <c r="BI135" s="223"/>
      <c r="BJ135" s="223">
        <v>882.2473</v>
      </c>
      <c r="BK135" s="223"/>
      <c r="BL135" s="223"/>
      <c r="BM135" s="223"/>
      <c r="BN135" s="223"/>
      <c r="BO135" s="223"/>
      <c r="BP135" s="223"/>
      <c r="BQ135" s="223"/>
      <c r="BR135" s="223"/>
      <c r="BS135" s="223"/>
      <c r="BT135" s="223"/>
      <c r="BU135" s="223"/>
      <c r="BV135" s="223"/>
      <c r="BW135" s="223"/>
      <c r="BX135" s="223"/>
      <c r="BY135" s="230"/>
      <c r="BZ135" s="58"/>
      <c r="CA135" s="58"/>
      <c r="CB135" s="53">
        <f>94.3+4</f>
        <v>98.3</v>
      </c>
      <c r="CC135" s="1">
        <f t="shared" si="323"/>
        <v>38800</v>
      </c>
      <c r="CD135" s="53"/>
      <c r="CE135" s="53"/>
      <c r="CF135" s="53"/>
      <c r="CG135" s="53"/>
      <c r="CH135" s="53"/>
    </row>
    <row r="136" spans="1:86" s="3" customFormat="1" ht="15.75" thickBot="1" x14ac:dyDescent="0.3">
      <c r="A136" s="503"/>
      <c r="B136" s="228"/>
      <c r="C136" s="222">
        <v>38850</v>
      </c>
      <c r="D136" s="365">
        <f t="shared" si="338"/>
        <v>0</v>
      </c>
      <c r="E136" s="365">
        <f t="shared" si="339"/>
        <v>0</v>
      </c>
      <c r="F136" s="58">
        <f t="shared" si="326"/>
        <v>823.22329999999999</v>
      </c>
      <c r="G136" s="223">
        <f t="shared" si="340"/>
        <v>0</v>
      </c>
      <c r="H136" s="223">
        <f t="shared" si="319"/>
        <v>0</v>
      </c>
      <c r="I136" s="223">
        <f t="shared" si="320"/>
        <v>0</v>
      </c>
      <c r="J136" s="223">
        <f t="shared" si="321"/>
        <v>0</v>
      </c>
      <c r="K136" s="224">
        <f t="shared" si="322"/>
        <v>0</v>
      </c>
      <c r="L136" s="378">
        <f t="shared" si="341"/>
        <v>73.099999999999994</v>
      </c>
      <c r="M136" s="390">
        <f t="shared" si="344"/>
        <v>0</v>
      </c>
      <c r="N136" s="223">
        <f t="shared" si="345"/>
        <v>0</v>
      </c>
      <c r="O136" s="223">
        <f t="shared" si="352"/>
        <v>1580</v>
      </c>
      <c r="P136" s="223">
        <f t="shared" si="346"/>
        <v>0</v>
      </c>
      <c r="Q136" s="223">
        <f t="shared" si="347"/>
        <v>0</v>
      </c>
      <c r="R136" s="223">
        <f t="shared" si="348"/>
        <v>0</v>
      </c>
      <c r="S136" s="223">
        <f t="shared" si="349"/>
        <v>0</v>
      </c>
      <c r="T136" s="223">
        <f t="shared" si="350"/>
        <v>0</v>
      </c>
      <c r="U136" s="365">
        <f t="shared" si="351"/>
        <v>477</v>
      </c>
      <c r="V136" s="56"/>
      <c r="W136" s="225"/>
      <c r="X136" s="223"/>
      <c r="Y136" s="223"/>
      <c r="Z136" s="223"/>
      <c r="AA136" s="223"/>
      <c r="AB136" s="223"/>
      <c r="AC136" s="223"/>
      <c r="AD136" s="223"/>
      <c r="AE136" s="226"/>
      <c r="AF136" s="55"/>
      <c r="AG136" s="227">
        <f t="shared" si="343"/>
        <v>38850</v>
      </c>
      <c r="AH136" s="223"/>
      <c r="AI136" s="223"/>
      <c r="AJ136" s="223"/>
      <c r="AK136" s="223"/>
      <c r="AL136" s="223"/>
      <c r="AM136" s="223"/>
      <c r="AN136" s="223"/>
      <c r="AO136" s="223"/>
      <c r="AP136" s="223"/>
      <c r="AQ136" s="223"/>
      <c r="AR136" s="223"/>
      <c r="AS136" s="223"/>
      <c r="AT136" s="223"/>
      <c r="AU136" s="223"/>
      <c r="AV136" s="223"/>
      <c r="AW136" s="223"/>
      <c r="AX136" s="223"/>
      <c r="AY136" s="223"/>
      <c r="AZ136" s="223"/>
      <c r="BA136" s="223"/>
      <c r="BB136" s="223"/>
      <c r="BC136" s="223"/>
      <c r="BD136" s="223"/>
      <c r="BE136" s="223"/>
      <c r="BF136" s="223"/>
      <c r="BG136" s="223"/>
      <c r="BH136" s="223"/>
      <c r="BI136" s="223"/>
      <c r="BJ136" s="223">
        <v>823.22329999999999</v>
      </c>
      <c r="BK136" s="223"/>
      <c r="BL136" s="223"/>
      <c r="BM136" s="223"/>
      <c r="BN136" s="223"/>
      <c r="BO136" s="223"/>
      <c r="BP136" s="223"/>
      <c r="BQ136" s="223"/>
      <c r="BR136" s="223"/>
      <c r="BS136" s="223"/>
      <c r="BT136" s="223"/>
      <c r="BU136" s="223"/>
      <c r="BV136" s="223"/>
      <c r="BW136" s="223"/>
      <c r="BX136" s="223"/>
      <c r="BY136" s="230"/>
      <c r="BZ136" s="58"/>
      <c r="CA136" s="58"/>
      <c r="CB136" s="53">
        <f>69.1+4</f>
        <v>73.099999999999994</v>
      </c>
      <c r="CC136" s="1">
        <f t="shared" si="323"/>
        <v>38850</v>
      </c>
      <c r="CD136" s="53"/>
      <c r="CE136" s="53"/>
      <c r="CF136" s="53"/>
      <c r="CG136" s="53"/>
      <c r="CH136" s="53"/>
    </row>
    <row r="137" spans="1:86" s="3" customFormat="1" ht="15.75" thickBot="1" x14ac:dyDescent="0.3">
      <c r="A137" s="503"/>
      <c r="B137" s="243"/>
      <c r="C137" s="212">
        <v>38900</v>
      </c>
      <c r="D137" s="348">
        <f t="shared" si="338"/>
        <v>0</v>
      </c>
      <c r="E137" s="348">
        <f t="shared" si="339"/>
        <v>0</v>
      </c>
      <c r="F137" s="58">
        <f t="shared" si="326"/>
        <v>709.71939999999995</v>
      </c>
      <c r="G137" s="144">
        <f t="shared" si="340"/>
        <v>0</v>
      </c>
      <c r="H137" s="144">
        <f t="shared" si="319"/>
        <v>0</v>
      </c>
      <c r="I137" s="144">
        <f t="shared" si="320"/>
        <v>0</v>
      </c>
      <c r="J137" s="144">
        <f t="shared" si="321"/>
        <v>0</v>
      </c>
      <c r="K137" s="159">
        <f t="shared" si="322"/>
        <v>0</v>
      </c>
      <c r="L137" s="351">
        <f t="shared" si="341"/>
        <v>71.099999999999994</v>
      </c>
      <c r="M137" s="354">
        <f t="shared" si="344"/>
        <v>0</v>
      </c>
      <c r="N137" s="144">
        <f t="shared" si="345"/>
        <v>0</v>
      </c>
      <c r="O137" s="144">
        <f t="shared" si="352"/>
        <v>1420</v>
      </c>
      <c r="P137" s="144">
        <f t="shared" si="346"/>
        <v>0</v>
      </c>
      <c r="Q137" s="144">
        <f t="shared" si="347"/>
        <v>0</v>
      </c>
      <c r="R137" s="144">
        <f t="shared" si="348"/>
        <v>0</v>
      </c>
      <c r="S137" s="144">
        <f t="shared" si="349"/>
        <v>0</v>
      </c>
      <c r="T137" s="144">
        <f t="shared" si="350"/>
        <v>0</v>
      </c>
      <c r="U137" s="348">
        <f t="shared" si="351"/>
        <v>401</v>
      </c>
      <c r="V137" s="154"/>
      <c r="W137" s="255">
        <f>M134+M135+M136+M137</f>
        <v>0</v>
      </c>
      <c r="X137" s="255">
        <f>N134+N135+N136+N137</f>
        <v>0</v>
      </c>
      <c r="Y137" s="255">
        <f>O135+O136+O137+O134</f>
        <v>7150</v>
      </c>
      <c r="Z137" s="255">
        <f t="shared" ref="Z137" si="380">P134+P135+P136+P137</f>
        <v>0</v>
      </c>
      <c r="AA137" s="255">
        <f t="shared" ref="AA137" si="381">Q134+Q135+Q136+Q137</f>
        <v>0</v>
      </c>
      <c r="AB137" s="255">
        <f t="shared" ref="AB137" si="382">R134+R135+R136+R137</f>
        <v>0</v>
      </c>
      <c r="AC137" s="255">
        <f t="shared" ref="AC137" si="383">S134+S135+S136+S137</f>
        <v>0</v>
      </c>
      <c r="AD137" s="255">
        <f t="shared" ref="AD137" si="384">T134+T135+T136+T137</f>
        <v>0</v>
      </c>
      <c r="AE137" s="255">
        <f t="shared" ref="AE137" si="385">U134+U135+U136+U137</f>
        <v>1895</v>
      </c>
      <c r="AF137" s="153"/>
      <c r="AG137" s="158">
        <f t="shared" si="343"/>
        <v>38900</v>
      </c>
      <c r="AH137" s="144"/>
      <c r="AI137" s="144"/>
      <c r="AJ137" s="144"/>
      <c r="AK137" s="144"/>
      <c r="AL137" s="144"/>
      <c r="AM137" s="144"/>
      <c r="AN137" s="144"/>
      <c r="AO137" s="144"/>
      <c r="AP137" s="144"/>
      <c r="AQ137" s="144"/>
      <c r="AR137" s="144"/>
      <c r="AS137" s="144"/>
      <c r="AT137" s="144"/>
      <c r="AU137" s="144"/>
      <c r="AV137" s="144"/>
      <c r="AW137" s="144"/>
      <c r="AX137" s="144"/>
      <c r="AY137" s="144"/>
      <c r="AZ137" s="144"/>
      <c r="BA137" s="144"/>
      <c r="BB137" s="144"/>
      <c r="BC137" s="144"/>
      <c r="BD137" s="144"/>
      <c r="BE137" s="144"/>
      <c r="BF137" s="144"/>
      <c r="BG137" s="144"/>
      <c r="BH137" s="144"/>
      <c r="BI137" s="144"/>
      <c r="BJ137" s="144">
        <v>709.71939999999995</v>
      </c>
      <c r="BK137" s="144"/>
      <c r="BL137" s="144"/>
      <c r="BM137" s="144"/>
      <c r="BN137" s="144"/>
      <c r="BO137" s="144"/>
      <c r="BP137" s="144"/>
      <c r="BQ137" s="144"/>
      <c r="BR137" s="144"/>
      <c r="BS137" s="144"/>
      <c r="BT137" s="144"/>
      <c r="BU137" s="144"/>
      <c r="BV137" s="144"/>
      <c r="BW137" s="144"/>
      <c r="BX137" s="144"/>
      <c r="BY137" s="229"/>
      <c r="BZ137" s="144"/>
      <c r="CA137" s="144"/>
      <c r="CB137" s="244">
        <f>67.1+4</f>
        <v>71.099999999999994</v>
      </c>
      <c r="CC137" s="1">
        <f t="shared" si="323"/>
        <v>38900</v>
      </c>
      <c r="CD137" s="244"/>
      <c r="CE137" s="244"/>
      <c r="CF137" s="244"/>
      <c r="CG137" s="244"/>
      <c r="CH137" s="244"/>
    </row>
    <row r="138" spans="1:86" s="3" customFormat="1" ht="15.75" thickBot="1" x14ac:dyDescent="0.3">
      <c r="A138" s="503"/>
      <c r="B138" s="2"/>
      <c r="C138" s="236">
        <v>38950</v>
      </c>
      <c r="D138" s="366">
        <f t="shared" si="338"/>
        <v>0</v>
      </c>
      <c r="E138" s="366">
        <f t="shared" si="339"/>
        <v>967.11839999999995</v>
      </c>
      <c r="F138" s="58">
        <f t="shared" si="326"/>
        <v>0</v>
      </c>
      <c r="G138" s="237">
        <f t="shared" si="340"/>
        <v>0</v>
      </c>
      <c r="H138" s="237">
        <f t="shared" si="319"/>
        <v>0</v>
      </c>
      <c r="I138" s="237">
        <f t="shared" si="320"/>
        <v>0</v>
      </c>
      <c r="J138" s="237">
        <f t="shared" si="321"/>
        <v>0</v>
      </c>
      <c r="K138" s="238">
        <f t="shared" si="322"/>
        <v>0</v>
      </c>
      <c r="L138" s="379">
        <f t="shared" si="341"/>
        <v>86.8</v>
      </c>
      <c r="M138" s="391">
        <f t="shared" si="344"/>
        <v>0</v>
      </c>
      <c r="N138" s="237">
        <f t="shared" si="345"/>
        <v>896</v>
      </c>
      <c r="O138" s="237">
        <f>ROUNDUP(((F137+F138)*0.5)*(38925-C137)/27,0)</f>
        <v>329</v>
      </c>
      <c r="P138" s="237">
        <f t="shared" si="346"/>
        <v>0</v>
      </c>
      <c r="Q138" s="237">
        <f t="shared" si="347"/>
        <v>0</v>
      </c>
      <c r="R138" s="237">
        <f t="shared" si="348"/>
        <v>0</v>
      </c>
      <c r="S138" s="237">
        <f t="shared" si="349"/>
        <v>0</v>
      </c>
      <c r="T138" s="237">
        <f t="shared" si="350"/>
        <v>0</v>
      </c>
      <c r="U138" s="366">
        <f t="shared" si="351"/>
        <v>439</v>
      </c>
      <c r="V138" s="56"/>
      <c r="W138" s="240"/>
      <c r="X138" s="237"/>
      <c r="Y138" s="237"/>
      <c r="Z138" s="237"/>
      <c r="AA138" s="237"/>
      <c r="AB138" s="237"/>
      <c r="AC138" s="237"/>
      <c r="AD138" s="237"/>
      <c r="AE138" s="241"/>
      <c r="AF138" s="55"/>
      <c r="AG138" s="242">
        <f t="shared" si="343"/>
        <v>38950</v>
      </c>
      <c r="AH138" s="237"/>
      <c r="AI138" s="237"/>
      <c r="AJ138" s="237"/>
      <c r="AK138" s="237"/>
      <c r="AL138" s="237"/>
      <c r="AM138" s="237"/>
      <c r="AN138" s="237"/>
      <c r="AO138" s="237"/>
      <c r="AP138" s="237"/>
      <c r="AQ138" s="237"/>
      <c r="AR138" s="237"/>
      <c r="AS138" s="237"/>
      <c r="AT138" s="237"/>
      <c r="AU138" s="237"/>
      <c r="AV138" s="237"/>
      <c r="AW138" s="237"/>
      <c r="AX138" s="237"/>
      <c r="AY138" s="237">
        <v>967.11839999999995</v>
      </c>
      <c r="AZ138" s="237"/>
      <c r="BA138" s="237"/>
      <c r="BB138" s="237"/>
      <c r="BC138" s="237"/>
      <c r="BD138" s="237"/>
      <c r="BE138" s="237"/>
      <c r="BF138" s="237"/>
      <c r="BG138" s="237"/>
      <c r="BH138" s="237"/>
      <c r="BI138" s="237"/>
      <c r="BJ138" s="237"/>
      <c r="BK138" s="237"/>
      <c r="BL138" s="237"/>
      <c r="BM138" s="237"/>
      <c r="BN138" s="237"/>
      <c r="BO138" s="237"/>
      <c r="BP138" s="237"/>
      <c r="BQ138" s="237"/>
      <c r="BR138" s="237"/>
      <c r="BS138" s="237"/>
      <c r="BT138" s="237"/>
      <c r="BU138" s="237"/>
      <c r="BV138" s="237"/>
      <c r="BW138" s="237"/>
      <c r="BX138" s="237"/>
      <c r="BY138" s="239"/>
      <c r="BZ138" s="147"/>
      <c r="CA138" s="147"/>
      <c r="CB138" s="2">
        <f>82.8+4</f>
        <v>86.8</v>
      </c>
      <c r="CC138" s="1">
        <f t="shared" si="323"/>
        <v>38950</v>
      </c>
      <c r="CD138" s="2"/>
      <c r="CE138" s="2"/>
      <c r="CF138" s="2"/>
      <c r="CG138" s="2"/>
      <c r="CH138" s="2"/>
    </row>
    <row r="139" spans="1:86" ht="15.75" thickBot="1" x14ac:dyDescent="0.3">
      <c r="A139" s="503"/>
      <c r="B139" s="53"/>
      <c r="C139" s="222">
        <v>39000</v>
      </c>
      <c r="D139" s="365">
        <f t="shared" si="338"/>
        <v>0</v>
      </c>
      <c r="E139" s="365">
        <f t="shared" si="339"/>
        <v>1004.1123</v>
      </c>
      <c r="F139" s="58">
        <f t="shared" si="326"/>
        <v>0</v>
      </c>
      <c r="G139" s="223">
        <f t="shared" si="340"/>
        <v>0</v>
      </c>
      <c r="H139" s="223">
        <f t="shared" si="319"/>
        <v>0</v>
      </c>
      <c r="I139" s="223">
        <f t="shared" si="320"/>
        <v>0</v>
      </c>
      <c r="J139" s="223">
        <f t="shared" si="321"/>
        <v>0</v>
      </c>
      <c r="K139" s="224">
        <f t="shared" si="322"/>
        <v>0</v>
      </c>
      <c r="L139" s="378">
        <f t="shared" si="341"/>
        <v>80.7</v>
      </c>
      <c r="M139" s="390">
        <f t="shared" si="344"/>
        <v>0</v>
      </c>
      <c r="N139" s="223">
        <f t="shared" si="345"/>
        <v>1826</v>
      </c>
      <c r="O139" s="223"/>
      <c r="P139" s="223">
        <f t="shared" si="346"/>
        <v>0</v>
      </c>
      <c r="Q139" s="223">
        <f t="shared" si="347"/>
        <v>0</v>
      </c>
      <c r="R139" s="223">
        <f t="shared" si="348"/>
        <v>0</v>
      </c>
      <c r="S139" s="223">
        <f t="shared" si="349"/>
        <v>0</v>
      </c>
      <c r="T139" s="223">
        <f t="shared" si="350"/>
        <v>0</v>
      </c>
      <c r="U139" s="365">
        <f t="shared" si="351"/>
        <v>466</v>
      </c>
      <c r="V139" s="56"/>
      <c r="W139" s="255">
        <f>M138+M139</f>
        <v>0</v>
      </c>
      <c r="X139" s="255">
        <f t="shared" ref="X139" si="386">N138+N139</f>
        <v>2722</v>
      </c>
      <c r="Y139" s="255">
        <f>O138+O139</f>
        <v>329</v>
      </c>
      <c r="Z139" s="255">
        <f t="shared" ref="Z139" si="387">P138+P139</f>
        <v>0</v>
      </c>
      <c r="AA139" s="255">
        <f t="shared" ref="AA139" si="388">Q138+Q139</f>
        <v>0</v>
      </c>
      <c r="AB139" s="255">
        <f t="shared" ref="AB139" si="389">R138+R139</f>
        <v>0</v>
      </c>
      <c r="AC139" s="255">
        <f t="shared" ref="AC139" si="390">S138+S139</f>
        <v>0</v>
      </c>
      <c r="AD139" s="255">
        <f t="shared" ref="AD139" si="391">T138+T139</f>
        <v>0</v>
      </c>
      <c r="AE139" s="255">
        <f t="shared" ref="AE139" si="392">U138+U139</f>
        <v>905</v>
      </c>
      <c r="AF139" s="55"/>
      <c r="AG139" s="227">
        <f t="shared" si="343"/>
        <v>39000</v>
      </c>
      <c r="AH139" s="223"/>
      <c r="AI139" s="223"/>
      <c r="AJ139" s="223"/>
      <c r="AK139" s="223"/>
      <c r="AL139" s="223"/>
      <c r="AM139" s="223"/>
      <c r="AN139" s="223"/>
      <c r="AO139" s="223"/>
      <c r="AP139" s="223"/>
      <c r="AQ139" s="223"/>
      <c r="AR139" s="223"/>
      <c r="AS139" s="223"/>
      <c r="AT139" s="223"/>
      <c r="AU139" s="223"/>
      <c r="AV139" s="223"/>
      <c r="AW139" s="223"/>
      <c r="AX139" s="223"/>
      <c r="AY139" s="223">
        <v>1004.1123</v>
      </c>
      <c r="AZ139" s="223"/>
      <c r="BA139" s="223"/>
      <c r="BB139" s="223"/>
      <c r="BC139" s="223"/>
      <c r="BD139" s="223"/>
      <c r="BE139" s="223"/>
      <c r="BF139" s="223"/>
      <c r="BG139" s="223"/>
      <c r="BH139" s="223"/>
      <c r="BI139" s="223"/>
      <c r="BJ139" s="223"/>
      <c r="BK139" s="223"/>
      <c r="BL139" s="223"/>
      <c r="BM139" s="223"/>
      <c r="BN139" s="223"/>
      <c r="BO139" s="223"/>
      <c r="BP139" s="223"/>
      <c r="BQ139" s="223"/>
      <c r="BR139" s="223"/>
      <c r="BS139" s="223"/>
      <c r="BT139" s="223"/>
      <c r="BU139" s="223"/>
      <c r="BV139" s="223"/>
      <c r="BW139" s="223"/>
      <c r="BX139" s="223"/>
      <c r="BY139" s="230"/>
      <c r="BZ139" s="58"/>
      <c r="CA139" s="58"/>
      <c r="CB139" s="53">
        <f>76.7+4</f>
        <v>80.7</v>
      </c>
      <c r="CC139" s="1">
        <f t="shared" si="323"/>
        <v>39000</v>
      </c>
      <c r="CD139" s="53"/>
      <c r="CE139" s="53"/>
      <c r="CF139" s="53"/>
      <c r="CG139" s="53"/>
      <c r="CH139" s="53"/>
    </row>
    <row r="140" spans="1:86" x14ac:dyDescent="0.25">
      <c r="A140" s="125"/>
      <c r="C140" s="231"/>
      <c r="D140" s="367"/>
      <c r="E140" s="367"/>
      <c r="F140" s="56"/>
      <c r="G140" s="56"/>
      <c r="H140" s="56"/>
      <c r="I140" s="56"/>
      <c r="J140" s="56"/>
      <c r="K140" s="232"/>
      <c r="L140" s="367"/>
      <c r="M140" s="392"/>
      <c r="N140" s="56"/>
      <c r="O140" s="56"/>
      <c r="P140" s="56"/>
      <c r="Q140" s="56"/>
      <c r="R140" s="56"/>
      <c r="S140" s="56"/>
      <c r="T140" s="56"/>
      <c r="U140" s="367"/>
      <c r="W140" s="233"/>
      <c r="X140" s="56"/>
      <c r="Y140" s="56"/>
      <c r="Z140" s="56"/>
      <c r="AA140" s="56"/>
      <c r="AB140" s="56"/>
      <c r="AC140" s="56"/>
      <c r="AD140" s="56"/>
      <c r="AE140" s="56"/>
      <c r="AG140" s="231"/>
      <c r="AH140" s="56"/>
      <c r="AI140" s="56"/>
      <c r="AJ140" s="56"/>
      <c r="AK140" s="56"/>
      <c r="AL140" s="56"/>
      <c r="AM140" s="56"/>
      <c r="AN140" s="56"/>
      <c r="AO140" s="56"/>
      <c r="AP140" s="56"/>
      <c r="AQ140" s="56"/>
      <c r="AR140" s="56"/>
      <c r="AS140" s="56"/>
      <c r="AT140" s="56"/>
      <c r="AU140" s="56"/>
      <c r="AV140" s="56"/>
      <c r="AW140" s="56"/>
      <c r="AX140" s="56"/>
      <c r="AY140" s="56"/>
      <c r="AZ140" s="56"/>
      <c r="BA140" s="56"/>
      <c r="BB140" s="56"/>
      <c r="BC140" s="56"/>
      <c r="BD140" s="56"/>
      <c r="BE140" s="56"/>
      <c r="BF140" s="56"/>
      <c r="BG140" s="56"/>
      <c r="BH140" s="56"/>
      <c r="BI140" s="56"/>
      <c r="BJ140" s="56"/>
      <c r="BK140" s="56"/>
      <c r="BL140" s="56"/>
      <c r="BM140" s="56"/>
      <c r="BN140" s="56"/>
      <c r="BO140" s="56"/>
      <c r="BP140" s="56"/>
      <c r="BQ140" s="56"/>
      <c r="BR140" s="56"/>
      <c r="BS140" s="56"/>
      <c r="BT140" s="56"/>
      <c r="BU140" s="56"/>
      <c r="BV140" s="56"/>
      <c r="BW140" s="56"/>
      <c r="BX140" s="56"/>
      <c r="BY140" s="56"/>
      <c r="BZ140" s="58"/>
      <c r="CA140" s="58"/>
      <c r="CB140" s="263"/>
      <c r="CC140" s="1"/>
      <c r="CD140" s="53"/>
      <c r="CE140" s="53"/>
      <c r="CF140" s="53"/>
      <c r="CG140" s="53"/>
      <c r="CH140" s="53"/>
    </row>
    <row r="141" spans="1:86" ht="21" x14ac:dyDescent="0.35">
      <c r="A141" s="125"/>
      <c r="C141" s="231"/>
      <c r="D141" s="367"/>
      <c r="E141" s="367"/>
      <c r="F141" s="56"/>
      <c r="G141" s="56"/>
      <c r="H141" s="56"/>
      <c r="I141" s="56"/>
      <c r="J141" s="56"/>
      <c r="K141" s="232"/>
      <c r="L141" s="367"/>
      <c r="M141" s="385">
        <f t="shared" ref="M141:U141" si="393">SUM(M118:M139)</f>
        <v>139</v>
      </c>
      <c r="N141" s="120">
        <f t="shared" si="393"/>
        <v>5052</v>
      </c>
      <c r="O141" s="120">
        <f t="shared" si="393"/>
        <v>102171</v>
      </c>
      <c r="P141" s="120">
        <f t="shared" si="393"/>
        <v>0</v>
      </c>
      <c r="Q141" s="120">
        <f t="shared" si="393"/>
        <v>0</v>
      </c>
      <c r="R141" s="120">
        <f t="shared" si="393"/>
        <v>0</v>
      </c>
      <c r="S141" s="120">
        <f t="shared" si="393"/>
        <v>0</v>
      </c>
      <c r="T141" s="120">
        <f t="shared" si="393"/>
        <v>0</v>
      </c>
      <c r="U141" s="385">
        <f t="shared" si="393"/>
        <v>16975</v>
      </c>
      <c r="W141" s="120">
        <f>SUM(W118:W139)</f>
        <v>139</v>
      </c>
      <c r="X141" s="120">
        <f>SUM(X118:X139)</f>
        <v>5052</v>
      </c>
      <c r="Y141" s="120">
        <f>SUM(Y118:Y139)</f>
        <v>102171</v>
      </c>
      <c r="Z141" s="120">
        <f t="shared" ref="Z141:AE141" si="394">SUM(Z118:Z139)</f>
        <v>0</v>
      </c>
      <c r="AA141" s="120">
        <f t="shared" si="394"/>
        <v>0</v>
      </c>
      <c r="AB141" s="120">
        <f t="shared" si="394"/>
        <v>0</v>
      </c>
      <c r="AC141" s="120">
        <f t="shared" si="394"/>
        <v>0</v>
      </c>
      <c r="AD141" s="120">
        <f t="shared" si="394"/>
        <v>0</v>
      </c>
      <c r="AE141" s="120">
        <f t="shared" si="394"/>
        <v>16975</v>
      </c>
      <c r="AG141" s="231"/>
      <c r="AH141" s="56"/>
      <c r="AI141" s="56"/>
      <c r="AJ141" s="56"/>
      <c r="AK141" s="56"/>
      <c r="AL141" s="56"/>
      <c r="AM141" s="56"/>
      <c r="AN141" s="56"/>
      <c r="AO141" s="56"/>
      <c r="AP141" s="56"/>
      <c r="AQ141" s="56"/>
      <c r="AR141" s="56"/>
      <c r="AS141" s="56"/>
      <c r="AT141" s="56"/>
      <c r="AU141" s="56"/>
      <c r="AV141" s="56"/>
      <c r="AW141" s="56"/>
      <c r="AX141" s="56"/>
      <c r="AY141" s="56"/>
      <c r="AZ141" s="56"/>
      <c r="BA141" s="56"/>
      <c r="BB141" s="56"/>
      <c r="BC141" s="56"/>
      <c r="BD141" s="56"/>
      <c r="BE141" s="56"/>
      <c r="BF141" s="56"/>
      <c r="BG141" s="56"/>
      <c r="BH141" s="56"/>
      <c r="BI141" s="56"/>
      <c r="BJ141" s="56"/>
      <c r="BK141" s="56"/>
      <c r="BL141" s="56"/>
      <c r="BM141" s="56"/>
      <c r="BN141" s="56"/>
      <c r="BO141" s="56"/>
      <c r="BP141" s="56"/>
      <c r="BQ141" s="56"/>
      <c r="BR141" s="56"/>
      <c r="BS141" s="56"/>
      <c r="BT141" s="56"/>
      <c r="BU141" s="56"/>
      <c r="BV141" s="56"/>
      <c r="BW141" s="56"/>
      <c r="BX141" s="56"/>
      <c r="BY141" s="56"/>
      <c r="BZ141" s="58"/>
      <c r="CA141" s="58"/>
      <c r="CB141" s="263"/>
      <c r="CC141" s="1"/>
      <c r="CD141" s="53"/>
      <c r="CE141" s="53"/>
      <c r="CF141" s="53"/>
      <c r="CG141" s="53"/>
      <c r="CH141" s="53"/>
    </row>
    <row r="142" spans="1:86" x14ac:dyDescent="0.25">
      <c r="A142" s="125"/>
      <c r="C142" s="231"/>
      <c r="D142" s="367"/>
      <c r="E142" s="367"/>
      <c r="F142" s="56"/>
      <c r="G142" s="56"/>
      <c r="H142" s="56"/>
      <c r="I142" s="56"/>
      <c r="J142" s="56"/>
      <c r="K142" s="232"/>
      <c r="L142" s="367"/>
      <c r="M142" s="392"/>
      <c r="N142" s="56"/>
      <c r="O142" s="56"/>
      <c r="P142" s="56"/>
      <c r="Q142" s="56"/>
      <c r="R142" s="56"/>
      <c r="S142" s="56"/>
      <c r="T142" s="56"/>
      <c r="U142" s="367"/>
      <c r="W142" s="233"/>
      <c r="X142" s="56"/>
      <c r="Y142" s="56"/>
      <c r="Z142" s="56"/>
      <c r="AA142" s="56"/>
      <c r="AB142" s="56"/>
      <c r="AC142" s="56"/>
      <c r="AD142" s="56"/>
      <c r="AE142" s="56"/>
      <c r="AG142" s="231"/>
      <c r="AH142" s="56"/>
      <c r="AI142" s="56"/>
      <c r="AJ142" s="56"/>
      <c r="AK142" s="56"/>
      <c r="AL142" s="56"/>
      <c r="AM142" s="56"/>
      <c r="AN142" s="56"/>
      <c r="AO142" s="56"/>
      <c r="AP142" s="56"/>
      <c r="AQ142" s="56"/>
      <c r="AR142" s="56"/>
      <c r="AS142" s="56"/>
      <c r="AT142" s="56"/>
      <c r="AU142" s="56"/>
      <c r="AV142" s="56"/>
      <c r="AW142" s="56"/>
      <c r="AX142" s="56"/>
      <c r="AY142" s="56"/>
      <c r="AZ142" s="56"/>
      <c r="BA142" s="56"/>
      <c r="BB142" s="56"/>
      <c r="BC142" s="56"/>
      <c r="BD142" s="56"/>
      <c r="BE142" s="56"/>
      <c r="BF142" s="56"/>
      <c r="BG142" s="56"/>
      <c r="BH142" s="56"/>
      <c r="BI142" s="56"/>
      <c r="BJ142" s="56"/>
      <c r="BK142" s="56"/>
      <c r="BL142" s="56"/>
      <c r="BM142" s="56"/>
      <c r="BN142" s="56"/>
      <c r="BO142" s="56"/>
      <c r="BP142" s="56"/>
      <c r="BQ142" s="56"/>
      <c r="BR142" s="56"/>
      <c r="BS142" s="56"/>
      <c r="BT142" s="56"/>
      <c r="BU142" s="56"/>
      <c r="BV142" s="56"/>
      <c r="BW142" s="56"/>
      <c r="BX142" s="56"/>
      <c r="BY142" s="56"/>
      <c r="BZ142" s="58"/>
      <c r="CA142" s="58"/>
      <c r="CB142" s="263"/>
      <c r="CC142" s="261"/>
      <c r="CD142" s="53"/>
      <c r="CE142" s="53"/>
      <c r="CF142" s="53"/>
      <c r="CG142" s="53"/>
      <c r="CH142" s="53"/>
    </row>
    <row r="143" spans="1:86" x14ac:dyDescent="0.25">
      <c r="A143" s="125"/>
      <c r="C143" s="231"/>
      <c r="D143" s="367"/>
      <c r="E143" s="367"/>
      <c r="F143" s="56"/>
      <c r="G143" s="56"/>
      <c r="H143" s="56"/>
      <c r="I143" s="56"/>
      <c r="J143" s="56"/>
      <c r="K143" s="232"/>
      <c r="L143" s="367"/>
      <c r="M143" s="392"/>
      <c r="N143" s="56"/>
      <c r="O143" s="56"/>
      <c r="P143" s="56"/>
      <c r="Q143" s="56"/>
      <c r="R143" s="56"/>
      <c r="S143" s="56"/>
      <c r="T143" s="56"/>
      <c r="U143" s="367"/>
      <c r="W143" s="233"/>
      <c r="X143" s="56"/>
      <c r="Y143" s="56"/>
      <c r="Z143" s="56"/>
      <c r="AA143" s="56"/>
      <c r="AB143" s="56"/>
      <c r="AC143" s="56"/>
      <c r="AD143" s="56"/>
      <c r="AE143" s="56"/>
      <c r="AG143" s="231"/>
      <c r="AH143" s="56"/>
      <c r="AI143" s="56"/>
      <c r="AJ143" s="56"/>
      <c r="AK143" s="56"/>
      <c r="AL143" s="56"/>
      <c r="AM143" s="56"/>
      <c r="AN143" s="56"/>
      <c r="AO143" s="56"/>
      <c r="AP143" s="56"/>
      <c r="AQ143" s="56"/>
      <c r="AR143" s="56"/>
      <c r="AS143" s="56"/>
      <c r="AT143" s="56"/>
      <c r="AU143" s="56"/>
      <c r="AV143" s="56"/>
      <c r="AW143" s="56"/>
      <c r="AX143" s="56"/>
      <c r="AY143" s="56"/>
      <c r="AZ143" s="56"/>
      <c r="BA143" s="56"/>
      <c r="BB143" s="56"/>
      <c r="BC143" s="56"/>
      <c r="BD143" s="56"/>
      <c r="BE143" s="56"/>
      <c r="BF143" s="56"/>
      <c r="BG143" s="56"/>
      <c r="BH143" s="56"/>
      <c r="BI143" s="56"/>
      <c r="BJ143" s="56"/>
      <c r="BK143" s="56"/>
      <c r="BL143" s="56"/>
      <c r="BM143" s="56"/>
      <c r="BN143" s="56"/>
      <c r="BO143" s="56"/>
      <c r="BP143" s="56"/>
      <c r="BQ143" s="56"/>
      <c r="BR143" s="56"/>
      <c r="BS143" s="56"/>
      <c r="BT143" s="56"/>
      <c r="BU143" s="56"/>
      <c r="BV143" s="56"/>
      <c r="BW143" s="56"/>
      <c r="BX143" s="56"/>
      <c r="BY143" s="56"/>
      <c r="BZ143" s="58"/>
      <c r="CA143" s="58"/>
      <c r="CB143" s="263"/>
      <c r="CC143" s="261"/>
      <c r="CD143" s="53"/>
      <c r="CE143" s="53"/>
      <c r="CF143" s="53"/>
      <c r="CG143" s="53"/>
      <c r="CH143" s="53"/>
    </row>
    <row r="144" spans="1:86" x14ac:dyDescent="0.25">
      <c r="AE144" s="208"/>
      <c r="BZ144" s="53"/>
      <c r="CA144" s="53"/>
      <c r="CB144" s="270"/>
      <c r="CC144" s="261"/>
      <c r="CD144" s="53"/>
      <c r="CE144" s="53"/>
      <c r="CF144" s="53"/>
      <c r="CG144" s="53"/>
      <c r="CH144" s="53"/>
    </row>
    <row r="145" spans="1:113" x14ac:dyDescent="0.25">
      <c r="AE145" s="208"/>
    </row>
    <row r="146" spans="1:113" ht="15.75" thickBot="1" x14ac:dyDescent="0.3">
      <c r="AE146" s="208"/>
      <c r="CC146" s="1"/>
    </row>
    <row r="147" spans="1:113" s="2" customFormat="1" ht="15" customHeight="1" x14ac:dyDescent="0.25">
      <c r="A147" s="502" t="s">
        <v>61</v>
      </c>
      <c r="B147" s="125"/>
      <c r="C147" s="121">
        <v>1100</v>
      </c>
      <c r="D147" s="347">
        <f>SUM(AH147:AX147)</f>
        <v>900.12619999999993</v>
      </c>
      <c r="E147" s="347">
        <f>SUM(AY147:BG147)</f>
        <v>2472.8032000000003</v>
      </c>
      <c r="F147" s="58"/>
      <c r="G147" s="58">
        <f>SUM(BL147:BN147)</f>
        <v>0</v>
      </c>
      <c r="H147" s="58">
        <f t="shared" ref="H147:H179" si="395">SUM(BO147:BQ147)</f>
        <v>0</v>
      </c>
      <c r="I147" s="58">
        <f t="shared" ref="I147:I179" si="396">SUM(BR147:BT147)</f>
        <v>0</v>
      </c>
      <c r="J147" s="58">
        <f t="shared" ref="J147:J179" si="397">SUM(BU147:BV147)</f>
        <v>0</v>
      </c>
      <c r="K147" s="51">
        <f t="shared" ref="K147:K179" si="398">BW147+BX147</f>
        <v>0</v>
      </c>
      <c r="L147" s="350">
        <f>SUM(BY147:CB147)</f>
        <v>223.5</v>
      </c>
      <c r="M147" s="353"/>
      <c r="N147" s="58"/>
      <c r="O147" s="58"/>
      <c r="P147" s="58"/>
      <c r="Q147" s="58"/>
      <c r="R147" s="58"/>
      <c r="S147" s="58"/>
      <c r="T147" s="58"/>
      <c r="U147" s="347"/>
      <c r="V147" s="56"/>
      <c r="W147" s="105"/>
      <c r="X147" s="58"/>
      <c r="Y147" s="58"/>
      <c r="Z147" s="58"/>
      <c r="AA147" s="58"/>
      <c r="AB147" s="58"/>
      <c r="AC147" s="58"/>
      <c r="AD147" s="58"/>
      <c r="AE147" s="138"/>
      <c r="AF147" s="55"/>
      <c r="AG147" s="57">
        <f t="shared" ref="AG147:AG148" si="399">C147</f>
        <v>1100</v>
      </c>
      <c r="AH147" s="58">
        <v>482.14030000000002</v>
      </c>
      <c r="AI147" s="119">
        <v>114.78919999999999</v>
      </c>
      <c r="AJ147" s="119">
        <v>103.35550000000001</v>
      </c>
      <c r="AK147" s="119">
        <v>198.92259999999999</v>
      </c>
      <c r="AL147" s="58">
        <v>0.91859999999999997</v>
      </c>
      <c r="AM147" s="58"/>
      <c r="AN147" s="58"/>
      <c r="AO147" s="58"/>
      <c r="AP147" s="58"/>
      <c r="AQ147" s="58"/>
      <c r="AR147" s="58"/>
      <c r="AS147" s="58"/>
      <c r="AT147" s="58"/>
      <c r="AU147" s="58"/>
      <c r="AV147" s="58"/>
      <c r="AW147" s="58"/>
      <c r="AX147" s="58"/>
      <c r="AY147" s="119">
        <v>114.78919999999999</v>
      </c>
      <c r="AZ147" s="119">
        <v>103.35550000000001</v>
      </c>
      <c r="BA147" s="119">
        <v>198.92259999999999</v>
      </c>
      <c r="BB147" s="58">
        <v>2053.4306000000001</v>
      </c>
      <c r="BC147" s="58">
        <v>2.3052999999999999</v>
      </c>
      <c r="BD147" s="58"/>
      <c r="BE147" s="58"/>
      <c r="BF147" s="58"/>
      <c r="BG147" s="58"/>
      <c r="BH147" s="58"/>
      <c r="BI147" s="58"/>
      <c r="BJ147" s="58"/>
      <c r="BK147" s="58"/>
      <c r="BL147" s="58"/>
      <c r="BM147" s="58"/>
      <c r="BN147" s="58"/>
      <c r="BO147" s="58"/>
      <c r="BP147" s="58"/>
      <c r="BQ147" s="58"/>
      <c r="BR147" s="58"/>
      <c r="BS147" s="58"/>
      <c r="BT147" s="58"/>
      <c r="BU147" s="58"/>
      <c r="BV147" s="58"/>
      <c r="BW147" s="58"/>
      <c r="BX147" s="58"/>
      <c r="BY147" s="58"/>
      <c r="BZ147" s="58"/>
      <c r="CA147" s="58"/>
      <c r="CB147" s="263">
        <f>219.5+4</f>
        <v>223.5</v>
      </c>
      <c r="CC147" s="1">
        <f t="shared" ref="CC147:CC179" si="400">C147</f>
        <v>1100</v>
      </c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 s="41"/>
    </row>
    <row r="148" spans="1:113" s="3" customFormat="1" ht="15.75" thickBot="1" x14ac:dyDescent="0.3">
      <c r="A148" s="503"/>
      <c r="B148" s="125"/>
      <c r="C148" s="121">
        <v>1150</v>
      </c>
      <c r="D148" s="347">
        <f t="shared" ref="D148" si="401">SUM(AH148:AX148)</f>
        <v>3017.8858</v>
      </c>
      <c r="E148" s="347">
        <f t="shared" ref="E148" si="402">SUM(AY148:BG148)</f>
        <v>0</v>
      </c>
      <c r="F148" s="58"/>
      <c r="G148" s="58">
        <f t="shared" ref="G148" si="403">SUM(BL148:BN148)</f>
        <v>0</v>
      </c>
      <c r="H148" s="58">
        <f t="shared" si="395"/>
        <v>24.591099999999997</v>
      </c>
      <c r="I148" s="58">
        <f t="shared" si="396"/>
        <v>24.591099999999997</v>
      </c>
      <c r="J148" s="58">
        <f t="shared" si="397"/>
        <v>37.350800000000007</v>
      </c>
      <c r="K148" s="51">
        <f t="shared" si="398"/>
        <v>37.350800000000007</v>
      </c>
      <c r="L148" s="350">
        <f t="shared" ref="L148" si="404">SUM(BY148:CB148)</f>
        <v>265.39999999999998</v>
      </c>
      <c r="M148" s="353">
        <f t="shared" ref="M148" si="405">ROUNDUP(((D147+D148)*0.5)*(C148-C147)/27,0)</f>
        <v>3628</v>
      </c>
      <c r="N148" s="58">
        <f>ROUNDUP(((E147+E148)*0.5)*(C148-C147)/27,0)</f>
        <v>2290</v>
      </c>
      <c r="O148" s="58"/>
      <c r="P148" s="58">
        <f t="shared" ref="P148" si="406">ROUNDUP(((G147+G148)*0.5)*(C148-C147)/27,0)</f>
        <v>0</v>
      </c>
      <c r="Q148" s="58">
        <f t="shared" ref="Q148" si="407">ROUNDUP(((H148+H147)*0.5)*(C148-C147)/27,0)</f>
        <v>23</v>
      </c>
      <c r="R148" s="58">
        <f t="shared" ref="R148" si="408">ROUNDUP(((I148+I147)*0.5)*(C148-C147)/27,0)</f>
        <v>23</v>
      </c>
      <c r="S148" s="58">
        <f t="shared" ref="S148" si="409">ROUNDUP(((J148+J147)*0.5)*(C148-C147)/9,0)</f>
        <v>104</v>
      </c>
      <c r="T148" s="58">
        <f t="shared" ref="T148" si="410">ROUNDUP(((K148+K147)*0.5)*(C148-C147)/9,0)</f>
        <v>104</v>
      </c>
      <c r="U148" s="347">
        <f t="shared" ref="U148" si="411">ROUNDUP(((L148+L147)*0.5)*(C148-C147)/9,0)</f>
        <v>1359</v>
      </c>
      <c r="V148" s="56"/>
      <c r="W148" s="105"/>
      <c r="X148" s="58"/>
      <c r="Y148" s="58"/>
      <c r="Z148" s="58"/>
      <c r="AA148" s="58"/>
      <c r="AB148" s="58"/>
      <c r="AC148" s="58"/>
      <c r="AD148" s="58"/>
      <c r="AE148" s="138"/>
      <c r="AF148" s="55"/>
      <c r="AG148" s="57">
        <f t="shared" si="399"/>
        <v>1150</v>
      </c>
      <c r="AH148" s="58">
        <v>3017.8858</v>
      </c>
      <c r="AI148" s="58"/>
      <c r="AJ148" s="58"/>
      <c r="AK148" s="58"/>
      <c r="AL148" s="58"/>
      <c r="AM148" s="58"/>
      <c r="AN148" s="58"/>
      <c r="AO148" s="58"/>
      <c r="AP148" s="58"/>
      <c r="AQ148" s="58"/>
      <c r="AR148" s="58"/>
      <c r="AS148" s="58"/>
      <c r="AT148" s="58"/>
      <c r="AU148" s="58"/>
      <c r="AV148" s="58"/>
      <c r="AW148" s="58"/>
      <c r="AX148" s="58"/>
      <c r="AY148" s="58"/>
      <c r="AZ148" s="58"/>
      <c r="BA148" s="58"/>
      <c r="BB148" s="58"/>
      <c r="BC148" s="58"/>
      <c r="BD148" s="58"/>
      <c r="BE148" s="58"/>
      <c r="BF148" s="58"/>
      <c r="BG148" s="58"/>
      <c r="BH148" s="58"/>
      <c r="BI148" s="58"/>
      <c r="BJ148" s="58"/>
      <c r="BK148" s="58"/>
      <c r="BL148" s="58"/>
      <c r="BM148" s="58"/>
      <c r="BN148" s="58"/>
      <c r="BO148" s="58">
        <v>11.5017</v>
      </c>
      <c r="BP148" s="58">
        <v>13.089399999999999</v>
      </c>
      <c r="BQ148" s="58"/>
      <c r="BR148" s="58">
        <f t="shared" ref="BR148" si="412">BO148</f>
        <v>11.5017</v>
      </c>
      <c r="BS148" s="58">
        <f t="shared" ref="BS148" si="413">BP148</f>
        <v>13.089399999999999</v>
      </c>
      <c r="BT148" s="58"/>
      <c r="BU148" s="58">
        <v>17.058800000000002</v>
      </c>
      <c r="BV148" s="58">
        <v>20.292000000000002</v>
      </c>
      <c r="BW148" s="58">
        <f t="shared" ref="BW148" si="414">BU148</f>
        <v>17.058800000000002</v>
      </c>
      <c r="BX148" s="58">
        <f t="shared" ref="BX148" si="415">BV148</f>
        <v>20.292000000000002</v>
      </c>
      <c r="BY148" s="58"/>
      <c r="BZ148" s="58"/>
      <c r="CA148" s="58"/>
      <c r="CB148" s="263">
        <f>261.4+4</f>
        <v>265.39999999999998</v>
      </c>
      <c r="CC148" s="1">
        <f t="shared" si="400"/>
        <v>1150</v>
      </c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</row>
    <row r="149" spans="1:113" s="168" customFormat="1" ht="15.75" thickBot="1" x14ac:dyDescent="0.3">
      <c r="A149" s="503"/>
      <c r="B149" s="211"/>
      <c r="C149" s="212">
        <v>1200</v>
      </c>
      <c r="D149" s="348">
        <f t="shared" ref="D149:D166" si="416">SUM(AH149:AX149)</f>
        <v>8177.0414000000001</v>
      </c>
      <c r="E149" s="348">
        <f t="shared" ref="E149:E166" si="417">SUM(AY149:BG149)</f>
        <v>0</v>
      </c>
      <c r="F149" s="144"/>
      <c r="G149" s="144">
        <f t="shared" ref="G149:G166" si="418">SUM(BL149:BN149)</f>
        <v>0</v>
      </c>
      <c r="H149" s="144">
        <f t="shared" si="395"/>
        <v>24.697800000000001</v>
      </c>
      <c r="I149" s="144">
        <f t="shared" si="396"/>
        <v>24.697800000000001</v>
      </c>
      <c r="J149" s="144">
        <f t="shared" si="397"/>
        <v>37.611600000000003</v>
      </c>
      <c r="K149" s="159">
        <f t="shared" si="398"/>
        <v>37.611600000000003</v>
      </c>
      <c r="L149" s="351">
        <f t="shared" ref="L149:L166" si="419">SUM(BY149:CB149)</f>
        <v>358.3</v>
      </c>
      <c r="M149" s="354">
        <f t="shared" ref="M149:M163" si="420">ROUNDUP(((D148+D149)*0.5)*(C149-C148)/27,0)</f>
        <v>10366</v>
      </c>
      <c r="N149" s="144">
        <f t="shared" ref="N149:N163" si="421">ROUNDUP(((E148+E149)*0.5)*(C149-C148)/27,0)</f>
        <v>0</v>
      </c>
      <c r="O149" s="144"/>
      <c r="P149" s="144">
        <f t="shared" ref="P149:P163" si="422">ROUNDUP(((G148+G149)*0.5)*(C149-C148)/27,0)</f>
        <v>0</v>
      </c>
      <c r="Q149" s="144">
        <f t="shared" ref="Q149:Q163" si="423">ROUNDUP(((H149+H148)*0.5)*(C149-C148)/27,0)</f>
        <v>46</v>
      </c>
      <c r="R149" s="144">
        <f t="shared" ref="R149:R163" si="424">ROUNDUP(((I149+I148)*0.5)*(C149-C148)/27,0)</f>
        <v>46</v>
      </c>
      <c r="S149" s="144">
        <f t="shared" ref="S149:S163" si="425">ROUNDUP(((J149+J148)*0.5)*(C149-C148)/9,0)</f>
        <v>209</v>
      </c>
      <c r="T149" s="144">
        <f t="shared" ref="T149:T163" si="426">ROUNDUP(((K149+K148)*0.5)*(C149-C148)/9,0)</f>
        <v>209</v>
      </c>
      <c r="U149" s="348">
        <f t="shared" ref="U149:U163" si="427">ROUNDUP(((L149+L148)*0.5)*(C149-C148)/9,0)</f>
        <v>1733</v>
      </c>
      <c r="V149" s="154"/>
      <c r="W149" s="255">
        <f>M147+M148+M149</f>
        <v>13994</v>
      </c>
      <c r="X149" s="255">
        <f t="shared" ref="X149" si="428">N147+N148+N149</f>
        <v>2290</v>
      </c>
      <c r="Y149" s="255"/>
      <c r="Z149" s="255">
        <f t="shared" ref="Z149" si="429">P147+P148+P149</f>
        <v>0</v>
      </c>
      <c r="AA149" s="255">
        <f t="shared" ref="AA149" si="430">Q147+Q148+Q149</f>
        <v>69</v>
      </c>
      <c r="AB149" s="255">
        <f t="shared" ref="AB149" si="431">R147+R148+R149</f>
        <v>69</v>
      </c>
      <c r="AC149" s="255">
        <f t="shared" ref="AC149" si="432">S147+S148+S149</f>
        <v>313</v>
      </c>
      <c r="AD149" s="255">
        <f t="shared" ref="AD149" si="433">T147+T148+T149</f>
        <v>313</v>
      </c>
      <c r="AE149" s="255">
        <f t="shared" ref="AE149" si="434">U147+U148+U149</f>
        <v>3092</v>
      </c>
      <c r="AF149" s="153"/>
      <c r="AG149" s="158">
        <f t="shared" ref="AG149:AG166" si="435">C149</f>
        <v>1200</v>
      </c>
      <c r="AH149" s="144">
        <v>8177.0414000000001</v>
      </c>
      <c r="AI149" s="144"/>
      <c r="AJ149" s="144"/>
      <c r="AK149" s="144"/>
      <c r="AL149" s="144"/>
      <c r="AM149" s="144"/>
      <c r="AN149" s="144"/>
      <c r="AO149" s="144"/>
      <c r="AP149" s="144"/>
      <c r="AQ149" s="144"/>
      <c r="AR149" s="144"/>
      <c r="AS149" s="144"/>
      <c r="AT149" s="144"/>
      <c r="AU149" s="144"/>
      <c r="AV149" s="144"/>
      <c r="AW149" s="144"/>
      <c r="AX149" s="144"/>
      <c r="AY149" s="144"/>
      <c r="AZ149" s="144"/>
      <c r="BA149" s="144"/>
      <c r="BB149" s="144"/>
      <c r="BC149" s="144"/>
      <c r="BD149" s="144"/>
      <c r="BE149" s="144"/>
      <c r="BF149" s="144"/>
      <c r="BG149" s="144"/>
      <c r="BH149" s="144"/>
      <c r="BI149" s="144"/>
      <c r="BJ149" s="144"/>
      <c r="BK149" s="144"/>
      <c r="BL149" s="144"/>
      <c r="BM149" s="144"/>
      <c r="BN149" s="144"/>
      <c r="BO149" s="144">
        <v>11.4641</v>
      </c>
      <c r="BP149" s="144">
        <v>13.233700000000001</v>
      </c>
      <c r="BQ149" s="144"/>
      <c r="BR149" s="144">
        <f t="shared" ref="BR149:BR162" si="436">BO149</f>
        <v>11.4641</v>
      </c>
      <c r="BS149" s="144">
        <f t="shared" ref="BS149:BS159" si="437">BP149</f>
        <v>13.233700000000001</v>
      </c>
      <c r="BT149" s="144"/>
      <c r="BU149" s="144">
        <v>17.026700000000002</v>
      </c>
      <c r="BV149" s="144">
        <v>20.584900000000001</v>
      </c>
      <c r="BW149" s="144">
        <f t="shared" ref="BW149:BW162" si="438">BU149</f>
        <v>17.026700000000002</v>
      </c>
      <c r="BX149" s="144">
        <f t="shared" ref="BX149:BX151" si="439">BV149</f>
        <v>20.584900000000001</v>
      </c>
      <c r="BY149" s="144"/>
      <c r="BZ149" s="144"/>
      <c r="CA149" s="144"/>
      <c r="CB149" s="265">
        <f>354.3+4</f>
        <v>358.3</v>
      </c>
      <c r="CC149" s="1">
        <f t="shared" si="400"/>
        <v>1200</v>
      </c>
      <c r="CD149"/>
      <c r="CE149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167"/>
    </row>
    <row r="150" spans="1:113" s="2" customFormat="1" x14ac:dyDescent="0.25">
      <c r="A150" s="503"/>
      <c r="B150" s="125"/>
      <c r="C150" s="210">
        <v>1250</v>
      </c>
      <c r="D150" s="349">
        <f t="shared" si="416"/>
        <v>12578.669900000001</v>
      </c>
      <c r="E150" s="349">
        <f t="shared" si="417"/>
        <v>0</v>
      </c>
      <c r="F150" s="147"/>
      <c r="G150" s="147">
        <f t="shared" si="418"/>
        <v>0</v>
      </c>
      <c r="H150" s="147">
        <f t="shared" si="395"/>
        <v>27.084800000000001</v>
      </c>
      <c r="I150" s="147">
        <f t="shared" si="396"/>
        <v>27.084800000000001</v>
      </c>
      <c r="J150" s="147">
        <f t="shared" si="397"/>
        <v>43.893799999999999</v>
      </c>
      <c r="K150" s="156">
        <f t="shared" si="398"/>
        <v>43.893799999999999</v>
      </c>
      <c r="L150" s="352">
        <f t="shared" si="419"/>
        <v>612.79999999999995</v>
      </c>
      <c r="M150" s="355">
        <f t="shared" si="420"/>
        <v>19219</v>
      </c>
      <c r="N150" s="147">
        <f t="shared" si="421"/>
        <v>0</v>
      </c>
      <c r="O150" s="147"/>
      <c r="P150" s="147">
        <f t="shared" si="422"/>
        <v>0</v>
      </c>
      <c r="Q150" s="147">
        <f t="shared" si="423"/>
        <v>48</v>
      </c>
      <c r="R150" s="147">
        <f t="shared" si="424"/>
        <v>48</v>
      </c>
      <c r="S150" s="147">
        <f t="shared" si="425"/>
        <v>227</v>
      </c>
      <c r="T150" s="147">
        <f t="shared" si="426"/>
        <v>227</v>
      </c>
      <c r="U150" s="349">
        <f t="shared" si="427"/>
        <v>2698</v>
      </c>
      <c r="V150" s="56"/>
      <c r="W150" s="151"/>
      <c r="X150" s="147"/>
      <c r="Y150" s="147"/>
      <c r="Z150" s="147"/>
      <c r="AA150" s="147"/>
      <c r="AB150" s="147"/>
      <c r="AC150" s="147"/>
      <c r="AD150" s="147"/>
      <c r="AE150" s="148"/>
      <c r="AF150" s="55"/>
      <c r="AG150" s="155">
        <f t="shared" si="435"/>
        <v>1250</v>
      </c>
      <c r="AH150" s="147">
        <v>12578.669900000001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  <c r="BI150" s="147"/>
      <c r="BJ150" s="147"/>
      <c r="BK150" s="147"/>
      <c r="BL150" s="147"/>
      <c r="BM150" s="147"/>
      <c r="BN150" s="147"/>
      <c r="BO150" s="147">
        <v>11.4793</v>
      </c>
      <c r="BP150" s="147">
        <v>15.605499999999999</v>
      </c>
      <c r="BQ150" s="147"/>
      <c r="BR150" s="147">
        <f t="shared" si="436"/>
        <v>11.4793</v>
      </c>
      <c r="BS150" s="147">
        <f t="shared" si="437"/>
        <v>15.605499999999999</v>
      </c>
      <c r="BT150" s="147"/>
      <c r="BU150" s="147">
        <v>17.0243</v>
      </c>
      <c r="BV150" s="147">
        <v>26.869499999999999</v>
      </c>
      <c r="BW150" s="147">
        <f t="shared" si="438"/>
        <v>17.0243</v>
      </c>
      <c r="BX150" s="147">
        <f t="shared" si="439"/>
        <v>26.869499999999999</v>
      </c>
      <c r="BY150" s="147"/>
      <c r="BZ150" s="147"/>
      <c r="CA150" s="147"/>
      <c r="CB150" s="266">
        <f>608.8+4</f>
        <v>612.79999999999995</v>
      </c>
      <c r="CC150" s="1">
        <f t="shared" si="400"/>
        <v>1250</v>
      </c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 s="41"/>
    </row>
    <row r="151" spans="1:113" s="3" customFormat="1" ht="15.75" thickBot="1" x14ac:dyDescent="0.3">
      <c r="A151" s="503"/>
      <c r="B151" s="211"/>
      <c r="C151" s="212">
        <v>1300</v>
      </c>
      <c r="D151" s="348">
        <f t="shared" si="416"/>
        <v>25413.269499999999</v>
      </c>
      <c r="E151" s="348">
        <f t="shared" si="417"/>
        <v>0</v>
      </c>
      <c r="F151" s="144"/>
      <c r="G151" s="144">
        <f t="shared" si="418"/>
        <v>0</v>
      </c>
      <c r="H151" s="144">
        <f t="shared" si="395"/>
        <v>28.866</v>
      </c>
      <c r="I151" s="144">
        <f t="shared" si="396"/>
        <v>28.866</v>
      </c>
      <c r="J151" s="144">
        <f t="shared" si="397"/>
        <v>45.873800000000003</v>
      </c>
      <c r="K151" s="159">
        <f t="shared" si="398"/>
        <v>45.873800000000003</v>
      </c>
      <c r="L151" s="351">
        <f t="shared" si="419"/>
        <v>763.1</v>
      </c>
      <c r="M151" s="354">
        <f t="shared" si="420"/>
        <v>35178</v>
      </c>
      <c r="N151" s="144">
        <f t="shared" si="421"/>
        <v>0</v>
      </c>
      <c r="O151" s="144"/>
      <c r="P151" s="144">
        <f t="shared" si="422"/>
        <v>0</v>
      </c>
      <c r="Q151" s="144">
        <f t="shared" si="423"/>
        <v>52</v>
      </c>
      <c r="R151" s="144">
        <f t="shared" si="424"/>
        <v>52</v>
      </c>
      <c r="S151" s="144">
        <f t="shared" si="425"/>
        <v>250</v>
      </c>
      <c r="T151" s="144">
        <f t="shared" si="426"/>
        <v>250</v>
      </c>
      <c r="U151" s="348">
        <f t="shared" si="427"/>
        <v>3822</v>
      </c>
      <c r="V151" s="154"/>
      <c r="W151" s="255">
        <f>M150+M151</f>
        <v>54397</v>
      </c>
      <c r="X151" s="255">
        <f t="shared" ref="X151" si="440">N150+N151</f>
        <v>0</v>
      </c>
      <c r="Y151" s="255"/>
      <c r="Z151" s="255">
        <f t="shared" ref="Z151" si="441">P150+P151</f>
        <v>0</v>
      </c>
      <c r="AA151" s="255">
        <f t="shared" ref="AA151" si="442">Q150+Q151</f>
        <v>100</v>
      </c>
      <c r="AB151" s="255">
        <f t="shared" ref="AB151" si="443">R150+R151</f>
        <v>100</v>
      </c>
      <c r="AC151" s="255">
        <f t="shared" ref="AC151" si="444">S150+S151</f>
        <v>477</v>
      </c>
      <c r="AD151" s="255">
        <f t="shared" ref="AD151" si="445">T150+T151</f>
        <v>477</v>
      </c>
      <c r="AE151" s="255">
        <f t="shared" ref="AE151" si="446">U150+U151</f>
        <v>6520</v>
      </c>
      <c r="AF151" s="153"/>
      <c r="AG151" s="158">
        <f t="shared" si="435"/>
        <v>1300</v>
      </c>
      <c r="AH151" s="144">
        <v>25413.269499999999</v>
      </c>
      <c r="AI151" s="144"/>
      <c r="AJ151" s="144"/>
      <c r="AK151" s="144"/>
      <c r="AL151" s="144"/>
      <c r="AM151" s="144"/>
      <c r="AN151" s="144"/>
      <c r="AO151" s="144"/>
      <c r="AP151" s="144"/>
      <c r="AQ151" s="144"/>
      <c r="AR151" s="144"/>
      <c r="AS151" s="144"/>
      <c r="AT151" s="144"/>
      <c r="AU151" s="144"/>
      <c r="AV151" s="144"/>
      <c r="AW151" s="144"/>
      <c r="AX151" s="144"/>
      <c r="AY151" s="144"/>
      <c r="AZ151" s="144"/>
      <c r="BA151" s="144"/>
      <c r="BB151" s="144"/>
      <c r="BC151" s="144"/>
      <c r="BD151" s="144"/>
      <c r="BE151" s="144"/>
      <c r="BF151" s="144"/>
      <c r="BG151" s="144"/>
      <c r="BH151" s="144"/>
      <c r="BI151" s="144"/>
      <c r="BJ151" s="144"/>
      <c r="BK151" s="144"/>
      <c r="BL151" s="144"/>
      <c r="BM151" s="144"/>
      <c r="BN151" s="144"/>
      <c r="BO151" s="144">
        <v>11.476599999999999</v>
      </c>
      <c r="BP151" s="144">
        <v>17.389399999999998</v>
      </c>
      <c r="BQ151" s="144"/>
      <c r="BR151" s="144">
        <f t="shared" si="436"/>
        <v>11.476599999999999</v>
      </c>
      <c r="BS151" s="144">
        <f t="shared" si="437"/>
        <v>17.389399999999998</v>
      </c>
      <c r="BT151" s="144"/>
      <c r="BU151" s="144">
        <v>17.0167</v>
      </c>
      <c r="BV151" s="144">
        <v>28.857099999999999</v>
      </c>
      <c r="BW151" s="144">
        <f t="shared" si="438"/>
        <v>17.0167</v>
      </c>
      <c r="BX151" s="144">
        <f t="shared" si="439"/>
        <v>28.857099999999999</v>
      </c>
      <c r="BY151" s="144"/>
      <c r="BZ151" s="144"/>
      <c r="CA151" s="144"/>
      <c r="CB151" s="265">
        <f>759.1+4</f>
        <v>763.1</v>
      </c>
      <c r="CC151" s="1">
        <f t="shared" si="400"/>
        <v>1300</v>
      </c>
      <c r="CD151"/>
      <c r="CE151"/>
    </row>
    <row r="152" spans="1:113" x14ac:dyDescent="0.25">
      <c r="A152" s="503"/>
      <c r="B152" s="125"/>
      <c r="C152" s="210">
        <v>1350</v>
      </c>
      <c r="D152" s="349">
        <f t="shared" si="416"/>
        <v>25655.0792</v>
      </c>
      <c r="E152" s="349">
        <f t="shared" si="417"/>
        <v>0</v>
      </c>
      <c r="F152" s="147"/>
      <c r="G152" s="147">
        <f t="shared" si="418"/>
        <v>0</v>
      </c>
      <c r="H152" s="147">
        <f t="shared" si="395"/>
        <v>29.486699999999999</v>
      </c>
      <c r="I152" s="147">
        <f t="shared" si="396"/>
        <v>29.486699999999999</v>
      </c>
      <c r="J152" s="147">
        <f t="shared" si="397"/>
        <v>63.016500000000001</v>
      </c>
      <c r="K152" s="156">
        <f t="shared" si="398"/>
        <v>63.016500000000001</v>
      </c>
      <c r="L152" s="352">
        <f t="shared" si="419"/>
        <v>656.3</v>
      </c>
      <c r="M152" s="355">
        <f t="shared" si="420"/>
        <v>47286</v>
      </c>
      <c r="N152" s="147">
        <f t="shared" si="421"/>
        <v>0</v>
      </c>
      <c r="O152" s="147"/>
      <c r="P152" s="147">
        <f t="shared" si="422"/>
        <v>0</v>
      </c>
      <c r="Q152" s="147">
        <f t="shared" si="423"/>
        <v>55</v>
      </c>
      <c r="R152" s="147">
        <f t="shared" si="424"/>
        <v>55</v>
      </c>
      <c r="S152" s="147">
        <f t="shared" si="425"/>
        <v>303</v>
      </c>
      <c r="T152" s="147">
        <f t="shared" si="426"/>
        <v>303</v>
      </c>
      <c r="U152" s="349">
        <f t="shared" si="427"/>
        <v>3943</v>
      </c>
      <c r="V152" s="56"/>
      <c r="W152" s="151"/>
      <c r="X152" s="147"/>
      <c r="Y152" s="147"/>
      <c r="Z152" s="147"/>
      <c r="AA152" s="147"/>
      <c r="AB152" s="147"/>
      <c r="AC152" s="147"/>
      <c r="AD152" s="147"/>
      <c r="AE152" s="148"/>
      <c r="AF152" s="55"/>
      <c r="AG152" s="155">
        <f t="shared" si="435"/>
        <v>1350</v>
      </c>
      <c r="AH152" s="147">
        <v>25655.0792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  <c r="BI152" s="147"/>
      <c r="BJ152" s="147"/>
      <c r="BK152" s="147"/>
      <c r="BL152" s="147"/>
      <c r="BM152" s="147"/>
      <c r="BN152" s="147"/>
      <c r="BO152" s="147">
        <v>29.486699999999999</v>
      </c>
      <c r="BP152" s="147"/>
      <c r="BQ152" s="147"/>
      <c r="BR152" s="147">
        <f t="shared" si="436"/>
        <v>29.486699999999999</v>
      </c>
      <c r="BS152" s="147"/>
      <c r="BT152" s="147"/>
      <c r="BU152" s="147">
        <v>63.016500000000001</v>
      </c>
      <c r="BV152" s="147"/>
      <c r="BW152" s="147">
        <f t="shared" si="438"/>
        <v>63.016500000000001</v>
      </c>
      <c r="BX152" s="147"/>
      <c r="BY152" s="147"/>
      <c r="BZ152" s="147"/>
      <c r="CA152" s="147"/>
      <c r="CB152" s="266">
        <f>652.3+4</f>
        <v>656.3</v>
      </c>
      <c r="CC152" s="1">
        <f t="shared" si="400"/>
        <v>1350</v>
      </c>
    </row>
    <row r="153" spans="1:113" s="3" customFormat="1" ht="15" customHeight="1" thickBot="1" x14ac:dyDescent="0.3">
      <c r="A153" s="503"/>
      <c r="B153" s="144"/>
      <c r="C153" s="212">
        <v>1400</v>
      </c>
      <c r="D153" s="348">
        <f t="shared" si="416"/>
        <v>20345.4869</v>
      </c>
      <c r="E153" s="348">
        <f t="shared" si="417"/>
        <v>0</v>
      </c>
      <c r="F153" s="144"/>
      <c r="G153" s="144">
        <f>SUM(BL153:BN153)</f>
        <v>0</v>
      </c>
      <c r="H153" s="144">
        <f t="shared" si="395"/>
        <v>29.487200000000001</v>
      </c>
      <c r="I153" s="144">
        <f t="shared" si="396"/>
        <v>29.487200000000001</v>
      </c>
      <c r="J153" s="144">
        <f t="shared" si="397"/>
        <v>58.029800000000002</v>
      </c>
      <c r="K153" s="159">
        <f t="shared" si="398"/>
        <v>58.029800000000002</v>
      </c>
      <c r="L153" s="351">
        <f t="shared" si="419"/>
        <v>582.6</v>
      </c>
      <c r="M153" s="354">
        <f t="shared" si="420"/>
        <v>42594</v>
      </c>
      <c r="N153" s="144">
        <f t="shared" si="421"/>
        <v>0</v>
      </c>
      <c r="O153" s="144"/>
      <c r="P153" s="144">
        <f t="shared" si="422"/>
        <v>0</v>
      </c>
      <c r="Q153" s="144">
        <f t="shared" si="423"/>
        <v>55</v>
      </c>
      <c r="R153" s="144">
        <f t="shared" si="424"/>
        <v>55</v>
      </c>
      <c r="S153" s="144">
        <f t="shared" si="425"/>
        <v>337</v>
      </c>
      <c r="T153" s="144">
        <f t="shared" si="426"/>
        <v>337</v>
      </c>
      <c r="U153" s="348">
        <f t="shared" si="427"/>
        <v>3442</v>
      </c>
      <c r="V153" s="154"/>
      <c r="W153" s="255">
        <f>M152+M153</f>
        <v>89880</v>
      </c>
      <c r="X153" s="255">
        <f t="shared" ref="X153" si="447">N152+N153</f>
        <v>0</v>
      </c>
      <c r="Y153" s="255"/>
      <c r="Z153" s="255">
        <f t="shared" ref="Z153" si="448">P152+P153</f>
        <v>0</v>
      </c>
      <c r="AA153" s="255">
        <f t="shared" ref="AA153" si="449">Q152+Q153</f>
        <v>110</v>
      </c>
      <c r="AB153" s="255">
        <f t="shared" ref="AB153" si="450">R152+R153</f>
        <v>110</v>
      </c>
      <c r="AC153" s="255">
        <f t="shared" ref="AC153" si="451">S152+S153</f>
        <v>640</v>
      </c>
      <c r="AD153" s="255">
        <f t="shared" ref="AD153" si="452">T152+T153</f>
        <v>640</v>
      </c>
      <c r="AE153" s="255">
        <f t="shared" ref="AE153" si="453">U152+U153</f>
        <v>7385</v>
      </c>
      <c r="AF153" s="153"/>
      <c r="AG153" s="158">
        <f t="shared" si="435"/>
        <v>1400</v>
      </c>
      <c r="AH153" s="144">
        <v>20345.4869</v>
      </c>
      <c r="AI153" s="144"/>
      <c r="AJ153" s="144"/>
      <c r="AK153" s="144"/>
      <c r="AL153" s="144"/>
      <c r="AM153" s="144"/>
      <c r="AN153" s="144"/>
      <c r="AO153" s="144"/>
      <c r="AP153" s="144"/>
      <c r="AQ153" s="144"/>
      <c r="AR153" s="144"/>
      <c r="AS153" s="144"/>
      <c r="AT153" s="144"/>
      <c r="AU153" s="144"/>
      <c r="AV153" s="144"/>
      <c r="AW153" s="144"/>
      <c r="AX153" s="144"/>
      <c r="AY153" s="144"/>
      <c r="AZ153" s="144"/>
      <c r="BA153" s="144"/>
      <c r="BB153" s="144"/>
      <c r="BC153" s="144"/>
      <c r="BD153" s="144"/>
      <c r="BE153" s="144"/>
      <c r="BF153" s="144"/>
      <c r="BG153" s="144"/>
      <c r="BH153" s="144"/>
      <c r="BI153" s="144"/>
      <c r="BJ153" s="144"/>
      <c r="BK153" s="144"/>
      <c r="BL153" s="144"/>
      <c r="BM153" s="144"/>
      <c r="BN153" s="144"/>
      <c r="BO153" s="144">
        <v>29.487200000000001</v>
      </c>
      <c r="BP153" s="144"/>
      <c r="BQ153" s="144"/>
      <c r="BR153" s="144">
        <f t="shared" si="436"/>
        <v>29.487200000000001</v>
      </c>
      <c r="BS153" s="144"/>
      <c r="BT153" s="144"/>
      <c r="BU153" s="144">
        <v>58.029800000000002</v>
      </c>
      <c r="BV153" s="144"/>
      <c r="BW153" s="144">
        <f t="shared" si="438"/>
        <v>58.029800000000002</v>
      </c>
      <c r="BX153" s="144"/>
      <c r="BY153" s="144"/>
      <c r="BZ153" s="144"/>
      <c r="CA153" s="144"/>
      <c r="CB153" s="265">
        <f>578.6+4</f>
        <v>582.6</v>
      </c>
      <c r="CC153" s="1">
        <f t="shared" si="400"/>
        <v>1400</v>
      </c>
      <c r="CD153"/>
      <c r="CE153"/>
    </row>
    <row r="154" spans="1:113" ht="15" customHeight="1" x14ac:dyDescent="0.25">
      <c r="A154" s="503"/>
      <c r="B154" s="248" t="s">
        <v>53</v>
      </c>
      <c r="C154" s="504">
        <v>1406.72</v>
      </c>
      <c r="D154" s="361">
        <f t="shared" si="416"/>
        <v>19272.3433</v>
      </c>
      <c r="E154" s="361">
        <f t="shared" si="417"/>
        <v>0</v>
      </c>
      <c r="F154" s="161"/>
      <c r="G154" s="161">
        <f t="shared" si="418"/>
        <v>0</v>
      </c>
      <c r="H154" s="161">
        <f t="shared" si="395"/>
        <v>29.4877</v>
      </c>
      <c r="I154" s="161">
        <f t="shared" si="396"/>
        <v>29.4877</v>
      </c>
      <c r="J154" s="161">
        <f t="shared" si="397"/>
        <v>58.033200000000001</v>
      </c>
      <c r="K154" s="162">
        <f t="shared" si="398"/>
        <v>58.033200000000001</v>
      </c>
      <c r="L154" s="374">
        <f t="shared" si="419"/>
        <v>536.48890000000006</v>
      </c>
      <c r="M154" s="386">
        <f t="shared" si="420"/>
        <v>4931</v>
      </c>
      <c r="N154" s="161">
        <f>ROUNDUP(((E153+E154)*0.5)*(C154-C153)/27,0)</f>
        <v>0</v>
      </c>
      <c r="O154" s="161"/>
      <c r="P154" s="161">
        <f t="shared" si="422"/>
        <v>0</v>
      </c>
      <c r="Q154" s="161">
        <f t="shared" si="423"/>
        <v>8</v>
      </c>
      <c r="R154" s="161">
        <f t="shared" si="424"/>
        <v>8</v>
      </c>
      <c r="S154" s="161">
        <f t="shared" si="425"/>
        <v>44</v>
      </c>
      <c r="T154" s="161">
        <f t="shared" si="426"/>
        <v>44</v>
      </c>
      <c r="U154" s="361">
        <f t="shared" si="427"/>
        <v>418</v>
      </c>
      <c r="V154" s="64"/>
      <c r="W154" s="164"/>
      <c r="X154" s="161"/>
      <c r="Y154" s="161"/>
      <c r="Z154" s="161"/>
      <c r="AA154" s="161"/>
      <c r="AB154" s="161"/>
      <c r="AC154" s="161"/>
      <c r="AD154" s="161"/>
      <c r="AE154" s="166"/>
      <c r="AF154" s="64" t="str">
        <f>B154</f>
        <v>back</v>
      </c>
      <c r="AG154" s="451">
        <f t="shared" si="435"/>
        <v>1406.72</v>
      </c>
      <c r="AH154" s="161">
        <v>18254.193299999999</v>
      </c>
      <c r="AI154" s="161">
        <v>1018.15</v>
      </c>
      <c r="AJ154" s="161"/>
      <c r="AK154" s="161"/>
      <c r="AL154" s="161"/>
      <c r="AM154" s="161"/>
      <c r="AN154" s="161"/>
      <c r="AO154" s="161"/>
      <c r="AP154" s="161"/>
      <c r="AQ154" s="161"/>
      <c r="AR154" s="161"/>
      <c r="AS154" s="161"/>
      <c r="AT154" s="161"/>
      <c r="AU154" s="161"/>
      <c r="AV154" s="161"/>
      <c r="AW154" s="161"/>
      <c r="AX154" s="161"/>
      <c r="AY154" s="161"/>
      <c r="AZ154" s="161"/>
      <c r="BA154" s="161"/>
      <c r="BB154" s="161"/>
      <c r="BC154" s="161"/>
      <c r="BD154" s="161"/>
      <c r="BE154" s="161"/>
      <c r="BF154" s="161"/>
      <c r="BG154" s="161"/>
      <c r="BH154" s="161"/>
      <c r="BI154" s="161"/>
      <c r="BJ154" s="161"/>
      <c r="BK154" s="161"/>
      <c r="BL154" s="161"/>
      <c r="BM154" s="161"/>
      <c r="BN154" s="161"/>
      <c r="BO154" s="161">
        <v>23.060400000000001</v>
      </c>
      <c r="BP154" s="161">
        <v>6.4272999999999998</v>
      </c>
      <c r="BQ154" s="161"/>
      <c r="BR154" s="169">
        <f t="shared" si="436"/>
        <v>23.060400000000001</v>
      </c>
      <c r="BS154" s="169">
        <f t="shared" si="437"/>
        <v>6.4272999999999998</v>
      </c>
      <c r="BT154" s="169"/>
      <c r="BU154" s="169">
        <v>45.658700000000003</v>
      </c>
      <c r="BV154" s="169">
        <v>12.374499999999999</v>
      </c>
      <c r="BW154" s="169">
        <f t="shared" si="438"/>
        <v>45.658700000000003</v>
      </c>
      <c r="BX154" s="169">
        <f>BV154</f>
        <v>12.374499999999999</v>
      </c>
      <c r="BY154" s="161"/>
      <c r="BZ154" s="161"/>
      <c r="CA154" s="161">
        <f>501.4889+4</f>
        <v>505.4889</v>
      </c>
      <c r="CB154" s="267">
        <v>31</v>
      </c>
      <c r="CC154" s="522">
        <f t="shared" si="400"/>
        <v>1406.72</v>
      </c>
    </row>
    <row r="155" spans="1:113" ht="15" customHeight="1" x14ac:dyDescent="0.25">
      <c r="A155" s="503"/>
      <c r="B155" s="130" t="s">
        <v>54</v>
      </c>
      <c r="C155" s="505"/>
      <c r="D155" s="362">
        <f t="shared" ref="D155" si="454">SUM(AH155:AX155)</f>
        <v>18254.193299999999</v>
      </c>
      <c r="E155" s="362">
        <f t="shared" ref="E155" si="455">SUM(AY155:BG155)</f>
        <v>0</v>
      </c>
      <c r="F155" s="59"/>
      <c r="G155" s="59">
        <f t="shared" ref="G155" si="456">SUM(BL155:BN155)</f>
        <v>0</v>
      </c>
      <c r="H155" s="59">
        <f t="shared" si="395"/>
        <v>23.060400000000001</v>
      </c>
      <c r="I155" s="59">
        <f t="shared" si="396"/>
        <v>23.060400000000001</v>
      </c>
      <c r="J155" s="59">
        <f t="shared" si="397"/>
        <v>45.658700000000003</v>
      </c>
      <c r="K155" s="60">
        <f t="shared" si="398"/>
        <v>45.658700000000003</v>
      </c>
      <c r="L155" s="375">
        <f t="shared" ref="L155" si="457">SUM(BY155:CB155)</f>
        <v>505.4889</v>
      </c>
      <c r="M155" s="387"/>
      <c r="N155" s="59"/>
      <c r="O155" s="59"/>
      <c r="P155" s="59"/>
      <c r="Q155" s="59"/>
      <c r="R155" s="59"/>
      <c r="S155" s="59"/>
      <c r="T155" s="59"/>
      <c r="U155" s="362"/>
      <c r="V155" s="64"/>
      <c r="W155" s="106"/>
      <c r="X155" s="59"/>
      <c r="Y155" s="59"/>
      <c r="Z155" s="59"/>
      <c r="AA155" s="59"/>
      <c r="AB155" s="59"/>
      <c r="AC155" s="59"/>
      <c r="AD155" s="59"/>
      <c r="AE155" s="140"/>
      <c r="AF155" s="64" t="str">
        <f>B155</f>
        <v>ahead</v>
      </c>
      <c r="AG155" s="452"/>
      <c r="AH155" s="59">
        <v>18254.193299999999</v>
      </c>
      <c r="AI155" s="59"/>
      <c r="AJ155" s="59"/>
      <c r="AK155" s="59"/>
      <c r="AL155" s="59"/>
      <c r="AM155" s="59"/>
      <c r="AN155" s="59"/>
      <c r="AO155" s="59"/>
      <c r="AP155" s="59"/>
      <c r="AQ155" s="59"/>
      <c r="AR155" s="59"/>
      <c r="AS155" s="59"/>
      <c r="AT155" s="59"/>
      <c r="AU155" s="59"/>
      <c r="AV155" s="59"/>
      <c r="AW155" s="59"/>
      <c r="AX155" s="59"/>
      <c r="AY155" s="59"/>
      <c r="AZ155" s="59"/>
      <c r="BA155" s="59"/>
      <c r="BB155" s="59"/>
      <c r="BC155" s="59"/>
      <c r="BD155" s="59"/>
      <c r="BE155" s="59"/>
      <c r="BF155" s="59"/>
      <c r="BG155" s="59"/>
      <c r="BH155" s="59"/>
      <c r="BI155" s="59"/>
      <c r="BJ155" s="59"/>
      <c r="BK155" s="59"/>
      <c r="BL155" s="59"/>
      <c r="BM155" s="59"/>
      <c r="BN155" s="59"/>
      <c r="BO155" s="161">
        <v>23.060400000000001</v>
      </c>
      <c r="BP155" s="59"/>
      <c r="BQ155" s="59"/>
      <c r="BR155" s="169">
        <f t="shared" si="436"/>
        <v>23.060400000000001</v>
      </c>
      <c r="BS155" s="82"/>
      <c r="BT155" s="82"/>
      <c r="BU155" s="169">
        <v>45.658700000000003</v>
      </c>
      <c r="BV155" s="82"/>
      <c r="BW155" s="82">
        <f t="shared" si="438"/>
        <v>45.658700000000003</v>
      </c>
      <c r="BX155" s="82"/>
      <c r="BY155" s="59"/>
      <c r="BZ155" s="59"/>
      <c r="CA155" s="161">
        <f>501.4889+4</f>
        <v>505.4889</v>
      </c>
      <c r="CB155" s="268"/>
      <c r="CC155" s="522"/>
    </row>
    <row r="156" spans="1:113" s="3" customFormat="1" ht="15" customHeight="1" thickBot="1" x14ac:dyDescent="0.3">
      <c r="A156" s="503"/>
      <c r="B156" s="144"/>
      <c r="C156" s="212">
        <v>1450</v>
      </c>
      <c r="D156" s="348">
        <f t="shared" si="416"/>
        <v>12594.8271</v>
      </c>
      <c r="E156" s="348">
        <f t="shared" si="417"/>
        <v>0</v>
      </c>
      <c r="F156" s="144"/>
      <c r="G156" s="144">
        <f t="shared" si="418"/>
        <v>0</v>
      </c>
      <c r="H156" s="144">
        <f t="shared" si="395"/>
        <v>23.059799999999999</v>
      </c>
      <c r="I156" s="144">
        <f t="shared" si="396"/>
        <v>23.059799999999999</v>
      </c>
      <c r="J156" s="144">
        <f t="shared" si="397"/>
        <v>45.661900000000003</v>
      </c>
      <c r="K156" s="159">
        <f t="shared" si="398"/>
        <v>45.661900000000003</v>
      </c>
      <c r="L156" s="351">
        <f t="shared" si="419"/>
        <v>408.4</v>
      </c>
      <c r="M156" s="354">
        <f>ROUNDUP(((D155+D156)*0.5)*(C156-C154)/27,0)</f>
        <v>24725</v>
      </c>
      <c r="N156" s="144">
        <f>ROUNDUP(((E155+E156)*0.5)*(C156-C154)/27,0)</f>
        <v>0</v>
      </c>
      <c r="O156" s="144"/>
      <c r="P156" s="144">
        <f>ROUNDUP(((G155+G156)*0.5)*(C156-C154)/27,0)</f>
        <v>0</v>
      </c>
      <c r="Q156" s="144">
        <f>ROUNDUP(((H156+H155)*0.5)*(C156-C154)/27,0)</f>
        <v>37</v>
      </c>
      <c r="R156" s="144">
        <f>ROUNDUP(((I156+I155)*0.5)*(C156-C154)/27,0)</f>
        <v>37</v>
      </c>
      <c r="S156" s="144">
        <f>ROUNDUP(((J156+J155)*0.5)*(C156-C154)/9,0)</f>
        <v>220</v>
      </c>
      <c r="T156" s="144">
        <f>ROUNDUP(((K156+K155)*0.5)*(C156-C154)/9,0)</f>
        <v>220</v>
      </c>
      <c r="U156" s="348">
        <f>ROUNDUP(((L156+L155)*0.5)*(C156-C154)/9,0)</f>
        <v>2198</v>
      </c>
      <c r="V156" s="154"/>
      <c r="W156" s="255">
        <f>M154+M155+M156</f>
        <v>29656</v>
      </c>
      <c r="X156" s="255">
        <f t="shared" ref="X156" si="458">N154+N155+N156</f>
        <v>0</v>
      </c>
      <c r="Y156" s="255"/>
      <c r="Z156" s="255">
        <f t="shared" ref="Z156" si="459">P154+P155+P156</f>
        <v>0</v>
      </c>
      <c r="AA156" s="255">
        <f t="shared" ref="AA156" si="460">Q154+Q155+Q156</f>
        <v>45</v>
      </c>
      <c r="AB156" s="255">
        <f t="shared" ref="AB156" si="461">R154+R155+R156</f>
        <v>45</v>
      </c>
      <c r="AC156" s="255">
        <f t="shared" ref="AC156" si="462">S154+S155+S156</f>
        <v>264</v>
      </c>
      <c r="AD156" s="255">
        <f t="shared" ref="AD156" si="463">T154+T155+T156</f>
        <v>264</v>
      </c>
      <c r="AE156" s="255">
        <f t="shared" ref="AE156" si="464">U154+U155+U156</f>
        <v>2616</v>
      </c>
      <c r="AF156" s="153"/>
      <c r="AG156" s="158">
        <f t="shared" si="435"/>
        <v>1450</v>
      </c>
      <c r="AH156" s="144">
        <v>12594.8271</v>
      </c>
      <c r="AI156" s="144"/>
      <c r="AJ156" s="144"/>
      <c r="AK156" s="144"/>
      <c r="AL156" s="144"/>
      <c r="AM156" s="144"/>
      <c r="AN156" s="144"/>
      <c r="AO156" s="144"/>
      <c r="AP156" s="144"/>
      <c r="AQ156" s="144"/>
      <c r="AR156" s="144"/>
      <c r="AS156" s="144"/>
      <c r="AT156" s="144"/>
      <c r="AU156" s="144"/>
      <c r="AV156" s="144"/>
      <c r="AW156" s="144"/>
      <c r="AX156" s="144"/>
      <c r="AY156" s="144"/>
      <c r="AZ156" s="144"/>
      <c r="BA156" s="144"/>
      <c r="BB156" s="144"/>
      <c r="BC156" s="144"/>
      <c r="BD156" s="144"/>
      <c r="BE156" s="144"/>
      <c r="BF156" s="144"/>
      <c r="BG156" s="144"/>
      <c r="BH156" s="144"/>
      <c r="BI156" s="144"/>
      <c r="BJ156" s="144"/>
      <c r="BK156" s="144"/>
      <c r="BL156" s="144"/>
      <c r="BM156" s="144"/>
      <c r="BN156" s="144"/>
      <c r="BO156" s="144">
        <v>23.059799999999999</v>
      </c>
      <c r="BP156" s="144"/>
      <c r="BQ156" s="144"/>
      <c r="BR156" s="144">
        <f t="shared" si="436"/>
        <v>23.059799999999999</v>
      </c>
      <c r="BS156" s="144"/>
      <c r="BT156" s="144"/>
      <c r="BU156" s="144">
        <v>45.661900000000003</v>
      </c>
      <c r="BV156" s="144"/>
      <c r="BW156" s="144">
        <f t="shared" si="438"/>
        <v>45.661900000000003</v>
      </c>
      <c r="BX156" s="144"/>
      <c r="BY156" s="144"/>
      <c r="BZ156" s="144"/>
      <c r="CA156" s="144"/>
      <c r="CB156">
        <f>404.4+4</f>
        <v>408.4</v>
      </c>
      <c r="CC156" s="1">
        <f t="shared" si="400"/>
        <v>1450</v>
      </c>
      <c r="CD156"/>
      <c r="CE156"/>
    </row>
    <row r="157" spans="1:113" ht="15" customHeight="1" x14ac:dyDescent="0.25">
      <c r="A157" s="503"/>
      <c r="B157" s="129"/>
      <c r="C157" s="210">
        <v>1500</v>
      </c>
      <c r="D157" s="349">
        <f t="shared" si="416"/>
        <v>8425.4825999999994</v>
      </c>
      <c r="E157" s="349">
        <f t="shared" si="417"/>
        <v>0</v>
      </c>
      <c r="F157" s="147"/>
      <c r="G157" s="147">
        <f t="shared" si="418"/>
        <v>0</v>
      </c>
      <c r="H157" s="147">
        <f t="shared" si="395"/>
        <v>23.059799999999999</v>
      </c>
      <c r="I157" s="147">
        <f t="shared" si="396"/>
        <v>23.059799999999999</v>
      </c>
      <c r="J157" s="147">
        <f t="shared" si="397"/>
        <v>45.661700000000003</v>
      </c>
      <c r="K157" s="156">
        <f t="shared" si="398"/>
        <v>45.661700000000003</v>
      </c>
      <c r="L157" s="352">
        <f t="shared" si="419"/>
        <v>335.1</v>
      </c>
      <c r="M157" s="355">
        <f>ROUNDUP(((D156+D157)*0.5)*(C157-C156)/27,0)</f>
        <v>19464</v>
      </c>
      <c r="N157" s="147">
        <f t="shared" si="421"/>
        <v>0</v>
      </c>
      <c r="O157" s="147"/>
      <c r="P157" s="147">
        <f t="shared" si="422"/>
        <v>0</v>
      </c>
      <c r="Q157" s="147">
        <f t="shared" si="423"/>
        <v>43</v>
      </c>
      <c r="R157" s="147">
        <f t="shared" si="424"/>
        <v>43</v>
      </c>
      <c r="S157" s="147">
        <f t="shared" si="425"/>
        <v>254</v>
      </c>
      <c r="T157" s="147">
        <f t="shared" si="426"/>
        <v>254</v>
      </c>
      <c r="U157" s="349">
        <f t="shared" si="427"/>
        <v>2066</v>
      </c>
      <c r="V157" s="56"/>
      <c r="W157" s="151"/>
      <c r="X157" s="147"/>
      <c r="Y157" s="147"/>
      <c r="Z157" s="147"/>
      <c r="AA157" s="147"/>
      <c r="AB157" s="147"/>
      <c r="AC157" s="147"/>
      <c r="AD157" s="147"/>
      <c r="AE157" s="148"/>
      <c r="AF157" s="55"/>
      <c r="AG157" s="155">
        <f t="shared" si="435"/>
        <v>1500</v>
      </c>
      <c r="AH157" s="147">
        <v>8425.4825999999994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  <c r="BI157" s="147"/>
      <c r="BJ157" s="147"/>
      <c r="BK157" s="147"/>
      <c r="BL157" s="147"/>
      <c r="BM157" s="147"/>
      <c r="BN157" s="147"/>
      <c r="BO157" s="147">
        <v>23.059799999999999</v>
      </c>
      <c r="BP157" s="147"/>
      <c r="BQ157" s="147"/>
      <c r="BR157" s="147">
        <f t="shared" si="436"/>
        <v>23.059799999999999</v>
      </c>
      <c r="BS157" s="147"/>
      <c r="BT157" s="147"/>
      <c r="BU157" s="147">
        <v>45.661700000000003</v>
      </c>
      <c r="BV157" s="147"/>
      <c r="BW157" s="147">
        <f t="shared" si="438"/>
        <v>45.661700000000003</v>
      </c>
      <c r="BX157" s="147"/>
      <c r="BY157" s="147"/>
      <c r="BZ157" s="147"/>
      <c r="CA157" s="147"/>
      <c r="CB157">
        <f>331.1+4</f>
        <v>335.1</v>
      </c>
      <c r="CC157" s="1">
        <f t="shared" si="400"/>
        <v>1500</v>
      </c>
    </row>
    <row r="158" spans="1:113" ht="15" customHeight="1" x14ac:dyDescent="0.25">
      <c r="A158" s="503"/>
      <c r="B158" s="130" t="s">
        <v>53</v>
      </c>
      <c r="C158" s="504">
        <v>1539</v>
      </c>
      <c r="D158" s="362">
        <f t="shared" ref="D158" si="465">SUM(AH158:AX158)</f>
        <v>6179.4114</v>
      </c>
      <c r="E158" s="362">
        <f t="shared" ref="E158" si="466">SUM(AY158:BG158)</f>
        <v>0</v>
      </c>
      <c r="F158" s="59"/>
      <c r="G158" s="59">
        <f t="shared" ref="G158" si="467">SUM(BL158:BN158)</f>
        <v>0</v>
      </c>
      <c r="H158" s="59">
        <f t="shared" si="395"/>
        <v>23.0596</v>
      </c>
      <c r="I158" s="59">
        <f t="shared" si="396"/>
        <v>23.0596</v>
      </c>
      <c r="J158" s="59">
        <f t="shared" si="397"/>
        <v>45.661299999999997</v>
      </c>
      <c r="K158" s="60">
        <f t="shared" si="398"/>
        <v>45.661299999999997</v>
      </c>
      <c r="L158" s="375">
        <f t="shared" ref="L158" si="468">SUM(BY158:CB158)</f>
        <v>271.54109999999997</v>
      </c>
      <c r="M158" s="387">
        <f>ROUNDUP(((D157+D158)*0.5)*(C158-C157)/27,0)</f>
        <v>10548</v>
      </c>
      <c r="N158" s="59">
        <f>ROUNDUP(((E157+E158)*0.5)*(C158-C157)/27,0)</f>
        <v>0</v>
      </c>
      <c r="O158" s="59"/>
      <c r="P158" s="59">
        <f>ROUNDUP(((G157+G158)*0.5)*(C158-C157)/27,0)</f>
        <v>0</v>
      </c>
      <c r="Q158" s="59">
        <f>ROUNDUP(((H158+H157)*0.5)*(C158-C157)/27,0)</f>
        <v>34</v>
      </c>
      <c r="R158" s="59">
        <f>ROUNDUP(((I158+I157)*0.5)*(C158-C157)/27,0)</f>
        <v>34</v>
      </c>
      <c r="S158" s="59">
        <f>ROUNDUP(((J158+J157)*0.5)*(C158-C157)/9,0)</f>
        <v>198</v>
      </c>
      <c r="T158" s="59">
        <f>ROUNDUP(((K158+K157)*0.5)*(C158-C157)/9,0)</f>
        <v>198</v>
      </c>
      <c r="U158" s="362">
        <f>ROUNDUP(((L158+L157)*0.5)*(C158-C157)/9,0)</f>
        <v>1315</v>
      </c>
      <c r="V158" s="64"/>
      <c r="W158" s="106"/>
      <c r="X158" s="59"/>
      <c r="Y158" s="59"/>
      <c r="Z158" s="59"/>
      <c r="AA158" s="59"/>
      <c r="AB158" s="59"/>
      <c r="AC158" s="59"/>
      <c r="AD158" s="59"/>
      <c r="AE158" s="140"/>
      <c r="AF158" s="64" t="str">
        <f>B158</f>
        <v>back</v>
      </c>
      <c r="AG158" s="451">
        <f t="shared" ref="AG158" si="469">C158</f>
        <v>1539</v>
      </c>
      <c r="AH158" s="59">
        <v>6179.4114</v>
      </c>
      <c r="AI158" s="59"/>
      <c r="AJ158" s="59"/>
      <c r="AK158" s="59"/>
      <c r="AL158" s="59"/>
      <c r="AM158" s="59"/>
      <c r="AN158" s="59"/>
      <c r="AO158" s="59"/>
      <c r="AP158" s="59"/>
      <c r="AQ158" s="59"/>
      <c r="AR158" s="59"/>
      <c r="AS158" s="59"/>
      <c r="AT158" s="59"/>
      <c r="AU158" s="59"/>
      <c r="AV158" s="59"/>
      <c r="AW158" s="59"/>
      <c r="AX158" s="59"/>
      <c r="AY158" s="59"/>
      <c r="AZ158" s="59"/>
      <c r="BA158" s="59"/>
      <c r="BB158" s="59"/>
      <c r="BC158" s="59"/>
      <c r="BD158" s="59"/>
      <c r="BE158" s="59"/>
      <c r="BF158" s="59"/>
      <c r="BG158" s="59"/>
      <c r="BH158" s="59"/>
      <c r="BI158" s="59"/>
      <c r="BJ158" s="59"/>
      <c r="BK158" s="59"/>
      <c r="BL158" s="59"/>
      <c r="BM158" s="59"/>
      <c r="BN158" s="59"/>
      <c r="BO158" s="59">
        <v>23.0596</v>
      </c>
      <c r="BP158" s="59"/>
      <c r="BQ158" s="59"/>
      <c r="BR158" s="82">
        <f t="shared" si="436"/>
        <v>23.0596</v>
      </c>
      <c r="BS158" s="82"/>
      <c r="BT158" s="82"/>
      <c r="BU158" s="82">
        <v>45.661299999999997</v>
      </c>
      <c r="BV158" s="82"/>
      <c r="BW158" s="82">
        <f t="shared" si="438"/>
        <v>45.661299999999997</v>
      </c>
      <c r="BX158" s="82"/>
      <c r="BY158" s="59"/>
      <c r="BZ158" s="59"/>
      <c r="CA158" s="59">
        <f>267.5411+4</f>
        <v>271.54109999999997</v>
      </c>
      <c r="CB158" s="268"/>
      <c r="CC158" s="522">
        <f t="shared" si="400"/>
        <v>1539</v>
      </c>
    </row>
    <row r="159" spans="1:113" s="3" customFormat="1" ht="15" customHeight="1" thickBot="1" x14ac:dyDescent="0.3">
      <c r="A159" s="503"/>
      <c r="B159" s="249" t="s">
        <v>54</v>
      </c>
      <c r="C159" s="505"/>
      <c r="D159" s="363">
        <f t="shared" si="416"/>
        <v>6733.9712</v>
      </c>
      <c r="E159" s="363">
        <f t="shared" si="417"/>
        <v>0</v>
      </c>
      <c r="F159" s="184"/>
      <c r="G159" s="184">
        <f t="shared" si="418"/>
        <v>0</v>
      </c>
      <c r="H159" s="184">
        <f>SUM(BO159:BQ159)</f>
        <v>25.8048</v>
      </c>
      <c r="I159" s="184">
        <f t="shared" si="396"/>
        <v>25.8048</v>
      </c>
      <c r="J159" s="184">
        <f t="shared" si="397"/>
        <v>50.678600000000003</v>
      </c>
      <c r="K159" s="215">
        <f t="shared" si="398"/>
        <v>50.678600000000003</v>
      </c>
      <c r="L159" s="376">
        <f t="shared" si="419"/>
        <v>348.54109999999997</v>
      </c>
      <c r="M159" s="388"/>
      <c r="N159" s="184"/>
      <c r="O159" s="184"/>
      <c r="P159" s="184"/>
      <c r="Q159" s="184"/>
      <c r="R159" s="184"/>
      <c r="S159" s="184"/>
      <c r="T159" s="184"/>
      <c r="U159" s="363"/>
      <c r="V159" s="250"/>
      <c r="W159" s="255">
        <f>M157+M158+M159</f>
        <v>30012</v>
      </c>
      <c r="X159" s="255">
        <f t="shared" ref="X159" si="470">N157+N158+N159</f>
        <v>0</v>
      </c>
      <c r="Y159" s="255"/>
      <c r="Z159" s="255">
        <f t="shared" ref="Z159" si="471">P157+P158+P159</f>
        <v>0</v>
      </c>
      <c r="AA159" s="255">
        <f t="shared" ref="AA159" si="472">Q157+Q158+Q159</f>
        <v>77</v>
      </c>
      <c r="AB159" s="255">
        <f t="shared" ref="AB159" si="473">R157+R158+R159</f>
        <v>77</v>
      </c>
      <c r="AC159" s="255">
        <f t="shared" ref="AC159" si="474">S157+S158+S159</f>
        <v>452</v>
      </c>
      <c r="AD159" s="255">
        <f t="shared" ref="AD159" si="475">T157+T158+T159</f>
        <v>452</v>
      </c>
      <c r="AE159" s="255">
        <f t="shared" ref="AE159" si="476">U157+U158+U159</f>
        <v>3381</v>
      </c>
      <c r="AF159" s="250" t="str">
        <f>B159</f>
        <v>ahead</v>
      </c>
      <c r="AG159" s="452"/>
      <c r="AH159" s="184">
        <v>6179.4114</v>
      </c>
      <c r="AI159" s="184">
        <v>554.5598</v>
      </c>
      <c r="AJ159" s="184"/>
      <c r="AK159" s="184"/>
      <c r="AL159" s="184"/>
      <c r="AM159" s="184"/>
      <c r="AN159" s="184"/>
      <c r="AO159" s="184"/>
      <c r="AP159" s="184"/>
      <c r="AQ159" s="184"/>
      <c r="AR159" s="184"/>
      <c r="AS159" s="184"/>
      <c r="AT159" s="184"/>
      <c r="AU159" s="184"/>
      <c r="AV159" s="184"/>
      <c r="AW159" s="184"/>
      <c r="AX159" s="184"/>
      <c r="AY159" s="184"/>
      <c r="AZ159" s="184"/>
      <c r="BA159" s="184"/>
      <c r="BB159" s="184"/>
      <c r="BC159" s="184"/>
      <c r="BD159" s="184"/>
      <c r="BE159" s="184"/>
      <c r="BF159" s="184"/>
      <c r="BG159" s="184"/>
      <c r="BH159" s="184"/>
      <c r="BI159" s="184"/>
      <c r="BJ159" s="184"/>
      <c r="BK159" s="184"/>
      <c r="BL159" s="184"/>
      <c r="BM159" s="184"/>
      <c r="BN159" s="184"/>
      <c r="BO159" s="184">
        <v>23.0596</v>
      </c>
      <c r="BP159" s="184">
        <v>2.7452000000000001</v>
      </c>
      <c r="BQ159" s="184"/>
      <c r="BR159" s="173">
        <f t="shared" si="436"/>
        <v>23.0596</v>
      </c>
      <c r="BS159" s="173">
        <f t="shared" si="437"/>
        <v>2.7452000000000001</v>
      </c>
      <c r="BT159" s="173"/>
      <c r="BU159" s="173">
        <v>45.661000000000001</v>
      </c>
      <c r="BV159" s="173">
        <v>5.0175999999999998</v>
      </c>
      <c r="BW159" s="173">
        <f t="shared" si="438"/>
        <v>45.661000000000001</v>
      </c>
      <c r="BX159" s="173">
        <f>BV159</f>
        <v>5.0175999999999998</v>
      </c>
      <c r="BY159" s="184"/>
      <c r="BZ159" s="184"/>
      <c r="CA159" s="59">
        <f>267.5411+4</f>
        <v>271.54109999999997</v>
      </c>
      <c r="CB159" s="268">
        <v>77</v>
      </c>
      <c r="CC159" s="522"/>
      <c r="CD159"/>
      <c r="CE159"/>
    </row>
    <row r="160" spans="1:113" ht="15" customHeight="1" x14ac:dyDescent="0.25">
      <c r="A160" s="503"/>
      <c r="B160" s="129"/>
      <c r="C160" s="210">
        <v>1550</v>
      </c>
      <c r="D160" s="349">
        <f>SUM(AH160:AX160)</f>
        <v>6181.6269000000002</v>
      </c>
      <c r="E160" s="349">
        <f t="shared" ref="E160" si="477">SUM(AY160:BG160)</f>
        <v>4.2222</v>
      </c>
      <c r="F160" s="147"/>
      <c r="G160" s="147">
        <f t="shared" ref="G160" si="478">SUM(BL160:BN160)</f>
        <v>0</v>
      </c>
      <c r="H160" s="147">
        <f t="shared" si="395"/>
        <v>25.354299999999999</v>
      </c>
      <c r="I160" s="147">
        <f t="shared" si="396"/>
        <v>25.354299999999999</v>
      </c>
      <c r="J160" s="147">
        <f t="shared" si="397"/>
        <v>49.775399999999998</v>
      </c>
      <c r="K160" s="156">
        <f t="shared" si="398"/>
        <v>49.775399999999998</v>
      </c>
      <c r="L160" s="352">
        <f t="shared" ref="L160" si="479">SUM(BY160:CB160)</f>
        <v>330.9316</v>
      </c>
      <c r="M160" s="355">
        <f>ROUNDUP(((D159+D160)*0.5)*(C160-C158)/27,0)</f>
        <v>2631</v>
      </c>
      <c r="N160" s="147">
        <f>ROUNDUP(((E159+E160)*0.5)*(C160-C158)/27,0)</f>
        <v>1</v>
      </c>
      <c r="O160" s="147"/>
      <c r="P160" s="147">
        <f>ROUNDUP(((G159+G160)*0.5)*(C160-C158)/27,0)</f>
        <v>0</v>
      </c>
      <c r="Q160" s="147">
        <f>ROUNDUP(((H160+H159)*0.5)*(C160-C158)/27,0)</f>
        <v>11</v>
      </c>
      <c r="R160" s="147">
        <f>ROUNDUP(((I160+I159)*0.5)*(C160-C158)/27,0)</f>
        <v>11</v>
      </c>
      <c r="S160" s="147">
        <f>ROUNDUP(((J160+J159)*0.5)*(C160-C158)/9,0)</f>
        <v>62</v>
      </c>
      <c r="T160" s="147">
        <f>ROUNDUP(((K160+K159)*0.5)*(C160-C158)/9,0)</f>
        <v>62</v>
      </c>
      <c r="U160" s="349">
        <f>ROUNDUP(((L160+L159)*0.5)*(C160-C158)/9,0)</f>
        <v>416</v>
      </c>
      <c r="V160" s="56"/>
      <c r="W160" s="151"/>
      <c r="X160" s="147"/>
      <c r="Y160" s="147"/>
      <c r="Z160" s="147"/>
      <c r="AA160" s="147"/>
      <c r="AB160" s="147"/>
      <c r="AC160" s="147"/>
      <c r="AD160" s="147"/>
      <c r="AE160" s="148"/>
      <c r="AF160" s="55"/>
      <c r="AG160" s="155">
        <f t="shared" ref="AG160" si="480">C160</f>
        <v>1550</v>
      </c>
      <c r="AH160" s="147">
        <v>6181.6269000000002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>
        <v>4.2222</v>
      </c>
      <c r="AZ160" s="147"/>
      <c r="BA160" s="147"/>
      <c r="BB160" s="147"/>
      <c r="BC160" s="147"/>
      <c r="BD160" s="147"/>
      <c r="BE160" s="147"/>
      <c r="BF160" s="147"/>
      <c r="BG160" s="147"/>
      <c r="BH160" s="147"/>
      <c r="BI160" s="147"/>
      <c r="BJ160" s="147"/>
      <c r="BK160" s="147"/>
      <c r="BL160" s="147"/>
      <c r="BM160" s="147"/>
      <c r="BN160" s="147"/>
      <c r="BO160" s="147">
        <v>25.354299999999999</v>
      </c>
      <c r="BP160" s="147"/>
      <c r="BQ160" s="147"/>
      <c r="BR160" s="147">
        <f t="shared" si="436"/>
        <v>25.354299999999999</v>
      </c>
      <c r="BS160" s="147"/>
      <c r="BT160" s="147"/>
      <c r="BU160" s="147">
        <v>49.775399999999998</v>
      </c>
      <c r="BV160" s="147"/>
      <c r="BW160" s="147">
        <f t="shared" si="438"/>
        <v>49.775399999999998</v>
      </c>
      <c r="BX160" s="147"/>
      <c r="BY160" s="147"/>
      <c r="BZ160" s="147"/>
      <c r="CA160" s="147"/>
      <c r="CB160">
        <f>326.9316+4</f>
        <v>330.9316</v>
      </c>
      <c r="CC160" s="1">
        <f t="shared" si="400"/>
        <v>1550</v>
      </c>
    </row>
    <row r="161" spans="1:83" s="3" customFormat="1" ht="15" customHeight="1" thickBot="1" x14ac:dyDescent="0.3">
      <c r="A161" s="503"/>
      <c r="B161" s="251"/>
      <c r="C161" s="212">
        <v>1600</v>
      </c>
      <c r="D161" s="348">
        <f t="shared" si="416"/>
        <v>3612.9888999999998</v>
      </c>
      <c r="E161" s="348">
        <f t="shared" si="417"/>
        <v>0</v>
      </c>
      <c r="F161" s="144"/>
      <c r="G161" s="144">
        <f t="shared" si="418"/>
        <v>0</v>
      </c>
      <c r="H161" s="144">
        <f t="shared" si="395"/>
        <v>23.508700000000001</v>
      </c>
      <c r="I161" s="144">
        <f t="shared" si="396"/>
        <v>23.508700000000001</v>
      </c>
      <c r="J161" s="144">
        <f t="shared" si="397"/>
        <v>46.079700000000003</v>
      </c>
      <c r="K161" s="159">
        <f t="shared" si="398"/>
        <v>46.079700000000003</v>
      </c>
      <c r="L161" s="351">
        <f t="shared" si="419"/>
        <v>240.6</v>
      </c>
      <c r="M161" s="354">
        <f t="shared" ref="M161:M162" si="481">ROUNDUP(((D160+D161)*0.5)*(C161-C160)/27,0)</f>
        <v>9070</v>
      </c>
      <c r="N161" s="144">
        <f t="shared" ref="N161:N162" si="482">ROUNDUP(((E160+E161)*0.5)*(C161-C160)/27,0)</f>
        <v>4</v>
      </c>
      <c r="O161" s="144"/>
      <c r="P161" s="144">
        <f t="shared" ref="P161:P162" si="483">ROUNDUP(((G160+G161)*0.5)*(C161-C160)/27,0)</f>
        <v>0</v>
      </c>
      <c r="Q161" s="144">
        <f t="shared" ref="Q161:Q162" si="484">ROUNDUP(((H161+H160)*0.5)*(C161-C160)/27,0)</f>
        <v>46</v>
      </c>
      <c r="R161" s="144">
        <f t="shared" ref="R161:R162" si="485">ROUNDUP(((I161+I160)*0.5)*(C161-C160)/27,0)</f>
        <v>46</v>
      </c>
      <c r="S161" s="144">
        <f t="shared" ref="S161:S162" si="486">ROUNDUP(((J161+J160)*0.5)*(C161-C160)/9,0)</f>
        <v>267</v>
      </c>
      <c r="T161" s="144">
        <f t="shared" ref="T161:T162" si="487">ROUNDUP(((K161+K160)*0.5)*(C161-C160)/9,0)</f>
        <v>267</v>
      </c>
      <c r="U161" s="348">
        <f t="shared" ref="U161:U162" si="488">ROUNDUP(((L161+L160)*0.5)*(C161-C160)/9,0)</f>
        <v>1588</v>
      </c>
      <c r="V161" s="154"/>
      <c r="W161" s="255">
        <f>M160+M161</f>
        <v>11701</v>
      </c>
      <c r="X161" s="255">
        <f t="shared" ref="X161" si="489">N160+N161</f>
        <v>5</v>
      </c>
      <c r="Y161" s="255"/>
      <c r="Z161" s="255">
        <f t="shared" ref="Z161" si="490">P160+P161</f>
        <v>0</v>
      </c>
      <c r="AA161" s="255">
        <f t="shared" ref="AA161" si="491">Q160+Q161</f>
        <v>57</v>
      </c>
      <c r="AB161" s="255">
        <f t="shared" ref="AB161" si="492">R160+R161</f>
        <v>57</v>
      </c>
      <c r="AC161" s="255">
        <f t="shared" ref="AC161" si="493">S160+S161</f>
        <v>329</v>
      </c>
      <c r="AD161" s="255">
        <f t="shared" ref="AD161" si="494">T160+T161</f>
        <v>329</v>
      </c>
      <c r="AE161" s="255">
        <f t="shared" ref="AE161" si="495">U160+U161</f>
        <v>2004</v>
      </c>
      <c r="AF161" s="153"/>
      <c r="AG161" s="158">
        <f t="shared" si="435"/>
        <v>1600</v>
      </c>
      <c r="AH161" s="144">
        <v>3612.9888999999998</v>
      </c>
      <c r="AI161" s="144"/>
      <c r="AJ161" s="144"/>
      <c r="AK161" s="144"/>
      <c r="AL161" s="144"/>
      <c r="AM161" s="144"/>
      <c r="AN161" s="144"/>
      <c r="AO161" s="144"/>
      <c r="AP161" s="144"/>
      <c r="AQ161" s="144"/>
      <c r="AR161" s="144"/>
      <c r="AS161" s="144"/>
      <c r="AT161" s="144"/>
      <c r="AU161" s="144"/>
      <c r="AV161" s="144"/>
      <c r="AW161" s="144"/>
      <c r="AX161" s="144"/>
      <c r="AY161" s="144"/>
      <c r="AZ161" s="144"/>
      <c r="BA161" s="144"/>
      <c r="BB161" s="144"/>
      <c r="BC161" s="144"/>
      <c r="BD161" s="144"/>
      <c r="BE161" s="144"/>
      <c r="BF161" s="144"/>
      <c r="BG161" s="144"/>
      <c r="BH161" s="144"/>
      <c r="BI161" s="144"/>
      <c r="BJ161" s="144"/>
      <c r="BK161" s="144"/>
      <c r="BL161" s="144"/>
      <c r="BM161" s="144"/>
      <c r="BN161" s="144"/>
      <c r="BO161" s="144">
        <v>23.508700000000001</v>
      </c>
      <c r="BP161" s="144"/>
      <c r="BQ161" s="144"/>
      <c r="BR161" s="144">
        <f t="shared" si="436"/>
        <v>23.508700000000001</v>
      </c>
      <c r="BS161" s="144"/>
      <c r="BT161" s="144"/>
      <c r="BU161" s="144">
        <v>46.079700000000003</v>
      </c>
      <c r="BV161" s="144"/>
      <c r="BW161" s="144">
        <f t="shared" si="438"/>
        <v>46.079700000000003</v>
      </c>
      <c r="BX161" s="144"/>
      <c r="BY161" s="144"/>
      <c r="BZ161" s="144"/>
      <c r="CA161" s="144"/>
      <c r="CB161">
        <f>232.6+8</f>
        <v>240.6</v>
      </c>
      <c r="CC161" s="1">
        <f t="shared" si="400"/>
        <v>1600</v>
      </c>
      <c r="CD161"/>
      <c r="CE161"/>
    </row>
    <row r="162" spans="1:83" ht="15" customHeight="1" x14ac:dyDescent="0.25">
      <c r="A162" s="503"/>
      <c r="B162" s="129"/>
      <c r="C162" s="210">
        <v>1650</v>
      </c>
      <c r="D162" s="349">
        <f t="shared" si="416"/>
        <v>1738.0636</v>
      </c>
      <c r="E162" s="349">
        <f t="shared" si="417"/>
        <v>102.7577</v>
      </c>
      <c r="F162" s="147"/>
      <c r="G162" s="147">
        <f t="shared" si="418"/>
        <v>0</v>
      </c>
      <c r="H162" s="147">
        <f t="shared" si="395"/>
        <v>21.790199999999999</v>
      </c>
      <c r="I162" s="147">
        <f t="shared" si="396"/>
        <v>21.790199999999999</v>
      </c>
      <c r="J162" s="147">
        <f t="shared" si="397"/>
        <v>43.573099999999997</v>
      </c>
      <c r="K162" s="156">
        <f t="shared" si="398"/>
        <v>43.573099999999997</v>
      </c>
      <c r="L162" s="352">
        <f t="shared" si="419"/>
        <v>194.0642</v>
      </c>
      <c r="M162" s="355">
        <f t="shared" si="481"/>
        <v>4955</v>
      </c>
      <c r="N162" s="147">
        <f t="shared" si="482"/>
        <v>96</v>
      </c>
      <c r="O162" s="147"/>
      <c r="P162" s="147">
        <f t="shared" si="483"/>
        <v>0</v>
      </c>
      <c r="Q162" s="147">
        <f t="shared" si="484"/>
        <v>42</v>
      </c>
      <c r="R162" s="147">
        <f t="shared" si="485"/>
        <v>42</v>
      </c>
      <c r="S162" s="147">
        <f t="shared" si="486"/>
        <v>250</v>
      </c>
      <c r="T162" s="147">
        <f t="shared" si="487"/>
        <v>250</v>
      </c>
      <c r="U162" s="349">
        <f t="shared" si="488"/>
        <v>1208</v>
      </c>
      <c r="V162" s="56"/>
      <c r="W162" s="151"/>
      <c r="X162" s="147"/>
      <c r="Y162" s="147"/>
      <c r="Z162" s="147"/>
      <c r="AA162" s="147"/>
      <c r="AB162" s="147"/>
      <c r="AC162" s="147"/>
      <c r="AD162" s="147"/>
      <c r="AE162" s="148"/>
      <c r="AF162" s="55"/>
      <c r="AG162" s="155">
        <f t="shared" si="435"/>
        <v>1650</v>
      </c>
      <c r="AH162" s="147">
        <v>1738.0636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>
        <v>97.483999999999995</v>
      </c>
      <c r="AZ162" s="147">
        <v>5.2736999999999998</v>
      </c>
      <c r="BA162" s="147"/>
      <c r="BB162" s="147"/>
      <c r="BC162" s="147"/>
      <c r="BD162" s="147"/>
      <c r="BE162" s="147"/>
      <c r="BF162" s="147"/>
      <c r="BG162" s="147"/>
      <c r="BH162" s="147"/>
      <c r="BI162" s="147"/>
      <c r="BJ162" s="147"/>
      <c r="BK162" s="147"/>
      <c r="BL162" s="147"/>
      <c r="BM162" s="147"/>
      <c r="BN162" s="147"/>
      <c r="BO162" s="147">
        <v>21.790199999999999</v>
      </c>
      <c r="BP162" s="147"/>
      <c r="BQ162" s="147"/>
      <c r="BR162" s="147">
        <f t="shared" si="436"/>
        <v>21.790199999999999</v>
      </c>
      <c r="BS162" s="147"/>
      <c r="BT162" s="147"/>
      <c r="BU162" s="147">
        <v>43.573099999999997</v>
      </c>
      <c r="BV162" s="147"/>
      <c r="BW162" s="147">
        <f t="shared" si="438"/>
        <v>43.573099999999997</v>
      </c>
      <c r="BX162" s="147"/>
      <c r="BY162" s="147"/>
      <c r="BZ162" s="147"/>
      <c r="CA162" s="147"/>
      <c r="CB162">
        <f>186.0642+8</f>
        <v>194.0642</v>
      </c>
      <c r="CC162" s="1">
        <f t="shared" si="400"/>
        <v>1650</v>
      </c>
    </row>
    <row r="163" spans="1:83" ht="15" customHeight="1" x14ac:dyDescent="0.25">
      <c r="A163" s="503"/>
      <c r="B163" s="130" t="s">
        <v>53</v>
      </c>
      <c r="C163" s="504">
        <v>1680.44</v>
      </c>
      <c r="D163" s="362">
        <f t="shared" si="416"/>
        <v>746.09699999999998</v>
      </c>
      <c r="E163" s="362">
        <f t="shared" si="417"/>
        <v>18.072600000000001</v>
      </c>
      <c r="F163" s="59"/>
      <c r="G163" s="59">
        <f t="shared" si="418"/>
        <v>0</v>
      </c>
      <c r="H163" s="59">
        <f t="shared" si="395"/>
        <v>0</v>
      </c>
      <c r="I163" s="59">
        <f t="shared" si="396"/>
        <v>0</v>
      </c>
      <c r="J163" s="59">
        <f t="shared" si="397"/>
        <v>0</v>
      </c>
      <c r="K163" s="60">
        <f t="shared" si="398"/>
        <v>0</v>
      </c>
      <c r="L163" s="375">
        <f t="shared" si="419"/>
        <v>96.762600000000006</v>
      </c>
      <c r="M163" s="387">
        <f t="shared" si="420"/>
        <v>1401</v>
      </c>
      <c r="N163" s="59">
        <f t="shared" si="421"/>
        <v>69</v>
      </c>
      <c r="O163" s="59"/>
      <c r="P163" s="59">
        <f t="shared" si="422"/>
        <v>0</v>
      </c>
      <c r="Q163" s="59">
        <f t="shared" si="423"/>
        <v>13</v>
      </c>
      <c r="R163" s="59">
        <f t="shared" si="424"/>
        <v>13</v>
      </c>
      <c r="S163" s="59">
        <f t="shared" si="425"/>
        <v>74</v>
      </c>
      <c r="T163" s="59">
        <f t="shared" si="426"/>
        <v>74</v>
      </c>
      <c r="U163" s="362">
        <f t="shared" si="427"/>
        <v>492</v>
      </c>
      <c r="V163" s="64"/>
      <c r="W163" s="106"/>
      <c r="X163" s="59"/>
      <c r="Y163" s="59"/>
      <c r="Z163" s="59"/>
      <c r="AA163" s="59"/>
      <c r="AB163" s="59"/>
      <c r="AC163" s="59"/>
      <c r="AD163" s="59"/>
      <c r="AE163" s="140"/>
      <c r="AF163" s="64" t="str">
        <f>B163</f>
        <v>back</v>
      </c>
      <c r="AG163" s="451">
        <f t="shared" si="435"/>
        <v>1680.44</v>
      </c>
      <c r="AH163" s="59">
        <v>652.27829999999994</v>
      </c>
      <c r="AI163" s="59">
        <v>93.818700000000007</v>
      </c>
      <c r="AJ163" s="59"/>
      <c r="AK163" s="59"/>
      <c r="AL163" s="59"/>
      <c r="AM163" s="59"/>
      <c r="AN163" s="59"/>
      <c r="AO163" s="59"/>
      <c r="AP163" s="59"/>
      <c r="AQ163" s="59"/>
      <c r="AR163" s="59"/>
      <c r="AS163" s="59"/>
      <c r="AT163" s="59"/>
      <c r="AU163" s="59"/>
      <c r="AV163" s="59"/>
      <c r="AW163" s="59"/>
      <c r="AX163" s="59"/>
      <c r="AY163" s="59">
        <v>18.072600000000001</v>
      </c>
      <c r="AZ163" s="59"/>
      <c r="BA163" s="59"/>
      <c r="BB163" s="59"/>
      <c r="BC163" s="59"/>
      <c r="BD163" s="59"/>
      <c r="BE163" s="59"/>
      <c r="BF163" s="59"/>
      <c r="BG163" s="59"/>
      <c r="BH163" s="59"/>
      <c r="BI163" s="59"/>
      <c r="BJ163" s="59"/>
      <c r="BK163" s="59"/>
      <c r="BL163" s="59"/>
      <c r="BM163" s="59"/>
      <c r="BN163" s="59"/>
      <c r="BO163" s="59"/>
      <c r="BP163" s="59"/>
      <c r="BQ163" s="59"/>
      <c r="BR163" s="59"/>
      <c r="BS163" s="59"/>
      <c r="BT163" s="59"/>
      <c r="BU163" s="59"/>
      <c r="BV163" s="59"/>
      <c r="BW163" s="59"/>
      <c r="BX163" s="59"/>
      <c r="BY163" s="59"/>
      <c r="BZ163" s="59"/>
      <c r="CA163" s="59">
        <f>92.7626+4</f>
        <v>96.762600000000006</v>
      </c>
      <c r="CB163" s="268">
        <v>0</v>
      </c>
      <c r="CC163" s="522">
        <f t="shared" si="400"/>
        <v>1680.44</v>
      </c>
    </row>
    <row r="164" spans="1:83" ht="15" customHeight="1" x14ac:dyDescent="0.25">
      <c r="A164" s="503"/>
      <c r="B164" s="130" t="s">
        <v>54</v>
      </c>
      <c r="C164" s="505"/>
      <c r="D164" s="362">
        <f t="shared" si="416"/>
        <v>93.818700000000007</v>
      </c>
      <c r="E164" s="362">
        <f t="shared" si="417"/>
        <v>18.072600000000001</v>
      </c>
      <c r="F164" s="59"/>
      <c r="G164" s="59">
        <f t="shared" si="418"/>
        <v>0</v>
      </c>
      <c r="H164" s="59">
        <f t="shared" si="395"/>
        <v>0</v>
      </c>
      <c r="I164" s="59">
        <f t="shared" si="396"/>
        <v>0</v>
      </c>
      <c r="J164" s="59">
        <f t="shared" si="397"/>
        <v>0</v>
      </c>
      <c r="K164" s="60">
        <f t="shared" si="398"/>
        <v>0</v>
      </c>
      <c r="L164" s="375">
        <f t="shared" si="419"/>
        <v>0</v>
      </c>
      <c r="M164" s="387"/>
      <c r="N164" s="59"/>
      <c r="O164" s="59"/>
      <c r="P164" s="59"/>
      <c r="Q164" s="59"/>
      <c r="R164" s="59"/>
      <c r="S164" s="59"/>
      <c r="T164" s="59"/>
      <c r="U164" s="362"/>
      <c r="V164" s="64"/>
      <c r="W164" s="106"/>
      <c r="X164" s="59"/>
      <c r="Y164" s="59"/>
      <c r="Z164" s="59"/>
      <c r="AA164" s="59"/>
      <c r="AB164" s="59"/>
      <c r="AC164" s="59"/>
      <c r="AD164" s="59"/>
      <c r="AE164" s="140"/>
      <c r="AF164" s="64" t="str">
        <f>B164</f>
        <v>ahead</v>
      </c>
      <c r="AG164" s="452"/>
      <c r="AH164" s="59"/>
      <c r="AI164" s="59">
        <v>93.818700000000007</v>
      </c>
      <c r="AJ164" s="59"/>
      <c r="AK164" s="59"/>
      <c r="AL164" s="59"/>
      <c r="AM164" s="59"/>
      <c r="AN164" s="59"/>
      <c r="AO164" s="59"/>
      <c r="AP164" s="59"/>
      <c r="AQ164" s="59"/>
      <c r="AR164" s="59"/>
      <c r="AS164" s="59"/>
      <c r="AT164" s="59"/>
      <c r="AU164" s="59"/>
      <c r="AV164" s="59"/>
      <c r="AW164" s="59"/>
      <c r="AX164" s="59"/>
      <c r="AY164" s="59">
        <v>18.072600000000001</v>
      </c>
      <c r="AZ164" s="59"/>
      <c r="BA164" s="59"/>
      <c r="BB164" s="59"/>
      <c r="BC164" s="59"/>
      <c r="BD164" s="59"/>
      <c r="BE164" s="59"/>
      <c r="BF164" s="59"/>
      <c r="BG164" s="59"/>
      <c r="BH164" s="59"/>
      <c r="BI164" s="59"/>
      <c r="BJ164" s="59"/>
      <c r="BK164" s="59"/>
      <c r="BL164" s="59"/>
      <c r="BM164" s="59"/>
      <c r="BN164" s="59"/>
      <c r="BO164" s="59"/>
      <c r="BP164" s="59"/>
      <c r="BQ164" s="59"/>
      <c r="BR164" s="59"/>
      <c r="BS164" s="59"/>
      <c r="BT164" s="59"/>
      <c r="BU164" s="59"/>
      <c r="BV164" s="59"/>
      <c r="BW164" s="59"/>
      <c r="BX164" s="59"/>
      <c r="BY164" s="59"/>
      <c r="BZ164" s="59"/>
      <c r="CA164" s="59"/>
      <c r="CB164" s="268"/>
      <c r="CC164" s="522"/>
    </row>
    <row r="165" spans="1:83" x14ac:dyDescent="0.25">
      <c r="A165" s="503"/>
      <c r="C165" s="121">
        <v>1700</v>
      </c>
      <c r="D165" s="347">
        <f t="shared" si="416"/>
        <v>24.180700000000002</v>
      </c>
      <c r="E165" s="347">
        <f t="shared" si="417"/>
        <v>28.8232</v>
      </c>
      <c r="F165" s="58"/>
      <c r="G165" s="58">
        <f t="shared" si="418"/>
        <v>0</v>
      </c>
      <c r="H165" s="58">
        <f t="shared" si="395"/>
        <v>0</v>
      </c>
      <c r="I165" s="58">
        <f t="shared" si="396"/>
        <v>0</v>
      </c>
      <c r="J165" s="58">
        <f t="shared" si="397"/>
        <v>0</v>
      </c>
      <c r="K165" s="51">
        <f t="shared" si="398"/>
        <v>0</v>
      </c>
      <c r="L165" s="350">
        <f t="shared" si="419"/>
        <v>0</v>
      </c>
      <c r="M165" s="353">
        <f>ROUNDUP(((D164+D165)*0.5)*(C165-C163)/27,0)</f>
        <v>43</v>
      </c>
      <c r="N165" s="58">
        <f>ROUNDUP(((E164+E165)*0.5)*(C165-C163)/27,0)</f>
        <v>17</v>
      </c>
      <c r="O165" s="58"/>
      <c r="P165" s="58">
        <f>ROUNDUP(((G164+G165)*0.5)*(C165-C163)/27,0)</f>
        <v>0</v>
      </c>
      <c r="Q165" s="58">
        <f>ROUNDUP(((H165+H164)*0.5)*(C165-C163)/27,0)</f>
        <v>0</v>
      </c>
      <c r="R165" s="58">
        <f>ROUNDUP(((I165+I164)*0.5)*(C165-C163)/27,0)</f>
        <v>0</v>
      </c>
      <c r="S165" s="58">
        <f>ROUNDUP(((J165+J164)*0.5)*(C165-C163)/9,0)</f>
        <v>0</v>
      </c>
      <c r="T165" s="58">
        <f>ROUNDUP(((K165+K164)*0.5)*(C165-C163)/9,0)</f>
        <v>0</v>
      </c>
      <c r="U165" s="347">
        <f>ROUNDUP(((L165+L164)*0.5)*(C165-C163)/9,0)</f>
        <v>0</v>
      </c>
      <c r="V165" s="56"/>
      <c r="W165" s="105"/>
      <c r="X165" s="58"/>
      <c r="Y165" s="58"/>
      <c r="Z165" s="58"/>
      <c r="AA165" s="58"/>
      <c r="AB165" s="58"/>
      <c r="AC165" s="58"/>
      <c r="AD165" s="58"/>
      <c r="AE165" s="138"/>
      <c r="AF165" s="55"/>
      <c r="AG165" s="57">
        <f t="shared" si="435"/>
        <v>1700</v>
      </c>
      <c r="AH165" s="58">
        <v>24.180700000000002</v>
      </c>
      <c r="AI165" s="58"/>
      <c r="AJ165" s="58"/>
      <c r="AK165" s="58"/>
      <c r="AL165" s="58"/>
      <c r="AM165" s="58"/>
      <c r="AN165" s="58"/>
      <c r="AO165" s="58"/>
      <c r="AP165" s="58"/>
      <c r="AQ165" s="58"/>
      <c r="AR165" s="58"/>
      <c r="AS165" s="58"/>
      <c r="AT165" s="58"/>
      <c r="AU165" s="58"/>
      <c r="AV165" s="58"/>
      <c r="AW165" s="58"/>
      <c r="AX165" s="58"/>
      <c r="AY165" s="58">
        <v>13.8148</v>
      </c>
      <c r="AZ165" s="58">
        <v>15.0084</v>
      </c>
      <c r="BA165" s="58"/>
      <c r="BB165" s="58"/>
      <c r="BC165" s="58"/>
      <c r="BD165" s="58"/>
      <c r="BE165" s="58"/>
      <c r="BF165" s="58"/>
      <c r="BG165" s="58"/>
      <c r="BH165" s="58"/>
      <c r="BI165" s="58"/>
      <c r="BJ165" s="58"/>
      <c r="BK165" s="58"/>
      <c r="BL165" s="58"/>
      <c r="BM165" s="58"/>
      <c r="BN165" s="58"/>
      <c r="BO165" s="58"/>
      <c r="BP165" s="58"/>
      <c r="BQ165" s="58"/>
      <c r="BR165" s="58"/>
      <c r="BS165" s="58"/>
      <c r="BT165" s="58"/>
      <c r="BU165" s="58"/>
      <c r="BV165" s="58"/>
      <c r="BW165" s="58"/>
      <c r="BX165" s="58"/>
      <c r="BY165" s="58"/>
      <c r="BZ165" s="58"/>
      <c r="CA165" s="58"/>
      <c r="CB165">
        <v>0</v>
      </c>
      <c r="CC165" s="1">
        <f t="shared" si="400"/>
        <v>1700</v>
      </c>
    </row>
    <row r="166" spans="1:83" x14ac:dyDescent="0.25">
      <c r="A166" s="503"/>
      <c r="B166" s="130" t="s">
        <v>53</v>
      </c>
      <c r="C166" s="504">
        <v>1750</v>
      </c>
      <c r="D166" s="362">
        <f t="shared" si="416"/>
        <v>38.316299999999998</v>
      </c>
      <c r="E166" s="362">
        <f t="shared" si="417"/>
        <v>70.187899999999999</v>
      </c>
      <c r="F166" s="59"/>
      <c r="G166" s="59">
        <f t="shared" si="418"/>
        <v>0</v>
      </c>
      <c r="H166" s="59">
        <f t="shared" si="395"/>
        <v>0</v>
      </c>
      <c r="I166" s="59">
        <f t="shared" si="396"/>
        <v>0</v>
      </c>
      <c r="J166" s="59">
        <f t="shared" si="397"/>
        <v>0</v>
      </c>
      <c r="K166" s="60">
        <f t="shared" si="398"/>
        <v>0</v>
      </c>
      <c r="L166" s="375">
        <f t="shared" si="419"/>
        <v>32.991</v>
      </c>
      <c r="M166" s="387">
        <f t="shared" ref="M166" si="496">ROUNDUP(((D165+D166)*0.5)*(C166-C165)/27,0)</f>
        <v>58</v>
      </c>
      <c r="N166" s="59">
        <f t="shared" ref="N166" si="497">ROUNDUP(((E165+E166)*0.5)*(C166-C165)/27,0)</f>
        <v>92</v>
      </c>
      <c r="O166" s="59"/>
      <c r="P166" s="59">
        <f t="shared" ref="P166" si="498">ROUNDUP(((G165+G166)*0.5)*(C166-C165)/27,0)</f>
        <v>0</v>
      </c>
      <c r="Q166" s="59">
        <f t="shared" ref="Q166" si="499">ROUNDUP(((H166+H165)*0.5)*(C166-C165)/27,0)</f>
        <v>0</v>
      </c>
      <c r="R166" s="59">
        <f t="shared" ref="R166" si="500">ROUNDUP(((I166+I165)*0.5)*(C166-C165)/27,0)</f>
        <v>0</v>
      </c>
      <c r="S166" s="59">
        <f t="shared" ref="S166" si="501">ROUNDUP(((J166+J165)*0.5)*(C166-C165)/9,0)</f>
        <v>0</v>
      </c>
      <c r="T166" s="59">
        <f t="shared" ref="T166" si="502">ROUNDUP(((K166+K165)*0.5)*(C166-C165)/9,0)</f>
        <v>0</v>
      </c>
      <c r="U166" s="362">
        <f t="shared" ref="U166" si="503">ROUNDUP(((L166+L165)*0.5)*(C166-C165)/9,0)</f>
        <v>92</v>
      </c>
      <c r="V166" s="64"/>
      <c r="W166" s="106"/>
      <c r="X166" s="59"/>
      <c r="Y166" s="59"/>
      <c r="Z166" s="59"/>
      <c r="AA166" s="59"/>
      <c r="AB166" s="59"/>
      <c r="AC166" s="59"/>
      <c r="AD166" s="59"/>
      <c r="AE166" s="140"/>
      <c r="AF166" s="64" t="str">
        <f>B166</f>
        <v>back</v>
      </c>
      <c r="AG166" s="451">
        <f t="shared" si="435"/>
        <v>1750</v>
      </c>
      <c r="AH166" s="59"/>
      <c r="AI166" s="59">
        <v>33.840499999999999</v>
      </c>
      <c r="AJ166" s="59">
        <v>4.4757999999999996</v>
      </c>
      <c r="AK166" s="59"/>
      <c r="AL166" s="59"/>
      <c r="AM166" s="59"/>
      <c r="AN166" s="59"/>
      <c r="AO166" s="59"/>
      <c r="AP166" s="59"/>
      <c r="AQ166" s="59"/>
      <c r="AR166" s="59"/>
      <c r="AS166" s="59"/>
      <c r="AT166" s="59"/>
      <c r="AU166" s="59"/>
      <c r="AV166" s="59"/>
      <c r="AW166" s="59"/>
      <c r="AX166" s="59"/>
      <c r="AY166" s="59">
        <v>49.470100000000002</v>
      </c>
      <c r="AZ166" s="59">
        <v>20.7178</v>
      </c>
      <c r="BA166" s="59"/>
      <c r="BB166" s="59"/>
      <c r="BC166" s="59"/>
      <c r="BD166" s="59"/>
      <c r="BE166" s="59"/>
      <c r="BF166" s="59"/>
      <c r="BG166" s="59"/>
      <c r="BH166" s="59"/>
      <c r="BI166" s="59"/>
      <c r="BJ166" s="59"/>
      <c r="BK166" s="59"/>
      <c r="BL166" s="59"/>
      <c r="BM166" s="59"/>
      <c r="BN166" s="59"/>
      <c r="BO166" s="59"/>
      <c r="BP166" s="59"/>
      <c r="BQ166" s="59"/>
      <c r="BR166" s="59"/>
      <c r="BS166" s="59"/>
      <c r="BT166" s="59"/>
      <c r="BU166" s="59"/>
      <c r="BV166" s="59"/>
      <c r="BW166" s="59"/>
      <c r="BX166" s="59"/>
      <c r="BY166" s="59"/>
      <c r="BZ166" s="59"/>
      <c r="CA166" s="59"/>
      <c r="CB166" s="268">
        <f>28.991+4</f>
        <v>32.991</v>
      </c>
      <c r="CC166" s="522">
        <f t="shared" si="400"/>
        <v>1750</v>
      </c>
    </row>
    <row r="167" spans="1:83" s="3" customFormat="1" ht="15.75" thickBot="1" x14ac:dyDescent="0.3">
      <c r="A167" s="503"/>
      <c r="B167" s="249" t="s">
        <v>54</v>
      </c>
      <c r="C167" s="505"/>
      <c r="D167" s="363">
        <f t="shared" ref="D167:D178" si="504">SUM(AH167:AX167)</f>
        <v>581.74230000000011</v>
      </c>
      <c r="E167" s="363">
        <f t="shared" ref="E167:E178" si="505">SUM(AY167:BG167)</f>
        <v>70.187899999999999</v>
      </c>
      <c r="F167" s="184"/>
      <c r="G167" s="184">
        <f t="shared" ref="G167:G178" si="506">SUM(BL167:BN167)</f>
        <v>0</v>
      </c>
      <c r="H167" s="184">
        <f t="shared" si="395"/>
        <v>0</v>
      </c>
      <c r="I167" s="184">
        <f t="shared" si="396"/>
        <v>0</v>
      </c>
      <c r="J167" s="184">
        <f t="shared" si="397"/>
        <v>0</v>
      </c>
      <c r="K167" s="215">
        <f t="shared" si="398"/>
        <v>0</v>
      </c>
      <c r="L167" s="376">
        <f t="shared" ref="L167:L178" si="507">SUM(BY167:CB167)</f>
        <v>109.6964</v>
      </c>
      <c r="M167" s="388"/>
      <c r="N167" s="184"/>
      <c r="O167" s="184"/>
      <c r="P167" s="184"/>
      <c r="Q167" s="184"/>
      <c r="R167" s="184"/>
      <c r="S167" s="184"/>
      <c r="T167" s="184"/>
      <c r="U167" s="363"/>
      <c r="V167" s="250"/>
      <c r="W167" s="255">
        <f>M162+M163+M164+M165+M166+M167</f>
        <v>6457</v>
      </c>
      <c r="X167" s="255">
        <f>N162+N163+N164+N165+N166+N167</f>
        <v>274</v>
      </c>
      <c r="Y167" s="255"/>
      <c r="Z167" s="255">
        <f t="shared" ref="Z167:AE167" si="508">P162+P163+P164+P165+P166+P167</f>
        <v>0</v>
      </c>
      <c r="AA167" s="255">
        <f t="shared" si="508"/>
        <v>55</v>
      </c>
      <c r="AB167" s="255">
        <f t="shared" si="508"/>
        <v>55</v>
      </c>
      <c r="AC167" s="255">
        <f t="shared" si="508"/>
        <v>324</v>
      </c>
      <c r="AD167" s="255">
        <f t="shared" si="508"/>
        <v>324</v>
      </c>
      <c r="AE167" s="255">
        <f t="shared" si="508"/>
        <v>1792</v>
      </c>
      <c r="AF167" s="250" t="str">
        <f>B167</f>
        <v>ahead</v>
      </c>
      <c r="AG167" s="452"/>
      <c r="AH167" s="184">
        <v>543.42600000000004</v>
      </c>
      <c r="AI167" s="184">
        <v>33.840499999999999</v>
      </c>
      <c r="AJ167" s="184">
        <v>4.4757999999999996</v>
      </c>
      <c r="AK167" s="184"/>
      <c r="AL167" s="184"/>
      <c r="AM167" s="184"/>
      <c r="AN167" s="184"/>
      <c r="AO167" s="184"/>
      <c r="AP167" s="184"/>
      <c r="AQ167" s="184"/>
      <c r="AR167" s="184"/>
      <c r="AS167" s="184"/>
      <c r="AT167" s="184"/>
      <c r="AU167" s="184"/>
      <c r="AV167" s="184"/>
      <c r="AW167" s="184"/>
      <c r="AX167" s="184"/>
      <c r="AY167" s="184">
        <v>49.470100000000002</v>
      </c>
      <c r="AZ167" s="184">
        <v>20.7178</v>
      </c>
      <c r="BA167" s="184"/>
      <c r="BB167" s="184"/>
      <c r="BC167" s="184"/>
      <c r="BD167" s="184"/>
      <c r="BE167" s="184"/>
      <c r="BF167" s="184"/>
      <c r="BG167" s="184"/>
      <c r="BH167" s="184"/>
      <c r="BI167" s="184"/>
      <c r="BJ167" s="184"/>
      <c r="BK167" s="184"/>
      <c r="BL167" s="184"/>
      <c r="BM167" s="184"/>
      <c r="BN167" s="184"/>
      <c r="BO167" s="184"/>
      <c r="BP167" s="184"/>
      <c r="BQ167" s="184"/>
      <c r="BR167" s="184"/>
      <c r="BS167" s="184"/>
      <c r="BT167" s="184"/>
      <c r="BU167" s="184"/>
      <c r="BV167" s="184"/>
      <c r="BW167" s="184"/>
      <c r="BX167" s="184"/>
      <c r="BY167" s="184"/>
      <c r="BZ167" s="184"/>
      <c r="CA167" s="59">
        <f>72.7054+4</f>
        <v>76.705399999999997</v>
      </c>
      <c r="CB167" s="268">
        <f>28.991+4</f>
        <v>32.991</v>
      </c>
      <c r="CC167" s="522"/>
      <c r="CD167"/>
      <c r="CE167"/>
    </row>
    <row r="168" spans="1:83" x14ac:dyDescent="0.25">
      <c r="A168" s="503"/>
      <c r="C168" s="210">
        <v>1800</v>
      </c>
      <c r="D168" s="349">
        <f t="shared" si="504"/>
        <v>544.32490000000007</v>
      </c>
      <c r="E168" s="349">
        <f t="shared" si="505"/>
        <v>53.438699999999997</v>
      </c>
      <c r="F168" s="147"/>
      <c r="G168" s="147">
        <f t="shared" si="506"/>
        <v>0</v>
      </c>
      <c r="H168" s="147">
        <f t="shared" si="395"/>
        <v>0</v>
      </c>
      <c r="I168" s="147">
        <f t="shared" si="396"/>
        <v>0</v>
      </c>
      <c r="J168" s="147">
        <f t="shared" si="397"/>
        <v>0</v>
      </c>
      <c r="K168" s="156">
        <f t="shared" si="398"/>
        <v>0</v>
      </c>
      <c r="L168" s="352">
        <f t="shared" si="507"/>
        <v>111.4</v>
      </c>
      <c r="M168" s="355">
        <f>ROUNDUP(((D167+D168)*0.5)*(C168-C166)/27,0)</f>
        <v>1043</v>
      </c>
      <c r="N168" s="147">
        <f>ROUNDUP(((E167+E168)*0.5)*(C168-C166)/27,0)</f>
        <v>115</v>
      </c>
      <c r="O168" s="147"/>
      <c r="P168" s="147">
        <f>ROUNDUP(((G167+G168)*0.5)*(C168-C166)/27,0)</f>
        <v>0</v>
      </c>
      <c r="Q168" s="147">
        <f>ROUNDUP(((H168+H167)*0.5)*(C168-C166)/27,0)</f>
        <v>0</v>
      </c>
      <c r="R168" s="147">
        <f>ROUNDUP(((I168+I167)*0.5)*(C168-C166)/27,0)</f>
        <v>0</v>
      </c>
      <c r="S168" s="147">
        <f>ROUNDUP(((J168+J167)*0.5)*(C168-C166)/9,0)</f>
        <v>0</v>
      </c>
      <c r="T168" s="147">
        <f>ROUNDUP(((K168+K167)*0.5)*(C168-C166)/9,0)</f>
        <v>0</v>
      </c>
      <c r="U168" s="349">
        <f>ROUNDUP(((L168+L167)*0.5)*(C168-C166)/9,0)</f>
        <v>615</v>
      </c>
      <c r="V168" s="56"/>
      <c r="W168" s="151"/>
      <c r="X168" s="147"/>
      <c r="Y168" s="147"/>
      <c r="Z168" s="147"/>
      <c r="AA168" s="147"/>
      <c r="AB168" s="147"/>
      <c r="AC168" s="147"/>
      <c r="AD168" s="147"/>
      <c r="AE168" s="148"/>
      <c r="AF168" s="55"/>
      <c r="AG168" s="155">
        <f t="shared" ref="AG168:AG178" si="509">C168</f>
        <v>1800</v>
      </c>
      <c r="AH168" s="147">
        <v>511.32330000000002</v>
      </c>
      <c r="AI168" s="147">
        <v>6.2380000000000004</v>
      </c>
      <c r="AJ168" s="147">
        <v>26.7636</v>
      </c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>
        <v>38.509399999999999</v>
      </c>
      <c r="AZ168" s="147">
        <v>14.9293</v>
      </c>
      <c r="BA168" s="147"/>
      <c r="BB168" s="147"/>
      <c r="BC168" s="147"/>
      <c r="BD168" s="147"/>
      <c r="BE168" s="147"/>
      <c r="BF168" s="147"/>
      <c r="BG168" s="147"/>
      <c r="BH168" s="147"/>
      <c r="BI168" s="147"/>
      <c r="BJ168" s="147"/>
      <c r="BK168" s="147"/>
      <c r="BL168" s="147"/>
      <c r="BM168" s="147"/>
      <c r="BN168" s="147"/>
      <c r="BO168" s="147"/>
      <c r="BP168" s="147"/>
      <c r="BQ168" s="147"/>
      <c r="BR168" s="147"/>
      <c r="BS168" s="147"/>
      <c r="BT168" s="147"/>
      <c r="BU168" s="147"/>
      <c r="BV168" s="147"/>
      <c r="BW168" s="147"/>
      <c r="BX168" s="147"/>
      <c r="BY168" s="147"/>
      <c r="BZ168" s="147"/>
      <c r="CA168" s="147"/>
      <c r="CB168">
        <f>103.4+8</f>
        <v>111.4</v>
      </c>
      <c r="CC168" s="1">
        <f t="shared" si="400"/>
        <v>1800</v>
      </c>
    </row>
    <row r="169" spans="1:83" x14ac:dyDescent="0.25">
      <c r="A169" s="503"/>
      <c r="C169" s="121">
        <v>1850</v>
      </c>
      <c r="D169" s="347">
        <f t="shared" si="504"/>
        <v>500.08660000000003</v>
      </c>
      <c r="E169" s="347">
        <f t="shared" si="505"/>
        <v>32.693100000000001</v>
      </c>
      <c r="F169" s="58"/>
      <c r="G169" s="58">
        <f t="shared" si="506"/>
        <v>0</v>
      </c>
      <c r="H169" s="58">
        <f t="shared" si="395"/>
        <v>0</v>
      </c>
      <c r="I169" s="58">
        <f t="shared" si="396"/>
        <v>0</v>
      </c>
      <c r="J169" s="58">
        <f t="shared" si="397"/>
        <v>0</v>
      </c>
      <c r="K169" s="51">
        <f t="shared" si="398"/>
        <v>0</v>
      </c>
      <c r="L169" s="350">
        <f t="shared" si="507"/>
        <v>106.2</v>
      </c>
      <c r="M169" s="353">
        <f t="shared" ref="M169:M178" si="510">ROUNDUP(((D168+D169)*0.5)*(C169-C168)/27,0)</f>
        <v>968</v>
      </c>
      <c r="N169" s="58">
        <f t="shared" ref="N169:N178" si="511">ROUNDUP(((E168+E169)*0.5)*(C169-C168)/27,0)</f>
        <v>80</v>
      </c>
      <c r="O169" s="58"/>
      <c r="P169" s="58">
        <f t="shared" ref="P169:P178" si="512">ROUNDUP(((G168+G169)*0.5)*(C169-C168)/27,0)</f>
        <v>0</v>
      </c>
      <c r="Q169" s="58">
        <f t="shared" ref="Q169:Q178" si="513">ROUNDUP(((H169+H168)*0.5)*(C169-C168)/27,0)</f>
        <v>0</v>
      </c>
      <c r="R169" s="58">
        <f t="shared" ref="R169:R178" si="514">ROUNDUP(((I169+I168)*0.5)*(C169-C168)/27,0)</f>
        <v>0</v>
      </c>
      <c r="S169" s="58">
        <f t="shared" ref="S169:S178" si="515">ROUNDUP(((J169+J168)*0.5)*(C169-C168)/9,0)</f>
        <v>0</v>
      </c>
      <c r="T169" s="58">
        <f t="shared" ref="T169:T178" si="516">ROUNDUP(((K169+K168)*0.5)*(C169-C168)/9,0)</f>
        <v>0</v>
      </c>
      <c r="U169" s="347">
        <f t="shared" ref="U169:U178" si="517">ROUNDUP(((L169+L168)*0.5)*(C169-C168)/9,0)</f>
        <v>605</v>
      </c>
      <c r="V169" s="56"/>
      <c r="W169" s="105"/>
      <c r="X169" s="58"/>
      <c r="Y169" s="58"/>
      <c r="Z169" s="58"/>
      <c r="AA169" s="58"/>
      <c r="AB169" s="58"/>
      <c r="AC169" s="58"/>
      <c r="AD169" s="58"/>
      <c r="AE169" s="138"/>
      <c r="AF169" s="55"/>
      <c r="AG169" s="57">
        <f t="shared" si="509"/>
        <v>1850</v>
      </c>
      <c r="AH169" s="58">
        <v>434.74880000000002</v>
      </c>
      <c r="AI169" s="58">
        <v>65.337800000000001</v>
      </c>
      <c r="AJ169" s="58"/>
      <c r="AK169" s="58"/>
      <c r="AL169" s="58"/>
      <c r="AM169" s="58"/>
      <c r="AN169" s="58"/>
      <c r="AO169" s="58"/>
      <c r="AP169" s="58"/>
      <c r="AQ169" s="58"/>
      <c r="AR169" s="58"/>
      <c r="AS169" s="58"/>
      <c r="AT169" s="58"/>
      <c r="AU169" s="58"/>
      <c r="AV169" s="58"/>
      <c r="AW169" s="58"/>
      <c r="AX169" s="58"/>
      <c r="AY169" s="58">
        <v>30.635100000000001</v>
      </c>
      <c r="AZ169" s="58">
        <v>2.0579999999999998</v>
      </c>
      <c r="BA169" s="58"/>
      <c r="BB169" s="58"/>
      <c r="BC169" s="58"/>
      <c r="BD169" s="58"/>
      <c r="BE169" s="58"/>
      <c r="BF169" s="58"/>
      <c r="BG169" s="58"/>
      <c r="BH169" s="58"/>
      <c r="BI169" s="58"/>
      <c r="BJ169" s="58"/>
      <c r="BK169" s="58"/>
      <c r="BL169" s="58"/>
      <c r="BM169" s="58"/>
      <c r="BN169" s="58"/>
      <c r="BO169" s="58"/>
      <c r="BP169" s="58"/>
      <c r="BQ169" s="58"/>
      <c r="BR169" s="58"/>
      <c r="BS169" s="58"/>
      <c r="BT169" s="58"/>
      <c r="BU169" s="58"/>
      <c r="BV169" s="58"/>
      <c r="BW169" s="58"/>
      <c r="BX169" s="58"/>
      <c r="BY169" s="58"/>
      <c r="BZ169" s="58"/>
      <c r="CA169" s="58"/>
      <c r="CB169">
        <f>98.2+8</f>
        <v>106.2</v>
      </c>
      <c r="CC169" s="1">
        <f t="shared" si="400"/>
        <v>1850</v>
      </c>
    </row>
    <row r="170" spans="1:83" x14ac:dyDescent="0.25">
      <c r="A170" s="503"/>
      <c r="C170" s="121">
        <v>1900</v>
      </c>
      <c r="D170" s="347">
        <f t="shared" si="504"/>
        <v>530.09629999999993</v>
      </c>
      <c r="E170" s="347">
        <f t="shared" si="505"/>
        <v>16.127199999999998</v>
      </c>
      <c r="F170" s="58"/>
      <c r="G170" s="58">
        <f t="shared" si="506"/>
        <v>0</v>
      </c>
      <c r="H170" s="58">
        <f t="shared" si="395"/>
        <v>0</v>
      </c>
      <c r="I170" s="58">
        <f t="shared" si="396"/>
        <v>0</v>
      </c>
      <c r="J170" s="58">
        <f t="shared" si="397"/>
        <v>0</v>
      </c>
      <c r="K170" s="51">
        <f t="shared" si="398"/>
        <v>0</v>
      </c>
      <c r="L170" s="350">
        <f t="shared" si="507"/>
        <v>130.6</v>
      </c>
      <c r="M170" s="353">
        <f t="shared" si="510"/>
        <v>954</v>
      </c>
      <c r="N170" s="58">
        <f t="shared" si="511"/>
        <v>46</v>
      </c>
      <c r="O170" s="58"/>
      <c r="P170" s="58">
        <f t="shared" si="512"/>
        <v>0</v>
      </c>
      <c r="Q170" s="58">
        <f t="shared" si="513"/>
        <v>0</v>
      </c>
      <c r="R170" s="58">
        <f t="shared" si="514"/>
        <v>0</v>
      </c>
      <c r="S170" s="58">
        <f t="shared" si="515"/>
        <v>0</v>
      </c>
      <c r="T170" s="58">
        <f t="shared" si="516"/>
        <v>0</v>
      </c>
      <c r="U170" s="347">
        <f t="shared" si="517"/>
        <v>658</v>
      </c>
      <c r="V170" s="56"/>
      <c r="W170" s="105"/>
      <c r="X170" s="58"/>
      <c r="Y170" s="58"/>
      <c r="Z170" s="58"/>
      <c r="AA170" s="58"/>
      <c r="AB170" s="58"/>
      <c r="AC170" s="58"/>
      <c r="AD170" s="58"/>
      <c r="AE170" s="138"/>
      <c r="AF170" s="55"/>
      <c r="AG170" s="57">
        <f t="shared" si="509"/>
        <v>1900</v>
      </c>
      <c r="AH170" s="58">
        <v>445.97399999999999</v>
      </c>
      <c r="AI170" s="58">
        <v>84.122299999999996</v>
      </c>
      <c r="AJ170" s="58"/>
      <c r="AK170" s="58"/>
      <c r="AL170" s="58"/>
      <c r="AM170" s="58"/>
      <c r="AN170" s="58"/>
      <c r="AO170" s="58"/>
      <c r="AP170" s="58"/>
      <c r="AQ170" s="58"/>
      <c r="AR170" s="58"/>
      <c r="AS170" s="58"/>
      <c r="AT170" s="58"/>
      <c r="AU170" s="58"/>
      <c r="AV170" s="58"/>
      <c r="AW170" s="58"/>
      <c r="AX170" s="58"/>
      <c r="AY170" s="58">
        <v>16.127199999999998</v>
      </c>
      <c r="AZ170" s="58"/>
      <c r="BA170" s="58"/>
      <c r="BB170" s="58"/>
      <c r="BC170" s="58"/>
      <c r="BD170" s="58"/>
      <c r="BE170" s="58"/>
      <c r="BF170" s="58"/>
      <c r="BG170" s="58"/>
      <c r="BH170" s="58"/>
      <c r="BI170" s="58"/>
      <c r="BJ170" s="58"/>
      <c r="BK170" s="58"/>
      <c r="BL170" s="58"/>
      <c r="BM170" s="58"/>
      <c r="BN170" s="58"/>
      <c r="BO170" s="58"/>
      <c r="BP170" s="58"/>
      <c r="BQ170" s="58"/>
      <c r="BR170" s="58"/>
      <c r="BS170" s="58"/>
      <c r="BT170" s="58"/>
      <c r="BU170" s="58"/>
      <c r="BV170" s="58"/>
      <c r="BW170" s="58"/>
      <c r="BX170" s="58"/>
      <c r="BY170" s="58"/>
      <c r="BZ170" s="58"/>
      <c r="CA170" s="58"/>
      <c r="CB170">
        <f>122.6+8</f>
        <v>130.6</v>
      </c>
      <c r="CC170" s="1">
        <f t="shared" si="400"/>
        <v>1900</v>
      </c>
    </row>
    <row r="171" spans="1:83" s="3" customFormat="1" ht="15.75" thickBot="1" x14ac:dyDescent="0.3">
      <c r="A171" s="503"/>
      <c r="C171" s="212">
        <v>1905</v>
      </c>
      <c r="D171" s="348">
        <f t="shared" ref="D171" si="518">SUM(AH171:AX171)</f>
        <v>537.30960000000005</v>
      </c>
      <c r="E171" s="348">
        <f t="shared" ref="E171" si="519">SUM(AY171:BG171)</f>
        <v>15.3712</v>
      </c>
      <c r="F171" s="144"/>
      <c r="G171" s="144">
        <f t="shared" ref="G171" si="520">SUM(BL171:BN171)</f>
        <v>0</v>
      </c>
      <c r="H171" s="144">
        <f t="shared" si="395"/>
        <v>0</v>
      </c>
      <c r="I171" s="144">
        <f t="shared" si="396"/>
        <v>0</v>
      </c>
      <c r="J171" s="144">
        <f t="shared" si="397"/>
        <v>0</v>
      </c>
      <c r="K171" s="159">
        <f t="shared" si="398"/>
        <v>0</v>
      </c>
      <c r="L171" s="351">
        <f t="shared" ref="L171" si="521">SUM(BY171:CB171)</f>
        <v>131.19999999999999</v>
      </c>
      <c r="M171" s="354">
        <f t="shared" ref="M171:M172" si="522">ROUNDUP(((D170+D171)*0.5)*(C171-C170)/27,0)</f>
        <v>99</v>
      </c>
      <c r="N171" s="144">
        <f t="shared" ref="N171:N172" si="523">ROUNDUP(((E170+E171)*0.5)*(C171-C170)/27,0)</f>
        <v>3</v>
      </c>
      <c r="O171" s="144"/>
      <c r="P171" s="144">
        <f t="shared" ref="P171:P172" si="524">ROUNDUP(((G170+G171)*0.5)*(C171-C170)/27,0)</f>
        <v>0</v>
      </c>
      <c r="Q171" s="144">
        <f t="shared" ref="Q171:Q172" si="525">ROUNDUP(((H171+H170)*0.5)*(C171-C170)/27,0)</f>
        <v>0</v>
      </c>
      <c r="R171" s="144">
        <f t="shared" ref="R171:R172" si="526">ROUNDUP(((I171+I170)*0.5)*(C171-C170)/27,0)</f>
        <v>0</v>
      </c>
      <c r="S171" s="144">
        <f t="shared" ref="S171:S172" si="527">ROUNDUP(((J171+J170)*0.5)*(C171-C170)/9,0)</f>
        <v>0</v>
      </c>
      <c r="T171" s="144">
        <f t="shared" ref="T171:T172" si="528">ROUNDUP(((K171+K170)*0.5)*(C171-C170)/9,0)</f>
        <v>0</v>
      </c>
      <c r="U171" s="348">
        <f t="shared" ref="U171:U172" si="529">ROUNDUP(((L171+L170)*0.5)*(C171-C170)/9,0)</f>
        <v>73</v>
      </c>
      <c r="V171" s="154"/>
      <c r="W171" s="255">
        <f>M168+M169+M170+M171</f>
        <v>3064</v>
      </c>
      <c r="X171" s="255">
        <f>N168+N169+N170+N171</f>
        <v>244</v>
      </c>
      <c r="Y171" s="255"/>
      <c r="Z171" s="255">
        <f>P168+P169+P170+P171</f>
        <v>0</v>
      </c>
      <c r="AA171" s="255">
        <f t="shared" ref="AA171:AE171" si="530">Q168+Q169+Q170+Q171</f>
        <v>0</v>
      </c>
      <c r="AB171" s="255">
        <f t="shared" si="530"/>
        <v>0</v>
      </c>
      <c r="AC171" s="255">
        <f t="shared" si="530"/>
        <v>0</v>
      </c>
      <c r="AD171" s="255">
        <f t="shared" si="530"/>
        <v>0</v>
      </c>
      <c r="AE171" s="255">
        <f t="shared" si="530"/>
        <v>1951</v>
      </c>
      <c r="AF171" s="153"/>
      <c r="AG171" s="158">
        <f t="shared" ref="AG171" si="531">C171</f>
        <v>1905</v>
      </c>
      <c r="AH171" s="144">
        <v>451.22149999999999</v>
      </c>
      <c r="AI171" s="144">
        <v>86.088099999999997</v>
      </c>
      <c r="AJ171" s="144"/>
      <c r="AK171" s="144"/>
      <c r="AL171" s="144"/>
      <c r="AM171" s="144"/>
      <c r="AN171" s="144"/>
      <c r="AO171" s="144"/>
      <c r="AP171" s="144"/>
      <c r="AQ171" s="144"/>
      <c r="AR171" s="144"/>
      <c r="AS171" s="144"/>
      <c r="AT171" s="144"/>
      <c r="AU171" s="144"/>
      <c r="AV171" s="144"/>
      <c r="AW171" s="144"/>
      <c r="AX171" s="144"/>
      <c r="AY171" s="144">
        <v>15.3712</v>
      </c>
      <c r="AZ171" s="144"/>
      <c r="BA171" s="144"/>
      <c r="BB171" s="144"/>
      <c r="BC171" s="144"/>
      <c r="BD171" s="144"/>
      <c r="BE171" s="144"/>
      <c r="BF171" s="144"/>
      <c r="BG171" s="144"/>
      <c r="BH171" s="144"/>
      <c r="BI171" s="144"/>
      <c r="BJ171" s="144"/>
      <c r="BK171" s="144"/>
      <c r="BL171" s="144"/>
      <c r="BM171" s="144"/>
      <c r="BN171" s="144"/>
      <c r="BO171" s="144"/>
      <c r="BP171" s="144"/>
      <c r="BQ171" s="144"/>
      <c r="BR171" s="144"/>
      <c r="BS171" s="144"/>
      <c r="BT171" s="144"/>
      <c r="BU171" s="144"/>
      <c r="BV171" s="144"/>
      <c r="BW171" s="144"/>
      <c r="BX171" s="144"/>
      <c r="BY171" s="144"/>
      <c r="BZ171" s="144"/>
      <c r="CA171" s="144"/>
      <c r="CB171" s="3">
        <f>123.2+8</f>
        <v>131.19999999999999</v>
      </c>
      <c r="CC171" s="446">
        <f t="shared" si="400"/>
        <v>1905</v>
      </c>
    </row>
    <row r="172" spans="1:83" x14ac:dyDescent="0.25">
      <c r="A172" s="503"/>
      <c r="C172" s="210">
        <v>1950</v>
      </c>
      <c r="D172" s="349">
        <f t="shared" si="504"/>
        <v>537.30960000000005</v>
      </c>
      <c r="E172" s="349">
        <f t="shared" si="505"/>
        <v>15.3712</v>
      </c>
      <c r="F172" s="147"/>
      <c r="G172" s="147">
        <f t="shared" si="506"/>
        <v>0</v>
      </c>
      <c r="H172" s="147">
        <f t="shared" si="395"/>
        <v>0</v>
      </c>
      <c r="I172" s="147">
        <f t="shared" si="396"/>
        <v>0</v>
      </c>
      <c r="J172" s="147">
        <f t="shared" si="397"/>
        <v>0</v>
      </c>
      <c r="K172" s="156">
        <f t="shared" si="398"/>
        <v>0</v>
      </c>
      <c r="L172" s="352">
        <f t="shared" si="507"/>
        <v>139.19999999999999</v>
      </c>
      <c r="M172" s="355">
        <f t="shared" si="522"/>
        <v>896</v>
      </c>
      <c r="N172" s="147">
        <f t="shared" si="523"/>
        <v>26</v>
      </c>
      <c r="O172" s="147"/>
      <c r="P172" s="147">
        <f t="shared" si="524"/>
        <v>0</v>
      </c>
      <c r="Q172" s="147">
        <f t="shared" si="525"/>
        <v>0</v>
      </c>
      <c r="R172" s="147">
        <f t="shared" si="526"/>
        <v>0</v>
      </c>
      <c r="S172" s="147">
        <f t="shared" si="527"/>
        <v>0</v>
      </c>
      <c r="T172" s="147">
        <f t="shared" si="528"/>
        <v>0</v>
      </c>
      <c r="U172" s="349">
        <f t="shared" si="529"/>
        <v>676</v>
      </c>
      <c r="V172" s="56"/>
      <c r="W172" s="151"/>
      <c r="X172" s="147"/>
      <c r="Y172" s="147"/>
      <c r="Z172" s="147"/>
      <c r="AA172" s="147"/>
      <c r="AB172" s="147"/>
      <c r="AC172" s="147"/>
      <c r="AD172" s="147"/>
      <c r="AE172" s="148"/>
      <c r="AF172" s="55"/>
      <c r="AG172" s="155">
        <f t="shared" si="509"/>
        <v>1950</v>
      </c>
      <c r="AH172" s="147">
        <v>451.22149999999999</v>
      </c>
      <c r="AI172" s="147">
        <v>86.088099999999997</v>
      </c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>
        <v>15.3712</v>
      </c>
      <c r="AZ172" s="147"/>
      <c r="BA172" s="147"/>
      <c r="BB172" s="147"/>
      <c r="BC172" s="147"/>
      <c r="BD172" s="147"/>
      <c r="BE172" s="147"/>
      <c r="BF172" s="147"/>
      <c r="BG172" s="147"/>
      <c r="BH172" s="147"/>
      <c r="BI172" s="147"/>
      <c r="BJ172" s="147"/>
      <c r="BK172" s="147"/>
      <c r="BL172" s="147"/>
      <c r="BM172" s="147"/>
      <c r="BN172" s="147"/>
      <c r="BO172" s="147"/>
      <c r="BP172" s="147"/>
      <c r="BQ172" s="147"/>
      <c r="BR172" s="147"/>
      <c r="BS172" s="147"/>
      <c r="BT172" s="147"/>
      <c r="BU172" s="147"/>
      <c r="BV172" s="147"/>
      <c r="BW172" s="147"/>
      <c r="BX172" s="147"/>
      <c r="BY172" s="147"/>
      <c r="BZ172" s="147"/>
      <c r="CA172" s="147"/>
      <c r="CB172">
        <f>131.2+8</f>
        <v>139.19999999999999</v>
      </c>
      <c r="CC172" s="1">
        <f t="shared" si="400"/>
        <v>1950</v>
      </c>
    </row>
    <row r="173" spans="1:83" x14ac:dyDescent="0.25">
      <c r="A173" s="503"/>
      <c r="B173" s="130" t="s">
        <v>53</v>
      </c>
      <c r="C173" s="504">
        <v>2000</v>
      </c>
      <c r="D173" s="362">
        <f t="shared" ref="D173" si="532">SUM(AH173:AX173)</f>
        <v>279.38299999999998</v>
      </c>
      <c r="E173" s="362">
        <f t="shared" ref="E173" si="533">SUM(AY173:BG173)</f>
        <v>11.0929</v>
      </c>
      <c r="F173" s="59"/>
      <c r="G173" s="59">
        <f t="shared" ref="G173" si="534">SUM(BL173:BN173)</f>
        <v>0</v>
      </c>
      <c r="H173" s="59">
        <f t="shared" si="395"/>
        <v>0</v>
      </c>
      <c r="I173" s="59">
        <f t="shared" si="396"/>
        <v>0</v>
      </c>
      <c r="J173" s="59">
        <f t="shared" si="397"/>
        <v>0</v>
      </c>
      <c r="K173" s="60">
        <f t="shared" si="398"/>
        <v>0</v>
      </c>
      <c r="L173" s="375">
        <f t="shared" ref="L173" si="535">SUM(BY173:CB173)</f>
        <v>78.227999999999994</v>
      </c>
      <c r="M173" s="387">
        <f t="shared" si="510"/>
        <v>757</v>
      </c>
      <c r="N173" s="59">
        <f t="shared" si="511"/>
        <v>25</v>
      </c>
      <c r="O173" s="59"/>
      <c r="P173" s="59">
        <f t="shared" si="512"/>
        <v>0</v>
      </c>
      <c r="Q173" s="59">
        <f t="shared" si="513"/>
        <v>0</v>
      </c>
      <c r="R173" s="59">
        <f t="shared" si="514"/>
        <v>0</v>
      </c>
      <c r="S173" s="59">
        <f t="shared" si="515"/>
        <v>0</v>
      </c>
      <c r="T173" s="59">
        <f t="shared" si="516"/>
        <v>0</v>
      </c>
      <c r="U173" s="362">
        <f t="shared" si="517"/>
        <v>604</v>
      </c>
      <c r="V173" s="64"/>
      <c r="W173" s="106"/>
      <c r="X173" s="59"/>
      <c r="Y173" s="59"/>
      <c r="Z173" s="59"/>
      <c r="AA173" s="59"/>
      <c r="AB173" s="59"/>
      <c r="AC173" s="59"/>
      <c r="AD173" s="59"/>
      <c r="AE173" s="140"/>
      <c r="AF173" s="63"/>
      <c r="AG173" s="451">
        <f t="shared" ref="AG173" si="536">C173</f>
        <v>2000</v>
      </c>
      <c r="AH173" s="59">
        <v>5.2847999999999997</v>
      </c>
      <c r="AI173" s="59">
        <v>2.2763</v>
      </c>
      <c r="AJ173" s="59">
        <v>6.6273999999999997</v>
      </c>
      <c r="AK173" s="59">
        <v>265.19450000000001</v>
      </c>
      <c r="AL173" s="59"/>
      <c r="AM173" s="59"/>
      <c r="AN173" s="59"/>
      <c r="AO173" s="59"/>
      <c r="AP173" s="59"/>
      <c r="AQ173" s="59"/>
      <c r="AR173" s="59"/>
      <c r="AS173" s="59"/>
      <c r="AT173" s="59"/>
      <c r="AU173" s="59"/>
      <c r="AV173" s="59"/>
      <c r="AW173" s="59"/>
      <c r="AX173" s="59"/>
      <c r="AY173" s="59">
        <v>6.9295</v>
      </c>
      <c r="AZ173" s="59">
        <v>4.1634000000000002</v>
      </c>
      <c r="BA173" s="59"/>
      <c r="BB173" s="59"/>
      <c r="BC173" s="59"/>
      <c r="BD173" s="59"/>
      <c r="BE173" s="59"/>
      <c r="BF173" s="59"/>
      <c r="BG173" s="59"/>
      <c r="BH173" s="59"/>
      <c r="BI173" s="59"/>
      <c r="BJ173" s="59"/>
      <c r="BK173" s="59"/>
      <c r="BL173" s="59"/>
      <c r="BM173" s="59"/>
      <c r="BN173" s="59"/>
      <c r="BO173" s="59"/>
      <c r="BP173" s="59"/>
      <c r="BQ173" s="59"/>
      <c r="BR173" s="59"/>
      <c r="BS173" s="59"/>
      <c r="BT173" s="59"/>
      <c r="BU173" s="59"/>
      <c r="BV173" s="59"/>
      <c r="BW173" s="59"/>
      <c r="BX173" s="59"/>
      <c r="BY173" s="59"/>
      <c r="BZ173" s="59"/>
      <c r="CA173" s="59">
        <v>7.5312000000000001</v>
      </c>
      <c r="CB173" s="268">
        <f>66.6968+4</f>
        <v>70.696799999999996</v>
      </c>
      <c r="CC173" s="522">
        <f t="shared" si="400"/>
        <v>2000</v>
      </c>
    </row>
    <row r="174" spans="1:83" x14ac:dyDescent="0.25">
      <c r="A174" s="503"/>
      <c r="B174" s="130" t="s">
        <v>54</v>
      </c>
      <c r="C174" s="505"/>
      <c r="D174" s="362">
        <f t="shared" si="504"/>
        <v>274.09820000000002</v>
      </c>
      <c r="E174" s="362">
        <f t="shared" si="505"/>
        <v>4.1634000000000002</v>
      </c>
      <c r="F174" s="59"/>
      <c r="G174" s="59">
        <f t="shared" si="506"/>
        <v>0</v>
      </c>
      <c r="H174" s="59">
        <f t="shared" si="395"/>
        <v>0</v>
      </c>
      <c r="I174" s="59">
        <f t="shared" si="396"/>
        <v>0</v>
      </c>
      <c r="J174" s="59">
        <f t="shared" si="397"/>
        <v>0</v>
      </c>
      <c r="K174" s="60">
        <f t="shared" si="398"/>
        <v>0</v>
      </c>
      <c r="L174" s="375">
        <f t="shared" si="507"/>
        <v>70.696799999999996</v>
      </c>
      <c r="M174" s="387"/>
      <c r="N174" s="59"/>
      <c r="O174" s="59"/>
      <c r="P174" s="59"/>
      <c r="Q174" s="59"/>
      <c r="R174" s="59"/>
      <c r="S174" s="59"/>
      <c r="T174" s="59"/>
      <c r="U174" s="362"/>
      <c r="V174" s="64"/>
      <c r="W174" s="106"/>
      <c r="X174" s="59"/>
      <c r="Y174" s="59"/>
      <c r="Z174" s="59"/>
      <c r="AA174" s="59"/>
      <c r="AB174" s="59"/>
      <c r="AC174" s="59"/>
      <c r="AD174" s="59"/>
      <c r="AE174" s="140"/>
      <c r="AF174" s="63"/>
      <c r="AG174" s="452"/>
      <c r="AH174" s="59"/>
      <c r="AI174" s="59">
        <v>2.2763</v>
      </c>
      <c r="AJ174" s="59">
        <v>6.6273999999999997</v>
      </c>
      <c r="AK174" s="59">
        <v>265.19450000000001</v>
      </c>
      <c r="AL174" s="59"/>
      <c r="AM174" s="59"/>
      <c r="AN174" s="59"/>
      <c r="AO174" s="59"/>
      <c r="AP174" s="59"/>
      <c r="AQ174" s="59"/>
      <c r="AR174" s="59"/>
      <c r="AS174" s="59"/>
      <c r="AT174" s="59"/>
      <c r="AU174" s="59"/>
      <c r="AV174" s="59"/>
      <c r="AW174" s="59"/>
      <c r="AX174" s="59"/>
      <c r="AY174" s="59"/>
      <c r="AZ174" s="59">
        <v>4.1634000000000002</v>
      </c>
      <c r="BA174" s="59"/>
      <c r="BB174" s="59"/>
      <c r="BC174" s="59"/>
      <c r="BD174" s="59"/>
      <c r="BE174" s="59"/>
      <c r="BF174" s="59"/>
      <c r="BG174" s="59"/>
      <c r="BH174" s="59"/>
      <c r="BI174" s="59"/>
      <c r="BJ174" s="59"/>
      <c r="BK174" s="59"/>
      <c r="BL174" s="59"/>
      <c r="BM174" s="59"/>
      <c r="BN174" s="59"/>
      <c r="BO174" s="59"/>
      <c r="BP174" s="59"/>
      <c r="BQ174" s="59"/>
      <c r="BR174" s="59"/>
      <c r="BS174" s="59"/>
      <c r="BT174" s="59"/>
      <c r="BU174" s="59"/>
      <c r="BV174" s="59"/>
      <c r="BW174" s="59"/>
      <c r="BX174" s="59"/>
      <c r="BY174" s="59"/>
      <c r="BZ174" s="59"/>
      <c r="CA174" s="59"/>
      <c r="CB174" s="268">
        <f>66.6968+4</f>
        <v>70.696799999999996</v>
      </c>
      <c r="CC174" s="522"/>
    </row>
    <row r="175" spans="1:83" x14ac:dyDescent="0.25">
      <c r="A175" s="503"/>
      <c r="B175" s="130" t="s">
        <v>53</v>
      </c>
      <c r="C175" s="504">
        <v>2050</v>
      </c>
      <c r="D175" s="362">
        <f t="shared" si="504"/>
        <v>7.3242999999999991</v>
      </c>
      <c r="E175" s="362">
        <f t="shared" si="505"/>
        <v>8.8819999999999997</v>
      </c>
      <c r="F175" s="59"/>
      <c r="G175" s="59">
        <f t="shared" si="506"/>
        <v>0</v>
      </c>
      <c r="H175" s="59">
        <f t="shared" si="395"/>
        <v>0</v>
      </c>
      <c r="I175" s="59">
        <f t="shared" si="396"/>
        <v>0</v>
      </c>
      <c r="J175" s="59">
        <f t="shared" si="397"/>
        <v>0</v>
      </c>
      <c r="K175" s="60">
        <f t="shared" si="398"/>
        <v>0</v>
      </c>
      <c r="L175" s="375">
        <f>SUM(BY175:CA175)</f>
        <v>0</v>
      </c>
      <c r="M175" s="387">
        <f>ROUNDUP(((D174+D175)*0.5)*(C175-C173)/27,0)</f>
        <v>261</v>
      </c>
      <c r="N175" s="59">
        <f>ROUNDUP(((E174+E175)*0.5)*(C175-C173)/27,0)</f>
        <v>13</v>
      </c>
      <c r="O175" s="59"/>
      <c r="P175" s="59">
        <f>ROUNDUP(((G174+G175)*0.5)*(C175-C173)/27,0)</f>
        <v>0</v>
      </c>
      <c r="Q175" s="59">
        <f>ROUNDUP(((H175+H174)*0.5)*(C175-C173)/27,0)</f>
        <v>0</v>
      </c>
      <c r="R175" s="59">
        <f>ROUNDUP(((I175+I174)*0.5)*(C175-C173)/27,0)</f>
        <v>0</v>
      </c>
      <c r="S175" s="59">
        <f>ROUNDUP(((J175+J174)*0.5)*(C175-C173)/9,0)</f>
        <v>0</v>
      </c>
      <c r="T175" s="59">
        <f>ROUNDUP(((K175+K174)*0.5)*(C175-C173)/9,0)</f>
        <v>0</v>
      </c>
      <c r="U175" s="362">
        <f>ROUNDUP(((L175+L174)*0.5)*(C175-C173)/9,0)</f>
        <v>197</v>
      </c>
      <c r="V175" s="64"/>
      <c r="W175" s="106"/>
      <c r="X175" s="59"/>
      <c r="Y175" s="59"/>
      <c r="Z175" s="59"/>
      <c r="AA175" s="59"/>
      <c r="AB175" s="59"/>
      <c r="AC175" s="59"/>
      <c r="AD175" s="59"/>
      <c r="AE175" s="140"/>
      <c r="AF175" s="64" t="str">
        <f>B175</f>
        <v>back</v>
      </c>
      <c r="AG175" s="451">
        <f t="shared" si="509"/>
        <v>2050</v>
      </c>
      <c r="AH175" s="59"/>
      <c r="AI175" s="59"/>
      <c r="AJ175" s="59">
        <v>2.4868999999999999</v>
      </c>
      <c r="AK175" s="59">
        <v>4.8373999999999997</v>
      </c>
      <c r="AL175" s="59"/>
      <c r="AM175" s="59"/>
      <c r="AN175" s="59"/>
      <c r="AO175" s="59"/>
      <c r="AP175" s="59"/>
      <c r="AQ175" s="59"/>
      <c r="AR175" s="59"/>
      <c r="AS175" s="59"/>
      <c r="AT175" s="59"/>
      <c r="AU175" s="59"/>
      <c r="AV175" s="59"/>
      <c r="AW175" s="59"/>
      <c r="AX175" s="59"/>
      <c r="AY175" s="59"/>
      <c r="AZ175" s="59">
        <v>8.8819999999999997</v>
      </c>
      <c r="BA175" s="59"/>
      <c r="BB175" s="59"/>
      <c r="BC175" s="59"/>
      <c r="BD175" s="59"/>
      <c r="BE175" s="59"/>
      <c r="BF175" s="59"/>
      <c r="BG175" s="59"/>
      <c r="BH175" s="59"/>
      <c r="BI175" s="59"/>
      <c r="BJ175" s="59"/>
      <c r="BK175" s="59"/>
      <c r="BL175" s="59"/>
      <c r="BM175" s="59"/>
      <c r="BN175" s="59"/>
      <c r="BO175" s="59"/>
      <c r="BP175" s="59"/>
      <c r="BQ175" s="59"/>
      <c r="BR175" s="59"/>
      <c r="BS175" s="59"/>
      <c r="BT175" s="59"/>
      <c r="BU175" s="59"/>
      <c r="BV175" s="59"/>
      <c r="BW175" s="59"/>
      <c r="BX175" s="59"/>
      <c r="BY175" s="59"/>
      <c r="BZ175" s="59"/>
      <c r="CA175" s="59"/>
      <c r="CB175" s="59">
        <f>47.1081+4</f>
        <v>51.1081</v>
      </c>
      <c r="CC175" t="s">
        <v>94</v>
      </c>
    </row>
    <row r="176" spans="1:83" s="3" customFormat="1" ht="15.75" thickBot="1" x14ac:dyDescent="0.3">
      <c r="A176" s="503"/>
      <c r="B176" s="249" t="s">
        <v>54</v>
      </c>
      <c r="C176" s="505"/>
      <c r="D176" s="363">
        <f t="shared" si="504"/>
        <v>581.93469999999991</v>
      </c>
      <c r="E176" s="363">
        <f t="shared" si="505"/>
        <v>15.1015</v>
      </c>
      <c r="F176" s="184"/>
      <c r="G176" s="184">
        <f t="shared" si="506"/>
        <v>0</v>
      </c>
      <c r="H176" s="184">
        <f t="shared" si="395"/>
        <v>0</v>
      </c>
      <c r="I176" s="184">
        <f t="shared" si="396"/>
        <v>0</v>
      </c>
      <c r="J176" s="184">
        <f t="shared" si="397"/>
        <v>0</v>
      </c>
      <c r="K176" s="215">
        <f t="shared" si="398"/>
        <v>0</v>
      </c>
      <c r="L176" s="376">
        <f t="shared" si="507"/>
        <v>159.05590000000001</v>
      </c>
      <c r="M176" s="388"/>
      <c r="N176" s="184"/>
      <c r="O176" s="184"/>
      <c r="P176" s="184"/>
      <c r="Q176" s="184"/>
      <c r="R176" s="184"/>
      <c r="S176" s="184"/>
      <c r="T176" s="184"/>
      <c r="U176" s="363"/>
      <c r="V176" s="250"/>
      <c r="W176" s="255">
        <f>M172+M173+M174+M175+M176</f>
        <v>1914</v>
      </c>
      <c r="X176" s="255">
        <f>N172+N173+N174+N175+N176</f>
        <v>64</v>
      </c>
      <c r="Y176" s="255"/>
      <c r="Z176" s="255">
        <f>P172+P173+P174+P175+P176</f>
        <v>0</v>
      </c>
      <c r="AA176" s="255">
        <f t="shared" ref="AA176:AE176" si="537">Q172+Q173+Q174+Q175+Q176</f>
        <v>0</v>
      </c>
      <c r="AB176" s="255">
        <f t="shared" si="537"/>
        <v>0</v>
      </c>
      <c r="AC176" s="255">
        <f t="shared" si="537"/>
        <v>0</v>
      </c>
      <c r="AD176" s="255">
        <f t="shared" si="537"/>
        <v>0</v>
      </c>
      <c r="AE176" s="255">
        <f t="shared" si="537"/>
        <v>1477</v>
      </c>
      <c r="AF176" s="250" t="str">
        <f>B176</f>
        <v>ahead</v>
      </c>
      <c r="AG176" s="452"/>
      <c r="AH176" s="184">
        <v>573.20349999999996</v>
      </c>
      <c r="AI176" s="184">
        <v>1.4069</v>
      </c>
      <c r="AJ176" s="184">
        <v>2.4868999999999999</v>
      </c>
      <c r="AK176" s="184">
        <v>4.8373999999999997</v>
      </c>
      <c r="AL176" s="184"/>
      <c r="AM176" s="184"/>
      <c r="AN176" s="184"/>
      <c r="AO176" s="184"/>
      <c r="AP176" s="184"/>
      <c r="AQ176" s="184"/>
      <c r="AR176" s="184"/>
      <c r="AS176" s="184"/>
      <c r="AT176" s="184"/>
      <c r="AU176" s="184"/>
      <c r="AV176" s="184"/>
      <c r="AW176" s="184"/>
      <c r="AX176" s="184"/>
      <c r="AY176" s="184">
        <v>6.2195</v>
      </c>
      <c r="AZ176" s="184">
        <v>8.8819999999999997</v>
      </c>
      <c r="BA176" s="184"/>
      <c r="BB176" s="184"/>
      <c r="BC176" s="184"/>
      <c r="BD176" s="184"/>
      <c r="BE176" s="184"/>
      <c r="BF176" s="184"/>
      <c r="BG176" s="184"/>
      <c r="BH176" s="184"/>
      <c r="BI176" s="184"/>
      <c r="BJ176" s="184"/>
      <c r="BK176" s="184"/>
      <c r="BL176" s="184"/>
      <c r="BM176" s="184"/>
      <c r="BN176" s="184"/>
      <c r="BO176" s="184"/>
      <c r="BP176" s="184"/>
      <c r="BQ176" s="184"/>
      <c r="BR176" s="184"/>
      <c r="BS176" s="184"/>
      <c r="BT176" s="184"/>
      <c r="BU176" s="184"/>
      <c r="BV176" s="184"/>
      <c r="BW176" s="184"/>
      <c r="BX176" s="184"/>
      <c r="BY176" s="184"/>
      <c r="BZ176" s="184"/>
      <c r="CA176" s="59">
        <f>103.9478+4</f>
        <v>107.9478</v>
      </c>
      <c r="CB176" s="59">
        <f>47.1081+4</f>
        <v>51.1081</v>
      </c>
      <c r="CC176" s="271"/>
      <c r="CD176"/>
      <c r="CE176"/>
    </row>
    <row r="177" spans="1:113" x14ac:dyDescent="0.25">
      <c r="A177" s="503"/>
      <c r="C177" s="210">
        <v>2100</v>
      </c>
      <c r="D177" s="349">
        <f t="shared" si="504"/>
        <v>544.60080000000005</v>
      </c>
      <c r="E177" s="349">
        <f t="shared" si="505"/>
        <v>7.8769999999999998</v>
      </c>
      <c r="F177" s="147"/>
      <c r="G177" s="147">
        <f t="shared" si="506"/>
        <v>0</v>
      </c>
      <c r="H177" s="147">
        <f t="shared" si="395"/>
        <v>0</v>
      </c>
      <c r="I177" s="147">
        <f t="shared" si="396"/>
        <v>0</v>
      </c>
      <c r="J177" s="147">
        <f t="shared" si="397"/>
        <v>0</v>
      </c>
      <c r="K177" s="156">
        <f t="shared" si="398"/>
        <v>0</v>
      </c>
      <c r="L177" s="352">
        <f t="shared" si="507"/>
        <v>138.80000000000001</v>
      </c>
      <c r="M177" s="355">
        <f>ROUNDUP(((D176+D177)*0.5)*(C177-C175)/27,0)</f>
        <v>1044</v>
      </c>
      <c r="N177" s="147">
        <f>ROUNDUP(((E176+E177)*0.5)*(C177-C175)/27,0)</f>
        <v>22</v>
      </c>
      <c r="O177" s="147"/>
      <c r="P177" s="147">
        <f>ROUNDUP(((G176+G177)*0.5)*(C177-C175)/27,0)</f>
        <v>0</v>
      </c>
      <c r="Q177" s="147">
        <f>ROUNDUP(((H177+H176)*0.5)*(C177-C175)/27,0)</f>
        <v>0</v>
      </c>
      <c r="R177" s="147">
        <f>ROUNDUP(((I177+I176)*0.5)*(C177-C175)/27,0)</f>
        <v>0</v>
      </c>
      <c r="S177" s="147">
        <f>ROUNDUP(((J177+J176)*0.5)*(C177-C175)/9,0)</f>
        <v>0</v>
      </c>
      <c r="T177" s="147">
        <f>ROUNDUP(((K177+K176)*0.5)*(C177-C175)/9,0)</f>
        <v>0</v>
      </c>
      <c r="U177" s="349">
        <f>ROUNDUP(((L177+L176)*0.5)*(C177-C175)/9,0)</f>
        <v>828</v>
      </c>
      <c r="V177" s="56"/>
      <c r="W177" s="151"/>
      <c r="X177" s="147"/>
      <c r="Y177" s="147"/>
      <c r="Z177" s="147"/>
      <c r="AA177" s="147"/>
      <c r="AB177" s="147"/>
      <c r="AC177" s="147"/>
      <c r="AD177" s="147"/>
      <c r="AE177" s="148"/>
      <c r="AF177" s="55"/>
      <c r="AG177" s="155">
        <f t="shared" si="509"/>
        <v>2100</v>
      </c>
      <c r="AH177" s="147">
        <v>492.4221</v>
      </c>
      <c r="AI177" s="147">
        <v>5.8672000000000004</v>
      </c>
      <c r="AJ177" s="147">
        <v>46.311500000000002</v>
      </c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>
        <v>7.8769999999999998</v>
      </c>
      <c r="AZ177" s="147"/>
      <c r="BA177" s="147"/>
      <c r="BB177" s="147"/>
      <c r="BC177" s="147"/>
      <c r="BD177" s="147"/>
      <c r="BE177" s="147"/>
      <c r="BF177" s="147"/>
      <c r="BG177" s="147"/>
      <c r="BH177" s="147"/>
      <c r="BI177" s="147"/>
      <c r="BJ177" s="147"/>
      <c r="BK177" s="147"/>
      <c r="BL177" s="147"/>
      <c r="BM177" s="147"/>
      <c r="BN177" s="147"/>
      <c r="BO177" s="147"/>
      <c r="BP177" s="147"/>
      <c r="BQ177" s="147"/>
      <c r="BR177" s="147"/>
      <c r="BS177" s="147"/>
      <c r="BT177" s="147"/>
      <c r="BU177" s="147"/>
      <c r="BV177" s="147"/>
      <c r="BW177" s="147"/>
      <c r="BX177" s="147"/>
      <c r="BY177" s="147"/>
      <c r="BZ177" s="147"/>
      <c r="CA177" s="147"/>
      <c r="CB177">
        <f>130.8+8</f>
        <v>138.80000000000001</v>
      </c>
      <c r="CC177" s="1">
        <f t="shared" si="400"/>
        <v>2100</v>
      </c>
    </row>
    <row r="178" spans="1:113" x14ac:dyDescent="0.25">
      <c r="A178" s="503"/>
      <c r="C178" s="121">
        <v>2150</v>
      </c>
      <c r="D178" s="347">
        <f t="shared" si="504"/>
        <v>91.947699999999998</v>
      </c>
      <c r="E178" s="347">
        <f t="shared" si="505"/>
        <v>5.1078000000000001</v>
      </c>
      <c r="F178" s="58"/>
      <c r="G178" s="58">
        <f t="shared" si="506"/>
        <v>0</v>
      </c>
      <c r="H178" s="58">
        <f t="shared" si="395"/>
        <v>0</v>
      </c>
      <c r="I178" s="58">
        <f t="shared" si="396"/>
        <v>0</v>
      </c>
      <c r="J178" s="58">
        <f t="shared" si="397"/>
        <v>0</v>
      </c>
      <c r="K178" s="51">
        <f t="shared" si="398"/>
        <v>0</v>
      </c>
      <c r="L178" s="350">
        <f t="shared" si="507"/>
        <v>71.099999999999994</v>
      </c>
      <c r="M178" s="353">
        <f t="shared" si="510"/>
        <v>590</v>
      </c>
      <c r="N178" s="58">
        <f t="shared" si="511"/>
        <v>13</v>
      </c>
      <c r="O178" s="58"/>
      <c r="P178" s="58">
        <f t="shared" si="512"/>
        <v>0</v>
      </c>
      <c r="Q178" s="58">
        <f t="shared" si="513"/>
        <v>0</v>
      </c>
      <c r="R178" s="58">
        <f t="shared" si="514"/>
        <v>0</v>
      </c>
      <c r="S178" s="58">
        <f t="shared" si="515"/>
        <v>0</v>
      </c>
      <c r="T178" s="58">
        <f t="shared" si="516"/>
        <v>0</v>
      </c>
      <c r="U178" s="347">
        <f t="shared" si="517"/>
        <v>584</v>
      </c>
      <c r="V178" s="56"/>
      <c r="W178" s="105"/>
      <c r="X178" s="58"/>
      <c r="Y178" s="58"/>
      <c r="Z178" s="58"/>
      <c r="AA178" s="58"/>
      <c r="AB178" s="58"/>
      <c r="AC178" s="58"/>
      <c r="AD178" s="58"/>
      <c r="AE178" s="138"/>
      <c r="AF178" s="55"/>
      <c r="AG178" s="57">
        <f t="shared" si="509"/>
        <v>2150</v>
      </c>
      <c r="AH178" s="58">
        <v>58.301699999999997</v>
      </c>
      <c r="AI178" s="58">
        <v>3.0013000000000001</v>
      </c>
      <c r="AJ178" s="58">
        <v>3.2443</v>
      </c>
      <c r="AK178" s="58">
        <v>27.400400000000001</v>
      </c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>
        <v>1.0831999999999999</v>
      </c>
      <c r="AZ178" s="58">
        <v>4.0246000000000004</v>
      </c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8"/>
      <c r="BQ178" s="58"/>
      <c r="BR178" s="58"/>
      <c r="BS178" s="58"/>
      <c r="BT178" s="58"/>
      <c r="BU178" s="58"/>
      <c r="BV178" s="58"/>
      <c r="BW178" s="58"/>
      <c r="BX178" s="58"/>
      <c r="BY178" s="58"/>
      <c r="BZ178" s="58"/>
      <c r="CA178" s="58"/>
      <c r="CB178">
        <f>63.1+8</f>
        <v>71.099999999999994</v>
      </c>
      <c r="CC178" s="1">
        <f t="shared" si="400"/>
        <v>2150</v>
      </c>
    </row>
    <row r="179" spans="1:113" ht="15.75" thickBot="1" x14ac:dyDescent="0.3">
      <c r="A179" s="503"/>
      <c r="C179" s="121">
        <v>2154</v>
      </c>
      <c r="D179" s="347">
        <f t="shared" ref="D179" si="538">SUM(AH179:AX179)</f>
        <v>0</v>
      </c>
      <c r="E179" s="347">
        <f t="shared" ref="E179" si="539">SUM(AY179:BG179)</f>
        <v>0</v>
      </c>
      <c r="F179" s="58"/>
      <c r="G179" s="58">
        <f t="shared" ref="G179" si="540">SUM(BL179:BN179)</f>
        <v>0</v>
      </c>
      <c r="H179" s="58">
        <f t="shared" si="395"/>
        <v>0</v>
      </c>
      <c r="I179" s="58">
        <f t="shared" si="396"/>
        <v>0</v>
      </c>
      <c r="J179" s="58">
        <f t="shared" si="397"/>
        <v>0</v>
      </c>
      <c r="K179" s="51">
        <f t="shared" si="398"/>
        <v>0</v>
      </c>
      <c r="L179" s="350">
        <f t="shared" ref="L179" si="541">SUM(BY179:CB179)</f>
        <v>8</v>
      </c>
      <c r="M179" s="353">
        <f t="shared" ref="M179" si="542">ROUNDUP(((D178+D179)*0.5)*(C179-C178)/27,0)</f>
        <v>7</v>
      </c>
      <c r="N179" s="58">
        <f t="shared" ref="N179" si="543">ROUNDUP(((E178+E179)*0.5)*(C179-C178)/27,0)</f>
        <v>1</v>
      </c>
      <c r="O179" s="58"/>
      <c r="P179" s="58">
        <f t="shared" ref="P179" si="544">ROUNDUP(((G178+G179)*0.5)*(C179-C178)/27,0)</f>
        <v>0</v>
      </c>
      <c r="Q179" s="58">
        <f t="shared" ref="Q179" si="545">ROUNDUP(((H179+H178)*0.5)*(C179-C178)/27,0)</f>
        <v>0</v>
      </c>
      <c r="R179" s="58">
        <f t="shared" ref="R179" si="546">ROUNDUP(((I179+I178)*0.5)*(C179-C178)/27,0)</f>
        <v>0</v>
      </c>
      <c r="S179" s="58">
        <f t="shared" ref="S179" si="547">ROUNDUP(((J179+J178)*0.5)*(C179-C178)/9,0)</f>
        <v>0</v>
      </c>
      <c r="T179" s="58">
        <f t="shared" ref="T179" si="548">ROUNDUP(((K179+K178)*0.5)*(C179-C178)/9,0)</f>
        <v>0</v>
      </c>
      <c r="U179" s="347">
        <f t="shared" ref="U179" si="549">ROUNDUP(((L179+L178)*0.5)*(C179-C178)/9,0)</f>
        <v>18</v>
      </c>
      <c r="W179" s="255">
        <f>M177+M178+M179</f>
        <v>1641</v>
      </c>
      <c r="X179" s="255">
        <f t="shared" ref="X179" si="550">N177+N178+N179</f>
        <v>36</v>
      </c>
      <c r="Y179" s="255"/>
      <c r="Z179" s="255">
        <f t="shared" ref="Z179" si="551">P177+P178+P179</f>
        <v>0</v>
      </c>
      <c r="AA179" s="255">
        <f t="shared" ref="AA179" si="552">Q177+Q178+Q179</f>
        <v>0</v>
      </c>
      <c r="AB179" s="255">
        <f t="shared" ref="AB179" si="553">R177+R178+R179</f>
        <v>0</v>
      </c>
      <c r="AC179" s="255">
        <f t="shared" ref="AC179" si="554">S177+S178+S179</f>
        <v>0</v>
      </c>
      <c r="AD179" s="255">
        <f t="shared" ref="AD179" si="555">T177+T178+T179</f>
        <v>0</v>
      </c>
      <c r="AE179" s="255">
        <f t="shared" ref="AE179" si="556">U177+U178+U179</f>
        <v>1430</v>
      </c>
      <c r="CB179">
        <v>8</v>
      </c>
      <c r="CC179" s="1">
        <f t="shared" si="400"/>
        <v>2154</v>
      </c>
    </row>
    <row r="180" spans="1:113" x14ac:dyDescent="0.25">
      <c r="A180" s="503"/>
      <c r="AE180" s="208"/>
    </row>
    <row r="181" spans="1:113" ht="21" x14ac:dyDescent="0.35">
      <c r="A181" s="503"/>
      <c r="M181" s="385">
        <f>SUM(M147:M179)</f>
        <v>242716</v>
      </c>
      <c r="N181" s="120">
        <f t="shared" ref="N181:U181" si="557">SUM(N147:N179)</f>
        <v>2913</v>
      </c>
      <c r="O181" s="120"/>
      <c r="P181" s="120">
        <f t="shared" si="557"/>
        <v>0</v>
      </c>
      <c r="Q181" s="120">
        <f t="shared" si="557"/>
        <v>513</v>
      </c>
      <c r="R181" s="120">
        <f t="shared" si="557"/>
        <v>513</v>
      </c>
      <c r="S181" s="120">
        <f t="shared" si="557"/>
        <v>2799</v>
      </c>
      <c r="T181" s="120">
        <f t="shared" si="557"/>
        <v>2799</v>
      </c>
      <c r="U181" s="385">
        <f t="shared" si="557"/>
        <v>31648</v>
      </c>
      <c r="W181" s="120">
        <f>SUM(W147:W179)</f>
        <v>242716</v>
      </c>
      <c r="X181" s="120">
        <f t="shared" ref="X181:AE181" si="558">SUM(X147:X179)</f>
        <v>2913</v>
      </c>
      <c r="Y181" s="120"/>
      <c r="Z181" s="120">
        <f t="shared" si="558"/>
        <v>0</v>
      </c>
      <c r="AA181" s="120">
        <f t="shared" si="558"/>
        <v>513</v>
      </c>
      <c r="AB181" s="120">
        <f t="shared" si="558"/>
        <v>513</v>
      </c>
      <c r="AC181" s="120">
        <f t="shared" si="558"/>
        <v>2799</v>
      </c>
      <c r="AD181" s="120">
        <f t="shared" si="558"/>
        <v>2799</v>
      </c>
      <c r="AE181" s="209">
        <f t="shared" si="558"/>
        <v>31648</v>
      </c>
    </row>
    <row r="182" spans="1:113" ht="15.75" thickBot="1" x14ac:dyDescent="0.3">
      <c r="AE182" s="208"/>
      <c r="CC182" s="1"/>
      <c r="CD182" s="3"/>
      <c r="CE182" s="3"/>
    </row>
    <row r="183" spans="1:113" ht="15.75" thickBot="1" x14ac:dyDescent="0.3">
      <c r="AE183" s="208"/>
      <c r="CC183" s="1"/>
    </row>
    <row r="184" spans="1:113" s="2" customFormat="1" ht="15" customHeight="1" x14ac:dyDescent="0.25">
      <c r="A184" s="502" t="s">
        <v>62</v>
      </c>
      <c r="B184" s="125"/>
      <c r="C184" s="121">
        <v>4542.93</v>
      </c>
      <c r="D184" s="347">
        <f>SUM(AH184:AX184)</f>
        <v>32.123600000000003</v>
      </c>
      <c r="E184" s="347">
        <f>SUM(AY184:BG184)</f>
        <v>0</v>
      </c>
      <c r="F184" s="58">
        <f t="shared" ref="F184:F248" si="559">SUM(BJ184:BK184)</f>
        <v>0</v>
      </c>
      <c r="G184" s="58">
        <f>SUM(BL184:BN184)</f>
        <v>0</v>
      </c>
      <c r="H184" s="58">
        <f t="shared" ref="H184:H248" si="560">SUM(BO184:BQ184)</f>
        <v>60.796399999999998</v>
      </c>
      <c r="I184" s="58">
        <f t="shared" ref="I184:I248" si="561">SUM(BR184:BT184)</f>
        <v>60.796399999999998</v>
      </c>
      <c r="J184" s="58">
        <f t="shared" ref="J184:J248" si="562">SUM(BU184:BV184)</f>
        <v>59.209600000000002</v>
      </c>
      <c r="K184" s="51">
        <f t="shared" ref="K184:K248" si="563">BW184+BX184</f>
        <v>59.209600000000002</v>
      </c>
      <c r="L184" s="350">
        <f>SUM(BY184:CB184)</f>
        <v>10</v>
      </c>
      <c r="M184" s="353"/>
      <c r="N184" s="58"/>
      <c r="O184" s="58"/>
      <c r="P184" s="58"/>
      <c r="Q184" s="58"/>
      <c r="R184" s="58"/>
      <c r="S184" s="58"/>
      <c r="T184" s="58"/>
      <c r="U184" s="347"/>
      <c r="V184" s="56"/>
      <c r="W184" s="105"/>
      <c r="X184" s="58"/>
      <c r="Y184" s="58"/>
      <c r="Z184" s="58"/>
      <c r="AA184" s="58"/>
      <c r="AB184" s="58"/>
      <c r="AC184" s="58"/>
      <c r="AD184" s="58"/>
      <c r="AE184" s="138"/>
      <c r="AF184" s="55"/>
      <c r="AG184" s="57">
        <f t="shared" ref="AG184:AG198" si="564">C184</f>
        <v>4542.93</v>
      </c>
      <c r="AH184" s="58">
        <v>32.123600000000003</v>
      </c>
      <c r="AI184" s="58"/>
      <c r="AJ184" s="58"/>
      <c r="AK184" s="58"/>
      <c r="AL184" s="58"/>
      <c r="AM184" s="58"/>
      <c r="AN184" s="58"/>
      <c r="AO184" s="58"/>
      <c r="AP184" s="58"/>
      <c r="AQ184" s="58"/>
      <c r="AR184" s="58"/>
      <c r="AS184" s="58"/>
      <c r="AT184" s="58"/>
      <c r="AU184" s="58"/>
      <c r="AV184" s="58"/>
      <c r="AW184" s="58"/>
      <c r="AX184" s="58"/>
      <c r="AY184" s="58"/>
      <c r="AZ184" s="58"/>
      <c r="BA184" s="58"/>
      <c r="BB184" s="58"/>
      <c r="BC184" s="58"/>
      <c r="BD184" s="58"/>
      <c r="BE184" s="58"/>
      <c r="BF184" s="58"/>
      <c r="BG184" s="58"/>
      <c r="BH184" s="58"/>
      <c r="BI184" s="58"/>
      <c r="BJ184" s="58"/>
      <c r="BK184" s="58"/>
      <c r="BL184" s="58"/>
      <c r="BM184" s="58"/>
      <c r="BN184" s="58"/>
      <c r="BO184" s="58">
        <v>60.796399999999998</v>
      </c>
      <c r="BP184" s="58"/>
      <c r="BQ184" s="58"/>
      <c r="BR184" s="58">
        <f t="shared" ref="BR184" si="565">BO184</f>
        <v>60.796399999999998</v>
      </c>
      <c r="BS184" s="58"/>
      <c r="BT184" s="58"/>
      <c r="BU184" s="58">
        <v>59.209600000000002</v>
      </c>
      <c r="BV184" s="58"/>
      <c r="BW184" s="58">
        <f t="shared" ref="BW184" si="566">BU184</f>
        <v>59.209600000000002</v>
      </c>
      <c r="BX184" s="58"/>
      <c r="BY184" s="58"/>
      <c r="BZ184" s="58"/>
      <c r="CA184" s="58"/>
      <c r="CB184" s="263">
        <f>2+8</f>
        <v>10</v>
      </c>
      <c r="CC184" s="1">
        <f t="shared" ref="CC184:CC248" si="567">C184</f>
        <v>4542.93</v>
      </c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 s="41"/>
    </row>
    <row r="185" spans="1:113" x14ac:dyDescent="0.25">
      <c r="A185" s="503"/>
      <c r="B185" s="125"/>
      <c r="C185" s="121">
        <v>4550</v>
      </c>
      <c r="D185" s="347">
        <f t="shared" ref="D185:D198" si="568">SUM(AH185:AX185)</f>
        <v>50.6145</v>
      </c>
      <c r="E185" s="347">
        <f t="shared" ref="E185:E188" si="569">SUM(AY185:BG185)</f>
        <v>0</v>
      </c>
      <c r="F185" s="58">
        <f t="shared" si="559"/>
        <v>0</v>
      </c>
      <c r="G185" s="58">
        <f t="shared" ref="G185:G198" si="570">SUM(BL185:BN185)</f>
        <v>0</v>
      </c>
      <c r="H185" s="58">
        <f t="shared" si="560"/>
        <v>60.838099999999997</v>
      </c>
      <c r="I185" s="58">
        <f t="shared" si="561"/>
        <v>60.838099999999997</v>
      </c>
      <c r="J185" s="58">
        <f t="shared" si="562"/>
        <v>59.342300000000002</v>
      </c>
      <c r="K185" s="51">
        <f t="shared" si="563"/>
        <v>59.342300000000002</v>
      </c>
      <c r="L185" s="350">
        <f t="shared" ref="L185:L198" si="571">SUM(BY185:CB185)</f>
        <v>45.1</v>
      </c>
      <c r="M185" s="353">
        <f>ROUNDUP(((D184+D185)*0.5)*(C185-C184)/27,0)</f>
        <v>11</v>
      </c>
      <c r="N185" s="58">
        <f>ROUNDUP(((E184+E185)*0.5)*(C185-C184)/27,0)</f>
        <v>0</v>
      </c>
      <c r="O185" s="58"/>
      <c r="P185" s="58">
        <f>ROUNDUP(((G184+G185)*0.5)*(C185-C184)/27,0)</f>
        <v>0</v>
      </c>
      <c r="Q185" s="58">
        <f>ROUNDUP(((H185+H184)*0.5)*(C185-C184)/27,0)</f>
        <v>16</v>
      </c>
      <c r="R185" s="58">
        <f>ROUNDUP(((I185+I184)*0.5)*(C185-C184)/27,0)</f>
        <v>16</v>
      </c>
      <c r="S185" s="58">
        <f>ROUNDUP(((J185+J184)*0.5)*(C185-C184)/9,0)</f>
        <v>47</v>
      </c>
      <c r="T185" s="58">
        <f>ROUNDUP(((K185+K184)*0.5)*(C185-C184)/9,0)</f>
        <v>47</v>
      </c>
      <c r="U185" s="347">
        <f>ROUNDUP(((L185+L184)*0.5)*(C185-C184)/9,0)</f>
        <v>22</v>
      </c>
      <c r="V185" s="56"/>
      <c r="W185" s="105"/>
      <c r="X185" s="58"/>
      <c r="Y185" s="58"/>
      <c r="Z185" s="58"/>
      <c r="AA185" s="58"/>
      <c r="AB185" s="58"/>
      <c r="AC185" s="58"/>
      <c r="AD185" s="58"/>
      <c r="AE185" s="138"/>
      <c r="AF185" s="55"/>
      <c r="AG185" s="57">
        <f t="shared" si="564"/>
        <v>4550</v>
      </c>
      <c r="AH185" s="58">
        <v>50.6145</v>
      </c>
      <c r="AI185" s="58"/>
      <c r="AJ185" s="58"/>
      <c r="AK185" s="58"/>
      <c r="AL185" s="58"/>
      <c r="AM185" s="58"/>
      <c r="AN185" s="58"/>
      <c r="AO185" s="58"/>
      <c r="AP185" s="58"/>
      <c r="AQ185" s="58"/>
      <c r="AR185" s="58"/>
      <c r="AS185" s="58"/>
      <c r="AT185" s="58"/>
      <c r="AU185" s="58"/>
      <c r="AV185" s="58"/>
      <c r="AW185" s="58"/>
      <c r="AX185" s="58"/>
      <c r="AY185" s="58"/>
      <c r="AZ185" s="58"/>
      <c r="BA185" s="58"/>
      <c r="BB185" s="58"/>
      <c r="BC185" s="58"/>
      <c r="BD185" s="58"/>
      <c r="BE185" s="58"/>
      <c r="BF185" s="58"/>
      <c r="BG185" s="58"/>
      <c r="BH185" s="58"/>
      <c r="BI185" s="58"/>
      <c r="BJ185" s="58"/>
      <c r="BK185" s="58"/>
      <c r="BL185" s="58"/>
      <c r="BM185" s="58"/>
      <c r="BN185" s="58"/>
      <c r="BO185" s="58">
        <v>60.838099999999997</v>
      </c>
      <c r="BP185" s="58"/>
      <c r="BQ185" s="58"/>
      <c r="BR185" s="58">
        <f t="shared" ref="BR185:BR189" si="572">BO185</f>
        <v>60.838099999999997</v>
      </c>
      <c r="BS185" s="58"/>
      <c r="BT185" s="58"/>
      <c r="BU185" s="58">
        <v>59.342300000000002</v>
      </c>
      <c r="BV185" s="58"/>
      <c r="BW185" s="58">
        <f t="shared" ref="BW185:BW189" si="573">BU185</f>
        <v>59.342300000000002</v>
      </c>
      <c r="BX185" s="58"/>
      <c r="BY185" s="58"/>
      <c r="BZ185" s="58"/>
      <c r="CA185" s="58"/>
      <c r="CB185" s="263">
        <f>37.1+8</f>
        <v>45.1</v>
      </c>
      <c r="CC185" s="1">
        <f t="shared" si="567"/>
        <v>4550</v>
      </c>
    </row>
    <row r="186" spans="1:113" s="3" customFormat="1" ht="15.75" thickBot="1" x14ac:dyDescent="0.3">
      <c r="A186" s="503"/>
      <c r="B186" s="211"/>
      <c r="C186" s="212">
        <v>4600</v>
      </c>
      <c r="D186" s="348">
        <f t="shared" si="568"/>
        <v>27.280999999999999</v>
      </c>
      <c r="E186" s="348">
        <f t="shared" si="569"/>
        <v>0</v>
      </c>
      <c r="F186" s="144">
        <f t="shared" si="559"/>
        <v>0</v>
      </c>
      <c r="G186" s="144">
        <f t="shared" si="570"/>
        <v>0</v>
      </c>
      <c r="H186" s="144">
        <f t="shared" si="560"/>
        <v>61.619900000000001</v>
      </c>
      <c r="I186" s="144">
        <f t="shared" si="561"/>
        <v>61.619900000000001</v>
      </c>
      <c r="J186" s="144">
        <f t="shared" si="562"/>
        <v>60.236199999999997</v>
      </c>
      <c r="K186" s="159">
        <f t="shared" si="563"/>
        <v>60.236199999999997</v>
      </c>
      <c r="L186" s="351">
        <f t="shared" si="571"/>
        <v>29.7</v>
      </c>
      <c r="M186" s="354">
        <f t="shared" ref="M186:M198" si="574">ROUNDUP(((D185+D186)*0.5)*(C186-C185)/27,0)</f>
        <v>73</v>
      </c>
      <c r="N186" s="144">
        <f t="shared" ref="N186:N198" si="575">ROUNDUP(((E185+E186)*0.5)*(C186-C185)/27,0)</f>
        <v>0</v>
      </c>
      <c r="O186" s="144"/>
      <c r="P186" s="144">
        <f t="shared" ref="P186:P198" si="576">ROUNDUP(((G185+G186)*0.5)*(C186-C185)/27,0)</f>
        <v>0</v>
      </c>
      <c r="Q186" s="144">
        <f t="shared" ref="Q186:Q198" si="577">ROUNDUP(((H186+H185)*0.5)*(C186-C185)/27,0)</f>
        <v>114</v>
      </c>
      <c r="R186" s="144">
        <f t="shared" ref="R186:R198" si="578">ROUNDUP(((I186+I185)*0.5)*(C186-C185)/27,0)</f>
        <v>114</v>
      </c>
      <c r="S186" s="144">
        <f t="shared" ref="S186:S198" si="579">ROUNDUP(((J186+J185)*0.5)*(C186-C185)/9,0)</f>
        <v>333</v>
      </c>
      <c r="T186" s="144">
        <f t="shared" ref="T186:T198" si="580">ROUNDUP(((K186+K185)*0.5)*(C186-C185)/9,0)</f>
        <v>333</v>
      </c>
      <c r="U186" s="348">
        <f t="shared" ref="U186:U198" si="581">ROUNDUP(((L186+L185)*0.5)*(C186-C185)/9,0)</f>
        <v>208</v>
      </c>
      <c r="V186" s="154"/>
      <c r="W186" s="255">
        <f>M184+M185+M186</f>
        <v>84</v>
      </c>
      <c r="X186" s="255">
        <f t="shared" ref="X186" si="582">N184+N185+N186</f>
        <v>0</v>
      </c>
      <c r="Y186" s="255"/>
      <c r="Z186" s="255">
        <f t="shared" ref="Z186" si="583">P184+P185+P186</f>
        <v>0</v>
      </c>
      <c r="AA186" s="255">
        <f t="shared" ref="AA186" si="584">Q184+Q185+Q186</f>
        <v>130</v>
      </c>
      <c r="AB186" s="255">
        <f t="shared" ref="AB186" si="585">R184+R185+R186</f>
        <v>130</v>
      </c>
      <c r="AC186" s="255">
        <f t="shared" ref="AC186" si="586">S184+S185+S186</f>
        <v>380</v>
      </c>
      <c r="AD186" s="255">
        <f t="shared" ref="AD186" si="587">T184+T185+T186</f>
        <v>380</v>
      </c>
      <c r="AE186" s="255">
        <f t="shared" ref="AE186" si="588">U184+U185+U186</f>
        <v>230</v>
      </c>
      <c r="AF186" s="153"/>
      <c r="AG186" s="158">
        <f t="shared" si="564"/>
        <v>4600</v>
      </c>
      <c r="AH186" s="144">
        <v>0.66769999999999996</v>
      </c>
      <c r="AI186" s="144">
        <v>26.425599999999999</v>
      </c>
      <c r="AJ186" s="144">
        <v>0.18770000000000001</v>
      </c>
      <c r="AK186" s="144"/>
      <c r="AL186" s="144"/>
      <c r="AM186" s="144"/>
      <c r="AN186" s="144"/>
      <c r="AO186" s="144"/>
      <c r="AP186" s="144"/>
      <c r="AQ186" s="144"/>
      <c r="AR186" s="144"/>
      <c r="AS186" s="144"/>
      <c r="AT186" s="144"/>
      <c r="AU186" s="144"/>
      <c r="AV186" s="144"/>
      <c r="AW186" s="144"/>
      <c r="AX186" s="144"/>
      <c r="AY186" s="144"/>
      <c r="AZ186" s="144"/>
      <c r="BA186" s="144"/>
      <c r="BB186" s="144"/>
      <c r="BC186" s="144"/>
      <c r="BD186" s="144"/>
      <c r="BE186" s="144"/>
      <c r="BF186" s="144"/>
      <c r="BG186" s="144"/>
      <c r="BH186" s="144"/>
      <c r="BI186" s="144"/>
      <c r="BJ186" s="144"/>
      <c r="BK186" s="144"/>
      <c r="BL186" s="144"/>
      <c r="BM186" s="144"/>
      <c r="BN186" s="144"/>
      <c r="BO186" s="144">
        <v>61.619900000000001</v>
      </c>
      <c r="BP186" s="144"/>
      <c r="BQ186" s="144"/>
      <c r="BR186" s="144">
        <f t="shared" si="572"/>
        <v>61.619900000000001</v>
      </c>
      <c r="BS186" s="144"/>
      <c r="BT186" s="144"/>
      <c r="BU186" s="144">
        <v>60.236199999999997</v>
      </c>
      <c r="BV186" s="144"/>
      <c r="BW186" s="144">
        <f t="shared" si="573"/>
        <v>60.236199999999997</v>
      </c>
      <c r="BX186" s="144"/>
      <c r="BY186" s="144"/>
      <c r="BZ186" s="144"/>
      <c r="CA186" s="144"/>
      <c r="CB186" s="265">
        <f>21.7+8</f>
        <v>29.7</v>
      </c>
      <c r="CC186" s="1">
        <f t="shared" si="567"/>
        <v>4600</v>
      </c>
      <c r="CD186"/>
      <c r="CE186"/>
    </row>
    <row r="187" spans="1:113" s="2" customFormat="1" x14ac:dyDescent="0.25">
      <c r="A187" s="503"/>
      <c r="B187" s="125"/>
      <c r="C187" s="210">
        <v>4650</v>
      </c>
      <c r="D187" s="349">
        <f t="shared" si="568"/>
        <v>9.6847999999999992</v>
      </c>
      <c r="E187" s="349">
        <f t="shared" si="569"/>
        <v>6.7766999999999999</v>
      </c>
      <c r="F187" s="147">
        <f t="shared" si="559"/>
        <v>0</v>
      </c>
      <c r="G187" s="147">
        <f t="shared" si="570"/>
        <v>0</v>
      </c>
      <c r="H187" s="147">
        <f t="shared" si="560"/>
        <v>61.924300000000002</v>
      </c>
      <c r="I187" s="147">
        <f t="shared" si="561"/>
        <v>61.924300000000002</v>
      </c>
      <c r="J187" s="147">
        <f t="shared" si="562"/>
        <v>61.130099999999999</v>
      </c>
      <c r="K187" s="156">
        <f t="shared" si="563"/>
        <v>61.130099999999999</v>
      </c>
      <c r="L187" s="352">
        <f t="shared" si="571"/>
        <v>25.2</v>
      </c>
      <c r="M187" s="355">
        <f t="shared" si="574"/>
        <v>35</v>
      </c>
      <c r="N187" s="147">
        <f t="shared" si="575"/>
        <v>7</v>
      </c>
      <c r="O187" s="147"/>
      <c r="P187" s="147">
        <f t="shared" si="576"/>
        <v>0</v>
      </c>
      <c r="Q187" s="147">
        <f t="shared" si="577"/>
        <v>115</v>
      </c>
      <c r="R187" s="147">
        <f t="shared" si="578"/>
        <v>115</v>
      </c>
      <c r="S187" s="147">
        <f t="shared" si="579"/>
        <v>338</v>
      </c>
      <c r="T187" s="147">
        <f t="shared" si="580"/>
        <v>338</v>
      </c>
      <c r="U187" s="349">
        <f t="shared" si="581"/>
        <v>153</v>
      </c>
      <c r="V187" s="56"/>
      <c r="W187" s="151"/>
      <c r="X187" s="147"/>
      <c r="Y187" s="147"/>
      <c r="Z187" s="147"/>
      <c r="AA187" s="147"/>
      <c r="AB187" s="147"/>
      <c r="AC187" s="147"/>
      <c r="AD187" s="147"/>
      <c r="AE187" s="148"/>
      <c r="AF187" s="55"/>
      <c r="AG187" s="155">
        <f t="shared" si="564"/>
        <v>4650</v>
      </c>
      <c r="AH187" s="147">
        <v>3.9771000000000001</v>
      </c>
      <c r="AI187" s="147">
        <v>5.7077</v>
      </c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>
        <v>3.5625</v>
      </c>
      <c r="AZ187" s="147">
        <v>3.2141999999999999</v>
      </c>
      <c r="BA187" s="147"/>
      <c r="BB187" s="147"/>
      <c r="BC187" s="147"/>
      <c r="BD187" s="147"/>
      <c r="BE187" s="147"/>
      <c r="BF187" s="147"/>
      <c r="BG187" s="147"/>
      <c r="BH187" s="147"/>
      <c r="BI187" s="147"/>
      <c r="BJ187" s="147"/>
      <c r="BK187" s="147"/>
      <c r="BL187" s="147"/>
      <c r="BM187" s="147"/>
      <c r="BN187" s="147"/>
      <c r="BO187" s="147">
        <v>61.924300000000002</v>
      </c>
      <c r="BP187" s="147"/>
      <c r="BQ187" s="147"/>
      <c r="BR187" s="147">
        <f t="shared" si="572"/>
        <v>61.924300000000002</v>
      </c>
      <c r="BS187" s="147"/>
      <c r="BT187" s="147"/>
      <c r="BU187" s="147">
        <v>61.130099999999999</v>
      </c>
      <c r="BV187" s="147"/>
      <c r="BW187" s="147">
        <f t="shared" si="573"/>
        <v>61.130099999999999</v>
      </c>
      <c r="BX187" s="147"/>
      <c r="BY187" s="147"/>
      <c r="BZ187" s="147"/>
      <c r="CA187" s="147"/>
      <c r="CB187" s="266">
        <f>17.2+8</f>
        <v>25.2</v>
      </c>
      <c r="CC187" s="1">
        <f t="shared" si="567"/>
        <v>4650</v>
      </c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 s="41"/>
    </row>
    <row r="188" spans="1:113" s="2" customFormat="1" x14ac:dyDescent="0.25">
      <c r="A188" s="503"/>
      <c r="B188" s="125"/>
      <c r="C188" s="121">
        <v>4700</v>
      </c>
      <c r="D188" s="347">
        <f t="shared" si="568"/>
        <v>0.71079999999999999</v>
      </c>
      <c r="E188" s="347">
        <f t="shared" si="569"/>
        <v>20.645499999999998</v>
      </c>
      <c r="F188" s="58">
        <f t="shared" si="559"/>
        <v>0</v>
      </c>
      <c r="G188" s="58">
        <f t="shared" si="570"/>
        <v>0</v>
      </c>
      <c r="H188" s="58">
        <f t="shared" si="560"/>
        <v>60.8964</v>
      </c>
      <c r="I188" s="58">
        <f t="shared" si="561"/>
        <v>60.8964</v>
      </c>
      <c r="J188" s="58">
        <f t="shared" si="562"/>
        <v>62.024099999999997</v>
      </c>
      <c r="K188" s="51">
        <f t="shared" si="563"/>
        <v>62.024099999999997</v>
      </c>
      <c r="L188" s="350">
        <f t="shared" si="571"/>
        <v>35.5</v>
      </c>
      <c r="M188" s="353">
        <f t="shared" si="574"/>
        <v>10</v>
      </c>
      <c r="N188" s="58">
        <f t="shared" si="575"/>
        <v>26</v>
      </c>
      <c r="O188" s="58"/>
      <c r="P188" s="58">
        <f t="shared" si="576"/>
        <v>0</v>
      </c>
      <c r="Q188" s="58">
        <f t="shared" si="577"/>
        <v>114</v>
      </c>
      <c r="R188" s="58">
        <f t="shared" si="578"/>
        <v>114</v>
      </c>
      <c r="S188" s="58">
        <f t="shared" si="579"/>
        <v>343</v>
      </c>
      <c r="T188" s="58">
        <f t="shared" si="580"/>
        <v>343</v>
      </c>
      <c r="U188" s="347">
        <f t="shared" si="581"/>
        <v>169</v>
      </c>
      <c r="V188" s="56"/>
      <c r="W188" s="105"/>
      <c r="X188" s="58"/>
      <c r="Y188" s="58"/>
      <c r="Z188" s="58"/>
      <c r="AA188" s="58"/>
      <c r="AB188" s="58"/>
      <c r="AC188" s="58"/>
      <c r="AD188" s="58"/>
      <c r="AE188" s="138"/>
      <c r="AF188" s="55"/>
      <c r="AG188" s="57">
        <f t="shared" si="564"/>
        <v>4700</v>
      </c>
      <c r="AH188" s="58">
        <v>0.71079999999999999</v>
      </c>
      <c r="AI188" s="58"/>
      <c r="AJ188" s="58"/>
      <c r="AK188" s="58"/>
      <c r="AL188" s="58"/>
      <c r="AM188" s="58"/>
      <c r="AN188" s="58"/>
      <c r="AO188" s="58"/>
      <c r="AP188" s="58"/>
      <c r="AQ188" s="58"/>
      <c r="AR188" s="58"/>
      <c r="AS188" s="58"/>
      <c r="AT188" s="58"/>
      <c r="AU188" s="58"/>
      <c r="AV188" s="58"/>
      <c r="AW188" s="58"/>
      <c r="AX188" s="58"/>
      <c r="AY188" s="58">
        <v>8.8889999999999993</v>
      </c>
      <c r="AZ188" s="58">
        <v>11.756500000000001</v>
      </c>
      <c r="BA188" s="58"/>
      <c r="BB188" s="58"/>
      <c r="BC188" s="58"/>
      <c r="BD188" s="58"/>
      <c r="BE188" s="58"/>
      <c r="BF188" s="58"/>
      <c r="BG188" s="58"/>
      <c r="BH188" s="58"/>
      <c r="BI188" s="58"/>
      <c r="BJ188" s="58"/>
      <c r="BK188" s="58"/>
      <c r="BL188" s="58"/>
      <c r="BM188" s="58"/>
      <c r="BN188" s="58"/>
      <c r="BO188" s="58">
        <v>60.8964</v>
      </c>
      <c r="BP188" s="58"/>
      <c r="BQ188" s="58"/>
      <c r="BR188" s="58">
        <f t="shared" si="572"/>
        <v>60.8964</v>
      </c>
      <c r="BS188" s="58"/>
      <c r="BT188" s="58"/>
      <c r="BU188" s="58">
        <v>62.024099999999997</v>
      </c>
      <c r="BV188" s="58"/>
      <c r="BW188" s="58">
        <f t="shared" si="573"/>
        <v>62.024099999999997</v>
      </c>
      <c r="BX188" s="58"/>
      <c r="BY188" s="58"/>
      <c r="BZ188" s="58"/>
      <c r="CA188" s="58"/>
      <c r="CB188" s="263">
        <f>27.5+8</f>
        <v>35.5</v>
      </c>
      <c r="CC188" s="1">
        <f t="shared" si="567"/>
        <v>4700</v>
      </c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 s="41"/>
    </row>
    <row r="189" spans="1:113" s="3" customFormat="1" ht="15.75" thickBot="1" x14ac:dyDescent="0.3">
      <c r="A189" s="503"/>
      <c r="B189" s="211"/>
      <c r="C189" s="212">
        <v>4750</v>
      </c>
      <c r="D189" s="348">
        <f t="shared" si="568"/>
        <v>0</v>
      </c>
      <c r="E189" s="348">
        <f t="shared" ref="E189:E198" si="589">SUM(AY189:BG189)</f>
        <v>122.67150000000001</v>
      </c>
      <c r="F189" s="144">
        <f t="shared" si="559"/>
        <v>0</v>
      </c>
      <c r="G189" s="144">
        <f t="shared" si="570"/>
        <v>0</v>
      </c>
      <c r="H189" s="144">
        <f t="shared" si="560"/>
        <v>10.030900000000001</v>
      </c>
      <c r="I189" s="144">
        <f t="shared" si="561"/>
        <v>10.030900000000001</v>
      </c>
      <c r="J189" s="144">
        <f t="shared" si="562"/>
        <v>55.717399999999998</v>
      </c>
      <c r="K189" s="159">
        <f t="shared" si="563"/>
        <v>55.717399999999998</v>
      </c>
      <c r="L189" s="351">
        <f t="shared" si="571"/>
        <v>33.5</v>
      </c>
      <c r="M189" s="354">
        <f t="shared" si="574"/>
        <v>1</v>
      </c>
      <c r="N189" s="144">
        <f t="shared" si="575"/>
        <v>133</v>
      </c>
      <c r="O189" s="144"/>
      <c r="P189" s="144">
        <f t="shared" si="576"/>
        <v>0</v>
      </c>
      <c r="Q189" s="144">
        <f t="shared" si="577"/>
        <v>66</v>
      </c>
      <c r="R189" s="144">
        <f t="shared" si="578"/>
        <v>66</v>
      </c>
      <c r="S189" s="144">
        <f t="shared" si="579"/>
        <v>328</v>
      </c>
      <c r="T189" s="144">
        <f t="shared" si="580"/>
        <v>328</v>
      </c>
      <c r="U189" s="348">
        <f t="shared" si="581"/>
        <v>192</v>
      </c>
      <c r="W189" s="255">
        <f>M187+M188+M189</f>
        <v>46</v>
      </c>
      <c r="X189" s="255">
        <f t="shared" ref="X189" si="590">N187+N188+N189</f>
        <v>166</v>
      </c>
      <c r="Y189" s="255"/>
      <c r="Z189" s="255">
        <f t="shared" ref="Z189" si="591">P187+P188+P189</f>
        <v>0</v>
      </c>
      <c r="AA189" s="255">
        <f t="shared" ref="AA189" si="592">Q187+Q188+Q189</f>
        <v>295</v>
      </c>
      <c r="AB189" s="255">
        <f t="shared" ref="AB189" si="593">R187+R188+R189</f>
        <v>295</v>
      </c>
      <c r="AC189" s="255">
        <f t="shared" ref="AC189" si="594">S187+S188+S189</f>
        <v>1009</v>
      </c>
      <c r="AD189" s="255">
        <f t="shared" ref="AD189" si="595">T187+T188+T189</f>
        <v>1009</v>
      </c>
      <c r="AE189" s="255">
        <f t="shared" ref="AE189" si="596">U187+U188+U189</f>
        <v>514</v>
      </c>
      <c r="AG189" s="158">
        <f t="shared" si="564"/>
        <v>4750</v>
      </c>
      <c r="AH189" s="144"/>
      <c r="AI189" s="144"/>
      <c r="AJ189" s="144"/>
      <c r="AK189" s="144"/>
      <c r="AL189" s="144"/>
      <c r="AM189" s="144"/>
      <c r="AN189" s="144"/>
      <c r="AO189" s="144"/>
      <c r="AP189" s="144"/>
      <c r="AQ189" s="144"/>
      <c r="AR189" s="144"/>
      <c r="AS189" s="144"/>
      <c r="AT189" s="144"/>
      <c r="AU189" s="144"/>
      <c r="AV189" s="144"/>
      <c r="AW189" s="144"/>
      <c r="AX189" s="144"/>
      <c r="AY189" s="144">
        <v>86.136200000000002</v>
      </c>
      <c r="AZ189" s="144">
        <v>36.535299999999999</v>
      </c>
      <c r="BA189" s="144"/>
      <c r="BB189" s="144"/>
      <c r="BC189" s="144"/>
      <c r="BD189" s="144"/>
      <c r="BE189" s="144"/>
      <c r="BF189" s="144"/>
      <c r="BG189" s="144"/>
      <c r="BH189" s="144"/>
      <c r="BI189" s="144"/>
      <c r="BJ189" s="144"/>
      <c r="BK189" s="144"/>
      <c r="BL189" s="144"/>
      <c r="BM189" s="144"/>
      <c r="BN189" s="144"/>
      <c r="BO189" s="144">
        <v>10.030900000000001</v>
      </c>
      <c r="BP189" s="144"/>
      <c r="BQ189" s="144"/>
      <c r="BR189" s="144">
        <f t="shared" si="572"/>
        <v>10.030900000000001</v>
      </c>
      <c r="BS189" s="144"/>
      <c r="BT189" s="144"/>
      <c r="BU189" s="144">
        <v>55.717399999999998</v>
      </c>
      <c r="BV189" s="144"/>
      <c r="BW189" s="144">
        <f t="shared" si="573"/>
        <v>55.717399999999998</v>
      </c>
      <c r="BX189" s="144"/>
      <c r="BY189" s="144"/>
      <c r="BZ189" s="144"/>
      <c r="CA189" s="144"/>
      <c r="CB189" s="265">
        <f>25.5+8</f>
        <v>33.5</v>
      </c>
      <c r="CC189" s="1">
        <f t="shared" si="567"/>
        <v>4750</v>
      </c>
      <c r="CD189"/>
      <c r="CE189"/>
    </row>
    <row r="190" spans="1:113" x14ac:dyDescent="0.25">
      <c r="A190" s="503"/>
      <c r="B190" s="125"/>
      <c r="C190" s="210">
        <v>4800</v>
      </c>
      <c r="D190" s="349">
        <f t="shared" si="568"/>
        <v>72.169899999999998</v>
      </c>
      <c r="E190" s="349">
        <f t="shared" si="589"/>
        <v>288.32400000000001</v>
      </c>
      <c r="F190" s="147">
        <f t="shared" si="559"/>
        <v>0</v>
      </c>
      <c r="G190" s="147">
        <f t="shared" si="570"/>
        <v>0</v>
      </c>
      <c r="H190" s="147">
        <f t="shared" si="560"/>
        <v>0</v>
      </c>
      <c r="I190" s="147">
        <f t="shared" si="561"/>
        <v>0</v>
      </c>
      <c r="J190" s="147">
        <f t="shared" si="562"/>
        <v>0</v>
      </c>
      <c r="K190" s="156">
        <f t="shared" si="563"/>
        <v>0</v>
      </c>
      <c r="L190" s="352">
        <f t="shared" si="571"/>
        <v>50.616199999999999</v>
      </c>
      <c r="M190" s="355">
        <f t="shared" si="574"/>
        <v>67</v>
      </c>
      <c r="N190" s="147">
        <f t="shared" si="575"/>
        <v>381</v>
      </c>
      <c r="O190" s="147"/>
      <c r="P190" s="147">
        <f t="shared" si="576"/>
        <v>0</v>
      </c>
      <c r="Q190" s="147">
        <f t="shared" si="577"/>
        <v>10</v>
      </c>
      <c r="R190" s="147">
        <f t="shared" si="578"/>
        <v>10</v>
      </c>
      <c r="S190" s="147">
        <f t="shared" si="579"/>
        <v>155</v>
      </c>
      <c r="T190" s="147">
        <f t="shared" si="580"/>
        <v>155</v>
      </c>
      <c r="U190" s="349">
        <f t="shared" si="581"/>
        <v>234</v>
      </c>
      <c r="W190" s="151"/>
      <c r="X190" s="147"/>
      <c r="Y190" s="147"/>
      <c r="Z190" s="147"/>
      <c r="AA190" s="147"/>
      <c r="AB190" s="147"/>
      <c r="AC190" s="147"/>
      <c r="AD190" s="147"/>
      <c r="AE190" s="148"/>
      <c r="AG190" s="155">
        <f t="shared" si="564"/>
        <v>4800</v>
      </c>
      <c r="AH190" s="246">
        <v>35.6402</v>
      </c>
      <c r="AI190" s="246">
        <v>36.529699999999998</v>
      </c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>
        <v>172.68170000000001</v>
      </c>
      <c r="AZ190" s="246">
        <v>35.6402</v>
      </c>
      <c r="BA190" s="246">
        <v>36.529699999999998</v>
      </c>
      <c r="BB190" s="147">
        <v>43.4724</v>
      </c>
      <c r="BC190" s="147"/>
      <c r="BD190" s="147"/>
      <c r="BE190" s="147"/>
      <c r="BF190" s="147"/>
      <c r="BG190" s="147"/>
      <c r="BH190" s="147"/>
      <c r="BI190" s="147"/>
      <c r="BJ190" s="147"/>
      <c r="BK190" s="147"/>
      <c r="BL190" s="147"/>
      <c r="BM190" s="147"/>
      <c r="BN190" s="147"/>
      <c r="BO190" s="147"/>
      <c r="BP190" s="147"/>
      <c r="BQ190" s="147"/>
      <c r="BR190" s="147"/>
      <c r="BS190" s="147"/>
      <c r="BT190" s="147"/>
      <c r="BU190" s="147"/>
      <c r="BV190" s="147"/>
      <c r="BW190" s="147"/>
      <c r="BX190" s="147"/>
      <c r="BY190" s="147"/>
      <c r="BZ190" s="147"/>
      <c r="CA190" s="147"/>
      <c r="CB190" s="266">
        <f>42.6162+8</f>
        <v>50.616199999999999</v>
      </c>
      <c r="CC190" s="1">
        <f t="shared" si="567"/>
        <v>4800</v>
      </c>
    </row>
    <row r="191" spans="1:113" x14ac:dyDescent="0.25">
      <c r="A191" s="503"/>
      <c r="B191" s="125"/>
      <c r="C191" s="121">
        <v>4850</v>
      </c>
      <c r="D191" s="347">
        <f t="shared" si="568"/>
        <v>241.56639999999999</v>
      </c>
      <c r="E191" s="347">
        <f t="shared" si="589"/>
        <v>565.58399999999995</v>
      </c>
      <c r="F191" s="58">
        <f t="shared" si="559"/>
        <v>0</v>
      </c>
      <c r="G191" s="58">
        <f t="shared" si="570"/>
        <v>0</v>
      </c>
      <c r="H191" s="58">
        <f t="shared" si="560"/>
        <v>0</v>
      </c>
      <c r="I191" s="58">
        <f t="shared" si="561"/>
        <v>0</v>
      </c>
      <c r="J191" s="58">
        <f t="shared" si="562"/>
        <v>0</v>
      </c>
      <c r="K191" s="51">
        <f t="shared" si="563"/>
        <v>0</v>
      </c>
      <c r="L191" s="350">
        <f t="shared" si="571"/>
        <v>81.788499999999999</v>
      </c>
      <c r="M191" s="353">
        <f t="shared" si="574"/>
        <v>291</v>
      </c>
      <c r="N191" s="58">
        <f t="shared" si="575"/>
        <v>791</v>
      </c>
      <c r="O191" s="58"/>
      <c r="P191" s="58">
        <f t="shared" si="576"/>
        <v>0</v>
      </c>
      <c r="Q191" s="58">
        <f t="shared" si="577"/>
        <v>0</v>
      </c>
      <c r="R191" s="58">
        <f t="shared" si="578"/>
        <v>0</v>
      </c>
      <c r="S191" s="58">
        <f t="shared" si="579"/>
        <v>0</v>
      </c>
      <c r="T191" s="58">
        <f t="shared" si="580"/>
        <v>0</v>
      </c>
      <c r="U191" s="347">
        <f t="shared" si="581"/>
        <v>368</v>
      </c>
      <c r="W191" s="105"/>
      <c r="X191" s="58"/>
      <c r="Y191" s="58"/>
      <c r="Z191" s="58"/>
      <c r="AA191" s="58"/>
      <c r="AB191" s="58"/>
      <c r="AC191" s="58"/>
      <c r="AD191" s="58"/>
      <c r="AE191" s="138"/>
      <c r="AG191" s="57">
        <f t="shared" si="564"/>
        <v>4850</v>
      </c>
      <c r="AH191" s="119">
        <v>136.631</v>
      </c>
      <c r="AI191" s="119">
        <v>104.9354</v>
      </c>
      <c r="AJ191" s="58"/>
      <c r="AK191" s="58"/>
      <c r="AL191" s="58"/>
      <c r="AM191" s="58"/>
      <c r="AN191" s="58"/>
      <c r="AO191" s="58"/>
      <c r="AP191" s="58"/>
      <c r="AQ191" s="58"/>
      <c r="AR191" s="58"/>
      <c r="AS191" s="58"/>
      <c r="AT191" s="58"/>
      <c r="AU191" s="58"/>
      <c r="AV191" s="58"/>
      <c r="AW191" s="58"/>
      <c r="AX191" s="58"/>
      <c r="AY191" s="119">
        <v>136.631</v>
      </c>
      <c r="AZ191" s="119">
        <v>104.9354</v>
      </c>
      <c r="BA191" s="58">
        <v>281.2253</v>
      </c>
      <c r="BB191" s="58">
        <v>42.792299999999997</v>
      </c>
      <c r="BC191" s="58"/>
      <c r="BD191" s="58"/>
      <c r="BE191" s="58"/>
      <c r="BF191" s="58"/>
      <c r="BG191" s="58"/>
      <c r="BH191" s="58"/>
      <c r="BI191" s="58"/>
      <c r="BJ191" s="58"/>
      <c r="BK191" s="58"/>
      <c r="BL191" s="58"/>
      <c r="BM191" s="58"/>
      <c r="BN191" s="58"/>
      <c r="BO191" s="58"/>
      <c r="BP191" s="58"/>
      <c r="BQ191" s="58"/>
      <c r="BR191" s="58"/>
      <c r="BS191" s="58"/>
      <c r="BT191" s="58"/>
      <c r="BU191" s="58"/>
      <c r="BV191" s="58"/>
      <c r="BW191" s="58"/>
      <c r="BX191" s="58"/>
      <c r="BY191" s="58"/>
      <c r="BZ191" s="58"/>
      <c r="CA191" s="58"/>
      <c r="CB191" s="263">
        <f>73.7885+8</f>
        <v>81.788499999999999</v>
      </c>
      <c r="CC191" s="1">
        <f t="shared" si="567"/>
        <v>4850</v>
      </c>
    </row>
    <row r="192" spans="1:113" s="3" customFormat="1" ht="15.75" thickBot="1" x14ac:dyDescent="0.3">
      <c r="A192" s="503"/>
      <c r="B192" s="211"/>
      <c r="C192" s="212">
        <v>4900</v>
      </c>
      <c r="D192" s="348">
        <f t="shared" si="568"/>
        <v>310.56150000000002</v>
      </c>
      <c r="E192" s="348">
        <f t="shared" si="589"/>
        <v>788.09280000000012</v>
      </c>
      <c r="F192" s="144">
        <f t="shared" si="559"/>
        <v>0</v>
      </c>
      <c r="G192" s="144">
        <f t="shared" si="570"/>
        <v>0</v>
      </c>
      <c r="H192" s="144">
        <f t="shared" si="560"/>
        <v>0</v>
      </c>
      <c r="I192" s="144">
        <f t="shared" si="561"/>
        <v>0</v>
      </c>
      <c r="J192" s="144">
        <f t="shared" si="562"/>
        <v>0</v>
      </c>
      <c r="K192" s="159">
        <f t="shared" si="563"/>
        <v>0</v>
      </c>
      <c r="L192" s="351">
        <f t="shared" si="571"/>
        <v>105.5985</v>
      </c>
      <c r="M192" s="354">
        <f t="shared" si="574"/>
        <v>512</v>
      </c>
      <c r="N192" s="144">
        <f t="shared" si="575"/>
        <v>1254</v>
      </c>
      <c r="O192" s="144"/>
      <c r="P192" s="144">
        <f t="shared" si="576"/>
        <v>0</v>
      </c>
      <c r="Q192" s="144">
        <f t="shared" si="577"/>
        <v>0</v>
      </c>
      <c r="R192" s="144">
        <f t="shared" si="578"/>
        <v>0</v>
      </c>
      <c r="S192" s="144">
        <f t="shared" si="579"/>
        <v>0</v>
      </c>
      <c r="T192" s="144">
        <f t="shared" si="580"/>
        <v>0</v>
      </c>
      <c r="U192" s="348">
        <f t="shared" si="581"/>
        <v>521</v>
      </c>
      <c r="W192" s="255">
        <f>M190+M191+M192</f>
        <v>870</v>
      </c>
      <c r="X192" s="255">
        <f t="shared" ref="X192" si="597">N190+N191+N192</f>
        <v>2426</v>
      </c>
      <c r="Y192" s="255"/>
      <c r="Z192" s="255">
        <f t="shared" ref="Z192" si="598">P190+P191+P192</f>
        <v>0</v>
      </c>
      <c r="AA192" s="255">
        <f t="shared" ref="AA192" si="599">Q190+Q191+Q192</f>
        <v>10</v>
      </c>
      <c r="AB192" s="255">
        <f t="shared" ref="AB192" si="600">R190+R191+R192</f>
        <v>10</v>
      </c>
      <c r="AC192" s="255">
        <f t="shared" ref="AC192" si="601">S190+S191+S192</f>
        <v>155</v>
      </c>
      <c r="AD192" s="255">
        <f t="shared" ref="AD192" si="602">T190+T191+T192</f>
        <v>155</v>
      </c>
      <c r="AE192" s="255">
        <f t="shared" ref="AE192" si="603">U190+U191+U192</f>
        <v>1123</v>
      </c>
      <c r="AG192" s="158">
        <f t="shared" si="564"/>
        <v>4900</v>
      </c>
      <c r="AH192" s="247">
        <v>161.7159</v>
      </c>
      <c r="AI192" s="247">
        <v>119.8026</v>
      </c>
      <c r="AJ192" s="247">
        <v>29.042999999999999</v>
      </c>
      <c r="AK192" s="144"/>
      <c r="AL192" s="144"/>
      <c r="AM192" s="144"/>
      <c r="AN192" s="144"/>
      <c r="AO192" s="144"/>
      <c r="AP192" s="144"/>
      <c r="AQ192" s="144"/>
      <c r="AR192" s="144"/>
      <c r="AS192" s="144"/>
      <c r="AT192" s="144"/>
      <c r="AU192" s="144"/>
      <c r="AV192" s="144"/>
      <c r="AW192" s="144"/>
      <c r="AX192" s="144"/>
      <c r="AY192" s="247">
        <v>161.7159</v>
      </c>
      <c r="AZ192" s="247">
        <v>119.8026</v>
      </c>
      <c r="BA192" s="247">
        <v>29.042999999999999</v>
      </c>
      <c r="BB192" s="144">
        <v>435.96530000000001</v>
      </c>
      <c r="BC192" s="144">
        <v>41.566000000000003</v>
      </c>
      <c r="BD192" s="144"/>
      <c r="BE192" s="144"/>
      <c r="BF192" s="144"/>
      <c r="BG192" s="144"/>
      <c r="BH192" s="144"/>
      <c r="BI192" s="144"/>
      <c r="BJ192" s="144"/>
      <c r="BK192" s="144"/>
      <c r="BL192" s="144"/>
      <c r="BM192" s="144"/>
      <c r="BN192" s="144"/>
      <c r="BO192" s="144"/>
      <c r="BP192" s="144"/>
      <c r="BQ192" s="144"/>
      <c r="BR192" s="144"/>
      <c r="BS192" s="144"/>
      <c r="BT192" s="144"/>
      <c r="BU192" s="144"/>
      <c r="BV192" s="144"/>
      <c r="BW192" s="144"/>
      <c r="BX192" s="144"/>
      <c r="BY192" s="144"/>
      <c r="BZ192" s="144"/>
      <c r="CA192" s="144"/>
      <c r="CB192" s="265">
        <f>97.5985+8</f>
        <v>105.5985</v>
      </c>
      <c r="CC192" s="1">
        <f t="shared" si="567"/>
        <v>4900</v>
      </c>
      <c r="CD192"/>
      <c r="CE192"/>
    </row>
    <row r="193" spans="1:83" x14ac:dyDescent="0.25">
      <c r="A193" s="503"/>
      <c r="B193" s="125"/>
      <c r="C193" s="210">
        <v>4950</v>
      </c>
      <c r="D193" s="349">
        <f t="shared" si="568"/>
        <v>301.39089999999999</v>
      </c>
      <c r="E193" s="349">
        <f t="shared" si="589"/>
        <v>913.19090000000006</v>
      </c>
      <c r="F193" s="147">
        <f t="shared" si="559"/>
        <v>0</v>
      </c>
      <c r="G193" s="147">
        <f t="shared" si="570"/>
        <v>0</v>
      </c>
      <c r="H193" s="147">
        <f t="shared" si="560"/>
        <v>0</v>
      </c>
      <c r="I193" s="147">
        <f t="shared" si="561"/>
        <v>0</v>
      </c>
      <c r="J193" s="147">
        <f t="shared" si="562"/>
        <v>0</v>
      </c>
      <c r="K193" s="156">
        <f t="shared" si="563"/>
        <v>0</v>
      </c>
      <c r="L193" s="352">
        <f t="shared" si="571"/>
        <v>119.0437</v>
      </c>
      <c r="M193" s="355">
        <f t="shared" si="574"/>
        <v>567</v>
      </c>
      <c r="N193" s="147">
        <f t="shared" si="575"/>
        <v>1576</v>
      </c>
      <c r="O193" s="147"/>
      <c r="P193" s="147">
        <f t="shared" si="576"/>
        <v>0</v>
      </c>
      <c r="Q193" s="147">
        <f t="shared" si="577"/>
        <v>0</v>
      </c>
      <c r="R193" s="147">
        <f t="shared" si="578"/>
        <v>0</v>
      </c>
      <c r="S193" s="147">
        <f t="shared" si="579"/>
        <v>0</v>
      </c>
      <c r="T193" s="147">
        <f t="shared" si="580"/>
        <v>0</v>
      </c>
      <c r="U193" s="349">
        <f t="shared" si="581"/>
        <v>625</v>
      </c>
      <c r="W193" s="151"/>
      <c r="X193" s="147"/>
      <c r="Y193" s="147"/>
      <c r="Z193" s="147"/>
      <c r="AA193" s="147"/>
      <c r="AB193" s="147"/>
      <c r="AC193" s="147"/>
      <c r="AD193" s="147"/>
      <c r="AE193" s="148"/>
      <c r="AG193" s="155">
        <f t="shared" si="564"/>
        <v>4950</v>
      </c>
      <c r="AH193" s="246">
        <v>102.6093</v>
      </c>
      <c r="AI193" s="246">
        <v>122.2003</v>
      </c>
      <c r="AJ193" s="246">
        <v>76.581299999999999</v>
      </c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246">
        <v>102.6093</v>
      </c>
      <c r="AZ193" s="246">
        <v>122.2003</v>
      </c>
      <c r="BA193" s="246">
        <v>76.581299999999999</v>
      </c>
      <c r="BB193" s="147">
        <v>571.37850000000003</v>
      </c>
      <c r="BC193" s="147">
        <v>40.421500000000002</v>
      </c>
      <c r="BD193" s="147"/>
      <c r="BE193" s="147"/>
      <c r="BF193" s="147"/>
      <c r="BG193" s="147"/>
      <c r="BH193" s="147"/>
      <c r="BI193" s="147"/>
      <c r="BJ193" s="147"/>
      <c r="BK193" s="147"/>
      <c r="BL193" s="147"/>
      <c r="BM193" s="147"/>
      <c r="BN193" s="147"/>
      <c r="BO193" s="147"/>
      <c r="BP193" s="147"/>
      <c r="BQ193" s="147"/>
      <c r="BR193" s="147"/>
      <c r="BS193" s="147"/>
      <c r="BT193" s="147"/>
      <c r="BU193" s="147"/>
      <c r="BV193" s="147"/>
      <c r="BW193" s="147"/>
      <c r="BX193" s="147"/>
      <c r="BY193" s="147"/>
      <c r="BZ193" s="147"/>
      <c r="CA193" s="147"/>
      <c r="CB193" s="266">
        <f>111.0437+8</f>
        <v>119.0437</v>
      </c>
      <c r="CC193" s="1">
        <f t="shared" si="567"/>
        <v>4950</v>
      </c>
    </row>
    <row r="194" spans="1:83" x14ac:dyDescent="0.25">
      <c r="A194" s="503"/>
      <c r="B194" s="125"/>
      <c r="C194" s="121">
        <v>5000</v>
      </c>
      <c r="D194" s="347">
        <f t="shared" si="568"/>
        <v>322.20889999999997</v>
      </c>
      <c r="E194" s="347">
        <f t="shared" si="589"/>
        <v>1113.7065</v>
      </c>
      <c r="F194" s="58">
        <f t="shared" si="559"/>
        <v>0</v>
      </c>
      <c r="G194" s="58">
        <f t="shared" si="570"/>
        <v>0</v>
      </c>
      <c r="H194" s="58">
        <f t="shared" si="560"/>
        <v>0</v>
      </c>
      <c r="I194" s="58">
        <f t="shared" si="561"/>
        <v>0</v>
      </c>
      <c r="J194" s="58">
        <f t="shared" si="562"/>
        <v>0</v>
      </c>
      <c r="K194" s="51">
        <f t="shared" si="563"/>
        <v>0</v>
      </c>
      <c r="L194" s="350">
        <f t="shared" si="571"/>
        <v>128.16559999999998</v>
      </c>
      <c r="M194" s="353">
        <f t="shared" si="574"/>
        <v>578</v>
      </c>
      <c r="N194" s="58">
        <f t="shared" si="575"/>
        <v>1877</v>
      </c>
      <c r="O194" s="58"/>
      <c r="P194" s="58">
        <f t="shared" si="576"/>
        <v>0</v>
      </c>
      <c r="Q194" s="58">
        <f t="shared" si="577"/>
        <v>0</v>
      </c>
      <c r="R194" s="58">
        <f t="shared" si="578"/>
        <v>0</v>
      </c>
      <c r="S194" s="58">
        <f t="shared" si="579"/>
        <v>0</v>
      </c>
      <c r="T194" s="58">
        <f t="shared" si="580"/>
        <v>0</v>
      </c>
      <c r="U194" s="347">
        <f t="shared" si="581"/>
        <v>687</v>
      </c>
      <c r="W194" s="105"/>
      <c r="X194" s="58"/>
      <c r="Y194" s="58"/>
      <c r="Z194" s="58"/>
      <c r="AA194" s="58"/>
      <c r="AB194" s="58"/>
      <c r="AC194" s="58"/>
      <c r="AD194" s="58"/>
      <c r="AE194" s="138"/>
      <c r="AG194" s="57">
        <f t="shared" si="564"/>
        <v>5000</v>
      </c>
      <c r="AH194" s="119">
        <v>139.00569999999999</v>
      </c>
      <c r="AI194" s="119">
        <v>95.451999999999998</v>
      </c>
      <c r="AJ194" s="119">
        <v>76.489800000000002</v>
      </c>
      <c r="AK194" s="119">
        <v>11.2614</v>
      </c>
      <c r="AL194" s="58"/>
      <c r="AM194" s="58"/>
      <c r="AN194" s="58"/>
      <c r="AO194" s="58"/>
      <c r="AP194" s="58"/>
      <c r="AQ194" s="58"/>
      <c r="AR194" s="58"/>
      <c r="AS194" s="58"/>
      <c r="AT194" s="58"/>
      <c r="AU194" s="58"/>
      <c r="AV194" s="58"/>
      <c r="AW194" s="58"/>
      <c r="AX194" s="58"/>
      <c r="AY194" s="119">
        <v>139.00569999999999</v>
      </c>
      <c r="AZ194" s="119">
        <v>95.451999999999998</v>
      </c>
      <c r="BA194" s="119">
        <v>76.489800000000002</v>
      </c>
      <c r="BB194" s="119">
        <v>11.2614</v>
      </c>
      <c r="BC194" s="58">
        <v>751.97709999999995</v>
      </c>
      <c r="BD194" s="58">
        <v>39.520499999999998</v>
      </c>
      <c r="BE194" s="58"/>
      <c r="BF194" s="58"/>
      <c r="BG194" s="58"/>
      <c r="BH194" s="58"/>
      <c r="BI194" s="58"/>
      <c r="BJ194" s="58"/>
      <c r="BK194" s="58"/>
      <c r="BL194" s="58"/>
      <c r="BM194" s="58"/>
      <c r="BN194" s="58"/>
      <c r="BO194" s="58"/>
      <c r="BP194" s="58"/>
      <c r="BQ194" s="58"/>
      <c r="BR194" s="58"/>
      <c r="BS194" s="58"/>
      <c r="BT194" s="58"/>
      <c r="BU194" s="58"/>
      <c r="BV194" s="58"/>
      <c r="BW194" s="58"/>
      <c r="BX194" s="58"/>
      <c r="BY194" s="58"/>
      <c r="BZ194" s="58"/>
      <c r="CA194" s="58"/>
      <c r="CB194" s="263">
        <f>120.1656+8</f>
        <v>128.16559999999998</v>
      </c>
      <c r="CC194" s="1">
        <f t="shared" si="567"/>
        <v>5000</v>
      </c>
    </row>
    <row r="195" spans="1:83" s="3" customFormat="1" ht="15.75" thickBot="1" x14ac:dyDescent="0.3">
      <c r="A195" s="503"/>
      <c r="B195" s="211"/>
      <c r="C195" s="212">
        <v>5050</v>
      </c>
      <c r="D195" s="348">
        <f t="shared" si="568"/>
        <v>415.66730000000007</v>
      </c>
      <c r="E195" s="348">
        <f t="shared" si="589"/>
        <v>1380.3500000000001</v>
      </c>
      <c r="F195" s="144">
        <f t="shared" si="559"/>
        <v>0</v>
      </c>
      <c r="G195" s="144">
        <f t="shared" si="570"/>
        <v>0</v>
      </c>
      <c r="H195" s="144">
        <f t="shared" si="560"/>
        <v>0</v>
      </c>
      <c r="I195" s="144">
        <f t="shared" si="561"/>
        <v>0</v>
      </c>
      <c r="J195" s="144">
        <f t="shared" si="562"/>
        <v>0</v>
      </c>
      <c r="K195" s="159">
        <f t="shared" si="563"/>
        <v>0</v>
      </c>
      <c r="L195" s="351">
        <f t="shared" si="571"/>
        <v>147.06270000000001</v>
      </c>
      <c r="M195" s="354">
        <f t="shared" si="574"/>
        <v>684</v>
      </c>
      <c r="N195" s="144">
        <f t="shared" si="575"/>
        <v>2310</v>
      </c>
      <c r="O195" s="144"/>
      <c r="P195" s="144">
        <f t="shared" si="576"/>
        <v>0</v>
      </c>
      <c r="Q195" s="144">
        <f t="shared" si="577"/>
        <v>0</v>
      </c>
      <c r="R195" s="144">
        <f t="shared" si="578"/>
        <v>0</v>
      </c>
      <c r="S195" s="144">
        <f t="shared" si="579"/>
        <v>0</v>
      </c>
      <c r="T195" s="144">
        <f t="shared" si="580"/>
        <v>0</v>
      </c>
      <c r="U195" s="348">
        <f t="shared" si="581"/>
        <v>765</v>
      </c>
      <c r="W195" s="255">
        <f>M193+M194+M195</f>
        <v>1829</v>
      </c>
      <c r="X195" s="255">
        <f t="shared" ref="X195" si="604">N193+N194+N195</f>
        <v>5763</v>
      </c>
      <c r="Y195" s="255"/>
      <c r="Z195" s="255">
        <f t="shared" ref="Z195" si="605">P193+P194+P195</f>
        <v>0</v>
      </c>
      <c r="AA195" s="255">
        <f t="shared" ref="AA195" si="606">Q193+Q194+Q195</f>
        <v>0</v>
      </c>
      <c r="AB195" s="255">
        <f t="shared" ref="AB195" si="607">R193+R194+R195</f>
        <v>0</v>
      </c>
      <c r="AC195" s="255">
        <f t="shared" ref="AC195" si="608">S193+S194+S195</f>
        <v>0</v>
      </c>
      <c r="AD195" s="255">
        <f t="shared" ref="AD195" si="609">T193+T194+T195</f>
        <v>0</v>
      </c>
      <c r="AE195" s="255">
        <f t="shared" ref="AE195" si="610">U193+U194+U195</f>
        <v>2077</v>
      </c>
      <c r="AG195" s="158">
        <f t="shared" si="564"/>
        <v>5050</v>
      </c>
      <c r="AH195" s="247">
        <v>139.38640000000001</v>
      </c>
      <c r="AI195" s="247">
        <v>121.24550000000001</v>
      </c>
      <c r="AJ195" s="247">
        <v>77.698300000000003</v>
      </c>
      <c r="AK195" s="247">
        <v>77.337100000000007</v>
      </c>
      <c r="AL195" s="144"/>
      <c r="AM195" s="144"/>
      <c r="AN195" s="144"/>
      <c r="AO195" s="144"/>
      <c r="AP195" s="144"/>
      <c r="AQ195" s="144"/>
      <c r="AR195" s="144"/>
      <c r="AS195" s="144"/>
      <c r="AT195" s="144"/>
      <c r="AU195" s="144"/>
      <c r="AV195" s="144"/>
      <c r="AW195" s="144"/>
      <c r="AX195" s="144"/>
      <c r="AY195" s="247">
        <v>139.38640000000001</v>
      </c>
      <c r="AZ195" s="247">
        <v>121.24550000000001</v>
      </c>
      <c r="BA195" s="247">
        <v>77.698300000000003</v>
      </c>
      <c r="BB195" s="247">
        <v>77.337100000000007</v>
      </c>
      <c r="BC195" s="144">
        <v>926.0652</v>
      </c>
      <c r="BD195" s="144">
        <v>38.6175</v>
      </c>
      <c r="BE195" s="144"/>
      <c r="BF195" s="144"/>
      <c r="BG195" s="144"/>
      <c r="BH195" s="144"/>
      <c r="BI195" s="144"/>
      <c r="BJ195" s="144"/>
      <c r="BK195" s="144"/>
      <c r="BL195" s="144"/>
      <c r="BM195" s="144"/>
      <c r="BN195" s="144"/>
      <c r="BO195" s="144"/>
      <c r="BP195" s="144"/>
      <c r="BQ195" s="144"/>
      <c r="BR195" s="144"/>
      <c r="BS195" s="144"/>
      <c r="BT195" s="144"/>
      <c r="BU195" s="144"/>
      <c r="BV195" s="144"/>
      <c r="BW195" s="144"/>
      <c r="BX195" s="144"/>
      <c r="BY195" s="144"/>
      <c r="BZ195" s="144"/>
      <c r="CA195" s="144"/>
      <c r="CB195" s="265">
        <f>139.0627+8</f>
        <v>147.06270000000001</v>
      </c>
      <c r="CC195" s="1">
        <f t="shared" si="567"/>
        <v>5050</v>
      </c>
      <c r="CD195"/>
      <c r="CE195"/>
    </row>
    <row r="196" spans="1:83" x14ac:dyDescent="0.25">
      <c r="A196" s="503"/>
      <c r="B196" s="125"/>
      <c r="C196" s="210">
        <v>5100</v>
      </c>
      <c r="D196" s="349">
        <f t="shared" si="568"/>
        <v>441.82219999999995</v>
      </c>
      <c r="E196" s="349">
        <f t="shared" si="589"/>
        <v>1698.2764000000002</v>
      </c>
      <c r="F196" s="147">
        <f t="shared" si="559"/>
        <v>0</v>
      </c>
      <c r="G196" s="147">
        <f t="shared" si="570"/>
        <v>0</v>
      </c>
      <c r="H196" s="147">
        <f t="shared" si="560"/>
        <v>0</v>
      </c>
      <c r="I196" s="147">
        <f t="shared" si="561"/>
        <v>0</v>
      </c>
      <c r="J196" s="147">
        <f t="shared" si="562"/>
        <v>0</v>
      </c>
      <c r="K196" s="156">
        <f t="shared" si="563"/>
        <v>0</v>
      </c>
      <c r="L196" s="352">
        <f t="shared" si="571"/>
        <v>171.96870000000001</v>
      </c>
      <c r="M196" s="355">
        <f t="shared" si="574"/>
        <v>794</v>
      </c>
      <c r="N196" s="147">
        <f t="shared" si="575"/>
        <v>2851</v>
      </c>
      <c r="O196" s="147"/>
      <c r="P196" s="147">
        <f t="shared" si="576"/>
        <v>0</v>
      </c>
      <c r="Q196" s="147">
        <f t="shared" si="577"/>
        <v>0</v>
      </c>
      <c r="R196" s="147">
        <f t="shared" si="578"/>
        <v>0</v>
      </c>
      <c r="S196" s="147">
        <f t="shared" si="579"/>
        <v>0</v>
      </c>
      <c r="T196" s="147">
        <f t="shared" si="580"/>
        <v>0</v>
      </c>
      <c r="U196" s="349">
        <f t="shared" si="581"/>
        <v>887</v>
      </c>
      <c r="W196" s="151"/>
      <c r="X196" s="147"/>
      <c r="Y196" s="147"/>
      <c r="Z196" s="147"/>
      <c r="AA196" s="147"/>
      <c r="AB196" s="147"/>
      <c r="AC196" s="147"/>
      <c r="AD196" s="147"/>
      <c r="AE196" s="148"/>
      <c r="AG196" s="155">
        <f t="shared" si="564"/>
        <v>5100</v>
      </c>
      <c r="AH196" s="246">
        <v>90.100200000000001</v>
      </c>
      <c r="AI196" s="246">
        <v>42.7029</v>
      </c>
      <c r="AJ196" s="246">
        <v>85.672799999999995</v>
      </c>
      <c r="AK196" s="246">
        <v>116.39109999999999</v>
      </c>
      <c r="AL196" s="246">
        <v>106.9552</v>
      </c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246">
        <v>90.100200000000001</v>
      </c>
      <c r="AZ196" s="246">
        <v>42.7029</v>
      </c>
      <c r="BA196" s="246">
        <v>85.672799999999995</v>
      </c>
      <c r="BB196" s="246">
        <v>116.39109999999999</v>
      </c>
      <c r="BC196" s="246">
        <v>106.9552</v>
      </c>
      <c r="BD196" s="147">
        <v>1218.6264000000001</v>
      </c>
      <c r="BE196" s="147">
        <v>37.827800000000003</v>
      </c>
      <c r="BF196" s="147"/>
      <c r="BG196" s="147"/>
      <c r="BH196" s="147"/>
      <c r="BI196" s="147"/>
      <c r="BJ196" s="147"/>
      <c r="BK196" s="147"/>
      <c r="BL196" s="147"/>
      <c r="BM196" s="147"/>
      <c r="BN196" s="147"/>
      <c r="BO196" s="147"/>
      <c r="BP196" s="147"/>
      <c r="BQ196" s="147"/>
      <c r="BR196" s="147"/>
      <c r="BS196" s="147"/>
      <c r="BT196" s="147"/>
      <c r="BU196" s="147"/>
      <c r="BV196" s="147"/>
      <c r="BW196" s="147"/>
      <c r="BX196" s="147"/>
      <c r="BY196" s="147"/>
      <c r="BZ196" s="147"/>
      <c r="CA196" s="147"/>
      <c r="CB196" s="266">
        <f>163.9687+8</f>
        <v>171.96870000000001</v>
      </c>
      <c r="CC196" s="1">
        <f t="shared" si="567"/>
        <v>5100</v>
      </c>
    </row>
    <row r="197" spans="1:83" x14ac:dyDescent="0.25">
      <c r="A197" s="503"/>
      <c r="B197" s="125"/>
      <c r="C197" s="121">
        <v>5150</v>
      </c>
      <c r="D197" s="347">
        <f t="shared" si="568"/>
        <v>544.89940000000001</v>
      </c>
      <c r="E197" s="347">
        <f t="shared" si="589"/>
        <v>2078.4101999999998</v>
      </c>
      <c r="F197" s="58">
        <f t="shared" si="559"/>
        <v>0</v>
      </c>
      <c r="G197" s="58">
        <f t="shared" si="570"/>
        <v>0</v>
      </c>
      <c r="H197" s="58">
        <f t="shared" si="560"/>
        <v>0</v>
      </c>
      <c r="I197" s="58">
        <f t="shared" si="561"/>
        <v>0</v>
      </c>
      <c r="J197" s="58">
        <f t="shared" si="562"/>
        <v>0</v>
      </c>
      <c r="K197" s="51">
        <f t="shared" si="563"/>
        <v>0</v>
      </c>
      <c r="L197" s="350">
        <f t="shared" si="571"/>
        <v>186.85769999999999</v>
      </c>
      <c r="M197" s="353">
        <f t="shared" si="574"/>
        <v>914</v>
      </c>
      <c r="N197" s="58">
        <f t="shared" si="575"/>
        <v>3497</v>
      </c>
      <c r="O197" s="58"/>
      <c r="P197" s="58">
        <f t="shared" si="576"/>
        <v>0</v>
      </c>
      <c r="Q197" s="58">
        <f t="shared" si="577"/>
        <v>0</v>
      </c>
      <c r="R197" s="58">
        <f t="shared" si="578"/>
        <v>0</v>
      </c>
      <c r="S197" s="58">
        <f t="shared" si="579"/>
        <v>0</v>
      </c>
      <c r="T197" s="58">
        <f t="shared" si="580"/>
        <v>0</v>
      </c>
      <c r="U197" s="347">
        <f t="shared" si="581"/>
        <v>997</v>
      </c>
      <c r="W197" s="105"/>
      <c r="X197" s="58"/>
      <c r="Y197" s="58"/>
      <c r="Z197" s="58"/>
      <c r="AA197" s="58"/>
      <c r="AB197" s="58"/>
      <c r="AC197" s="58"/>
      <c r="AD197" s="58"/>
      <c r="AE197" s="138"/>
      <c r="AG197" s="57">
        <f t="shared" si="564"/>
        <v>5150</v>
      </c>
      <c r="AH197" s="119">
        <v>91.225499999999997</v>
      </c>
      <c r="AI197" s="119">
        <v>131.86330000000001</v>
      </c>
      <c r="AJ197" s="119">
        <v>67.076400000000007</v>
      </c>
      <c r="AK197" s="119">
        <v>83.007400000000004</v>
      </c>
      <c r="AL197" s="119">
        <v>82.121899999999997</v>
      </c>
      <c r="AM197" s="119">
        <v>89.604900000000001</v>
      </c>
      <c r="AN197" s="58"/>
      <c r="AO197" s="58"/>
      <c r="AP197" s="58"/>
      <c r="AQ197" s="58"/>
      <c r="AR197" s="58"/>
      <c r="AS197" s="58"/>
      <c r="AT197" s="58"/>
      <c r="AU197" s="58"/>
      <c r="AV197" s="58"/>
      <c r="AW197" s="58"/>
      <c r="AX197" s="58"/>
      <c r="AY197" s="119">
        <v>91.225499999999997</v>
      </c>
      <c r="AZ197" s="119">
        <v>131.86330000000001</v>
      </c>
      <c r="BA197" s="119">
        <v>67.076400000000007</v>
      </c>
      <c r="BB197" s="119">
        <v>83.007400000000004</v>
      </c>
      <c r="BC197" s="119">
        <v>82.121899999999997</v>
      </c>
      <c r="BD197" s="119">
        <v>89.604900000000001</v>
      </c>
      <c r="BE197" s="58">
        <v>1496.8742999999999</v>
      </c>
      <c r="BF197" s="58">
        <v>36.636499999999998</v>
      </c>
      <c r="BG197" s="58"/>
      <c r="BH197" s="58"/>
      <c r="BI197" s="58"/>
      <c r="BJ197" s="58"/>
      <c r="BK197" s="58"/>
      <c r="BL197" s="58"/>
      <c r="BM197" s="58"/>
      <c r="BN197" s="58"/>
      <c r="BO197" s="58"/>
      <c r="BP197" s="58"/>
      <c r="BQ197" s="58"/>
      <c r="BR197" s="58"/>
      <c r="BS197" s="58"/>
      <c r="BT197" s="58"/>
      <c r="BU197" s="58"/>
      <c r="BV197" s="58"/>
      <c r="BW197" s="58"/>
      <c r="BX197" s="58"/>
      <c r="BY197" s="58"/>
      <c r="BZ197" s="58"/>
      <c r="CA197" s="58"/>
      <c r="CB197" s="263">
        <f>178.8577+8</f>
        <v>186.85769999999999</v>
      </c>
      <c r="CC197" s="1">
        <f t="shared" si="567"/>
        <v>5150</v>
      </c>
    </row>
    <row r="198" spans="1:83" s="3" customFormat="1" ht="15.75" thickBot="1" x14ac:dyDescent="0.3">
      <c r="A198" s="503"/>
      <c r="B198" s="211"/>
      <c r="C198" s="212">
        <v>5200</v>
      </c>
      <c r="D198" s="348">
        <f t="shared" si="568"/>
        <v>568.59849999999994</v>
      </c>
      <c r="E198" s="348">
        <f t="shared" si="589"/>
        <v>2436.8721999999998</v>
      </c>
      <c r="F198" s="144">
        <f t="shared" si="559"/>
        <v>0</v>
      </c>
      <c r="G198" s="144">
        <f t="shared" si="570"/>
        <v>0</v>
      </c>
      <c r="H198" s="144">
        <f t="shared" si="560"/>
        <v>0</v>
      </c>
      <c r="I198" s="144">
        <f t="shared" si="561"/>
        <v>0</v>
      </c>
      <c r="J198" s="144">
        <f t="shared" si="562"/>
        <v>0</v>
      </c>
      <c r="K198" s="159">
        <f t="shared" si="563"/>
        <v>0</v>
      </c>
      <c r="L198" s="351">
        <f t="shared" si="571"/>
        <v>213.9453</v>
      </c>
      <c r="M198" s="354">
        <f t="shared" si="574"/>
        <v>1032</v>
      </c>
      <c r="N198" s="144">
        <f t="shared" si="575"/>
        <v>4181</v>
      </c>
      <c r="O198" s="144"/>
      <c r="P198" s="144">
        <f t="shared" si="576"/>
        <v>0</v>
      </c>
      <c r="Q198" s="144">
        <f t="shared" si="577"/>
        <v>0</v>
      </c>
      <c r="R198" s="144">
        <f t="shared" si="578"/>
        <v>0</v>
      </c>
      <c r="S198" s="144">
        <f t="shared" si="579"/>
        <v>0</v>
      </c>
      <c r="T198" s="144">
        <f t="shared" si="580"/>
        <v>0</v>
      </c>
      <c r="U198" s="348">
        <f t="shared" si="581"/>
        <v>1114</v>
      </c>
      <c r="W198" s="255">
        <f>M196+M197+M198</f>
        <v>2740</v>
      </c>
      <c r="X198" s="255">
        <f t="shared" ref="X198" si="611">N196+N197+N198</f>
        <v>10529</v>
      </c>
      <c r="Y198" s="255"/>
      <c r="Z198" s="255">
        <f t="shared" ref="Z198" si="612">P196+P197+P198</f>
        <v>0</v>
      </c>
      <c r="AA198" s="255">
        <f t="shared" ref="AA198" si="613">Q196+Q197+Q198</f>
        <v>0</v>
      </c>
      <c r="AB198" s="255">
        <f t="shared" ref="AB198" si="614">R196+R197+R198</f>
        <v>0</v>
      </c>
      <c r="AC198" s="255">
        <f t="shared" ref="AC198" si="615">S196+S197+S198</f>
        <v>0</v>
      </c>
      <c r="AD198" s="255">
        <f t="shared" ref="AD198" si="616">T196+T197+T198</f>
        <v>0</v>
      </c>
      <c r="AE198" s="255">
        <f t="shared" ref="AE198" si="617">U196+U197+U198</f>
        <v>2998</v>
      </c>
      <c r="AG198" s="158">
        <f t="shared" si="564"/>
        <v>5200</v>
      </c>
      <c r="AH198" s="247">
        <v>126.34739999999999</v>
      </c>
      <c r="AI198" s="247">
        <v>87.179299999999998</v>
      </c>
      <c r="AJ198" s="247">
        <v>51.6935</v>
      </c>
      <c r="AK198" s="247">
        <v>48.4681</v>
      </c>
      <c r="AL198" s="247">
        <v>89.629900000000006</v>
      </c>
      <c r="AM198" s="247">
        <v>81.145700000000005</v>
      </c>
      <c r="AN198" s="247">
        <v>84.134600000000006</v>
      </c>
      <c r="AO198" s="144"/>
      <c r="AP198" s="144"/>
      <c r="AQ198" s="144"/>
      <c r="AR198" s="144"/>
      <c r="AS198" s="144"/>
      <c r="AT198" s="144"/>
      <c r="AU198" s="144"/>
      <c r="AV198" s="144"/>
      <c r="AW198" s="144"/>
      <c r="AX198" s="144"/>
      <c r="AY198" s="247">
        <v>126.34739999999999</v>
      </c>
      <c r="AZ198" s="247">
        <v>87.179299999999998</v>
      </c>
      <c r="BA198" s="247">
        <v>51.6935</v>
      </c>
      <c r="BB198" s="247">
        <v>48.4681</v>
      </c>
      <c r="BC198" s="247">
        <v>89.629900000000006</v>
      </c>
      <c r="BD198" s="247">
        <v>81.145700000000005</v>
      </c>
      <c r="BE198" s="247">
        <v>84.134600000000006</v>
      </c>
      <c r="BF198" s="144">
        <v>1832.0139999999999</v>
      </c>
      <c r="BG198" s="144">
        <v>36.259700000000002</v>
      </c>
      <c r="BH198" s="144"/>
      <c r="BI198" s="144"/>
      <c r="BJ198" s="144"/>
      <c r="BK198" s="144"/>
      <c r="BL198" s="144"/>
      <c r="BM198" s="144"/>
      <c r="BN198" s="144"/>
      <c r="BO198" s="144"/>
      <c r="BP198" s="144"/>
      <c r="BQ198" s="144"/>
      <c r="BR198" s="144"/>
      <c r="BS198" s="144"/>
      <c r="BT198" s="144"/>
      <c r="BU198" s="144"/>
      <c r="BV198" s="144"/>
      <c r="BW198" s="144"/>
      <c r="BX198" s="144"/>
      <c r="BY198" s="144"/>
      <c r="BZ198" s="144"/>
      <c r="CA198" s="144"/>
      <c r="CB198" s="265">
        <f>205.9453+8</f>
        <v>213.9453</v>
      </c>
      <c r="CC198" s="1">
        <f t="shared" si="567"/>
        <v>5200</v>
      </c>
      <c r="CD198"/>
      <c r="CE198"/>
    </row>
    <row r="199" spans="1:83" x14ac:dyDescent="0.25">
      <c r="A199" s="503"/>
      <c r="C199" s="210">
        <v>5250</v>
      </c>
      <c r="D199" s="349">
        <f t="shared" ref="D199:D203" si="618">SUM(AH199:AX199)</f>
        <v>715.62400000000002</v>
      </c>
      <c r="E199" s="349">
        <f t="shared" ref="E199:E204" si="619">SUM(AY199:BG199)</f>
        <v>2957.3004999999998</v>
      </c>
      <c r="F199" s="147">
        <f t="shared" si="559"/>
        <v>0</v>
      </c>
      <c r="G199" s="147">
        <f t="shared" ref="G199:G204" si="620">SUM(BL199:BN199)</f>
        <v>0</v>
      </c>
      <c r="H199" s="147">
        <f t="shared" si="560"/>
        <v>0</v>
      </c>
      <c r="I199" s="147">
        <f t="shared" si="561"/>
        <v>0</v>
      </c>
      <c r="J199" s="147">
        <f t="shared" si="562"/>
        <v>0</v>
      </c>
      <c r="K199" s="156">
        <f t="shared" si="563"/>
        <v>0</v>
      </c>
      <c r="L199" s="352">
        <f t="shared" ref="L199:L204" si="621">SUM(BY199:CB199)</f>
        <v>236.4</v>
      </c>
      <c r="M199" s="355">
        <f t="shared" ref="M199:M201" si="622">ROUNDUP(((D198+D199)*0.5)*(C199-C198)/27,0)</f>
        <v>1190</v>
      </c>
      <c r="N199" s="147">
        <f t="shared" ref="N199:N200" si="623">ROUNDUP(((E198+E199)*0.5)*(C199-C198)/27,0)</f>
        <v>4995</v>
      </c>
      <c r="O199" s="147"/>
      <c r="P199" s="147">
        <f t="shared" ref="P199:P201" si="624">ROUNDUP(((G198+G199)*0.5)*(C199-C198)/27,0)</f>
        <v>0</v>
      </c>
      <c r="Q199" s="147">
        <f t="shared" ref="Q199:Q201" si="625">ROUNDUP(((H199+H198)*0.5)*(C199-C198)/27,0)</f>
        <v>0</v>
      </c>
      <c r="R199" s="147">
        <f t="shared" ref="R199:R201" si="626">ROUNDUP(((I199+I198)*0.5)*(C199-C198)/27,0)</f>
        <v>0</v>
      </c>
      <c r="S199" s="147">
        <f t="shared" ref="S199:S201" si="627">ROUNDUP(((J199+J198)*0.5)*(C199-C198)/9,0)</f>
        <v>0</v>
      </c>
      <c r="T199" s="147">
        <f t="shared" ref="T199:T201" si="628">ROUNDUP(((K199+K198)*0.5)*(C199-C198)/9,0)</f>
        <v>0</v>
      </c>
      <c r="U199" s="349">
        <f t="shared" ref="U199:U201" si="629">ROUNDUP(((L199+L198)*0.5)*(C199-C198)/9,0)</f>
        <v>1251</v>
      </c>
      <c r="W199" s="151"/>
      <c r="X199" s="147"/>
      <c r="Y199" s="147"/>
      <c r="Z199" s="147"/>
      <c r="AA199" s="147"/>
      <c r="AB199" s="147"/>
      <c r="AC199" s="147"/>
      <c r="AD199" s="147"/>
      <c r="AE199" s="148"/>
      <c r="AG199" s="155">
        <f t="shared" ref="AG199:AG203" si="630">C199</f>
        <v>5250</v>
      </c>
      <c r="AH199" s="246">
        <v>83.989199999999997</v>
      </c>
      <c r="AI199" s="246">
        <v>93.671300000000002</v>
      </c>
      <c r="AJ199" s="246">
        <v>85.414699999999996</v>
      </c>
      <c r="AK199" s="246">
        <v>138.7167</v>
      </c>
      <c r="AL199" s="246">
        <v>137.5686</v>
      </c>
      <c r="AM199" s="246">
        <v>86.326099999999997</v>
      </c>
      <c r="AN199" s="246">
        <v>89.937399999999997</v>
      </c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246">
        <v>83.989199999999997</v>
      </c>
      <c r="AZ199" s="246">
        <v>93.671300000000002</v>
      </c>
      <c r="BA199" s="246">
        <v>85.414699999999996</v>
      </c>
      <c r="BB199" s="246">
        <v>138.7167</v>
      </c>
      <c r="BC199" s="246">
        <v>137.5686</v>
      </c>
      <c r="BD199" s="246">
        <v>86.326099999999997</v>
      </c>
      <c r="BE199" s="246">
        <v>89.937399999999997</v>
      </c>
      <c r="BF199" s="147">
        <v>2205.1493</v>
      </c>
      <c r="BG199" s="147">
        <v>36.527200000000001</v>
      </c>
      <c r="BH199" s="147"/>
      <c r="BI199" s="147"/>
      <c r="BJ199" s="147"/>
      <c r="BK199" s="147"/>
      <c r="BL199" s="147"/>
      <c r="BM199" s="147"/>
      <c r="BN199" s="147"/>
      <c r="BO199" s="147"/>
      <c r="BP199" s="147"/>
      <c r="BQ199" s="147"/>
      <c r="BR199" s="147"/>
      <c r="BS199" s="147"/>
      <c r="BT199" s="147"/>
      <c r="BU199" s="147"/>
      <c r="BV199" s="147"/>
      <c r="BW199" s="147"/>
      <c r="BX199" s="147"/>
      <c r="BY199" s="147"/>
      <c r="BZ199" s="147"/>
      <c r="CA199" s="147"/>
      <c r="CB199" s="266">
        <f>228.4+8</f>
        <v>236.4</v>
      </c>
      <c r="CC199" s="1">
        <f t="shared" si="567"/>
        <v>5250</v>
      </c>
    </row>
    <row r="200" spans="1:83" x14ac:dyDescent="0.25">
      <c r="A200" s="503"/>
      <c r="C200" s="121">
        <v>5300</v>
      </c>
      <c r="D200" s="347">
        <f t="shared" si="618"/>
        <v>700.45859999999993</v>
      </c>
      <c r="E200" s="347">
        <f>SUM(AY200:BG200)</f>
        <v>3639.9101999999998</v>
      </c>
      <c r="F200" s="58">
        <f t="shared" si="559"/>
        <v>0</v>
      </c>
      <c r="G200" s="58">
        <f t="shared" si="620"/>
        <v>0</v>
      </c>
      <c r="H200" s="58">
        <f t="shared" si="560"/>
        <v>0</v>
      </c>
      <c r="I200" s="58">
        <f t="shared" si="561"/>
        <v>0</v>
      </c>
      <c r="J200" s="58">
        <f t="shared" si="562"/>
        <v>0</v>
      </c>
      <c r="K200" s="51">
        <f t="shared" si="563"/>
        <v>0</v>
      </c>
      <c r="L200" s="350">
        <f t="shared" si="621"/>
        <v>251.6</v>
      </c>
      <c r="M200" s="353">
        <f t="shared" si="622"/>
        <v>1312</v>
      </c>
      <c r="N200" s="58">
        <f t="shared" si="623"/>
        <v>6109</v>
      </c>
      <c r="O200" s="58"/>
      <c r="P200" s="58">
        <f t="shared" si="624"/>
        <v>0</v>
      </c>
      <c r="Q200" s="58">
        <f t="shared" si="625"/>
        <v>0</v>
      </c>
      <c r="R200" s="58">
        <f t="shared" si="626"/>
        <v>0</v>
      </c>
      <c r="S200" s="58">
        <f t="shared" si="627"/>
        <v>0</v>
      </c>
      <c r="T200" s="58">
        <f t="shared" si="628"/>
        <v>0</v>
      </c>
      <c r="U200" s="347">
        <f t="shared" si="629"/>
        <v>1356</v>
      </c>
      <c r="W200" s="105"/>
      <c r="X200" s="58"/>
      <c r="Y200" s="58"/>
      <c r="Z200" s="58"/>
      <c r="AA200" s="58"/>
      <c r="AB200" s="58"/>
      <c r="AC200" s="58"/>
      <c r="AD200" s="58"/>
      <c r="AE200" s="138"/>
      <c r="AG200" s="57">
        <f t="shared" si="630"/>
        <v>5300</v>
      </c>
      <c r="AH200" s="119">
        <v>103.2287</v>
      </c>
      <c r="AI200" s="119">
        <v>91.254900000000006</v>
      </c>
      <c r="AJ200" s="119">
        <v>97.614199999999997</v>
      </c>
      <c r="AK200" s="119">
        <v>94.743799999999993</v>
      </c>
      <c r="AL200" s="119">
        <v>103.6695</v>
      </c>
      <c r="AM200" s="119">
        <v>123.81059999999999</v>
      </c>
      <c r="AN200" s="119">
        <v>86.136899999999997</v>
      </c>
      <c r="AO200" s="58"/>
      <c r="AP200" s="58"/>
      <c r="AQ200" s="58"/>
      <c r="AR200" s="58"/>
      <c r="AS200" s="58"/>
      <c r="AT200" s="58"/>
      <c r="AU200" s="58"/>
      <c r="AV200" s="58"/>
      <c r="AW200" s="58"/>
      <c r="AX200" s="58"/>
      <c r="AY200" s="119">
        <v>103.2287</v>
      </c>
      <c r="AZ200" s="119">
        <v>91.254900000000006</v>
      </c>
      <c r="BA200" s="119">
        <v>97.614199999999997</v>
      </c>
      <c r="BB200" s="119">
        <v>94.743799999999993</v>
      </c>
      <c r="BC200" s="119">
        <v>103.6695</v>
      </c>
      <c r="BD200" s="119">
        <v>123.81059999999999</v>
      </c>
      <c r="BE200" s="119">
        <v>86.136899999999997</v>
      </c>
      <c r="BF200" s="58">
        <v>2901.9308000000001</v>
      </c>
      <c r="BG200" s="58">
        <v>37.520800000000001</v>
      </c>
      <c r="BH200" s="58"/>
      <c r="BI200" s="58"/>
      <c r="BJ200" s="58"/>
      <c r="BK200" s="58"/>
      <c r="BL200" s="58"/>
      <c r="BM200" s="58"/>
      <c r="BN200" s="58"/>
      <c r="BO200" s="58"/>
      <c r="BP200" s="58"/>
      <c r="BQ200" s="58"/>
      <c r="BR200" s="58"/>
      <c r="BS200" s="58"/>
      <c r="BT200" s="58"/>
      <c r="BU200" s="58"/>
      <c r="BV200" s="58"/>
      <c r="BW200" s="58"/>
      <c r="BX200" s="58"/>
      <c r="BY200" s="58"/>
      <c r="BZ200" s="58"/>
      <c r="CA200" s="58"/>
      <c r="CB200" s="263">
        <f>243.6+8</f>
        <v>251.6</v>
      </c>
      <c r="CC200" s="1">
        <f t="shared" si="567"/>
        <v>5300</v>
      </c>
    </row>
    <row r="201" spans="1:83" s="62" customFormat="1" x14ac:dyDescent="0.25">
      <c r="A201" s="503"/>
      <c r="B201" s="130" t="s">
        <v>53</v>
      </c>
      <c r="C201" s="451">
        <v>5308.79</v>
      </c>
      <c r="D201" s="362">
        <f t="shared" si="618"/>
        <v>764.7817</v>
      </c>
      <c r="E201" s="362">
        <f>SUM(AY201:BI201)</f>
        <v>4489.4708000000001</v>
      </c>
      <c r="F201" s="59">
        <f t="shared" si="559"/>
        <v>0</v>
      </c>
      <c r="G201" s="59">
        <f t="shared" si="620"/>
        <v>0</v>
      </c>
      <c r="H201" s="59">
        <f t="shared" si="560"/>
        <v>0</v>
      </c>
      <c r="I201" s="59">
        <f t="shared" si="561"/>
        <v>0</v>
      </c>
      <c r="J201" s="59">
        <f t="shared" si="562"/>
        <v>0</v>
      </c>
      <c r="K201" s="60">
        <f t="shared" si="563"/>
        <v>0</v>
      </c>
      <c r="L201" s="375">
        <f t="shared" si="621"/>
        <v>288.1592</v>
      </c>
      <c r="M201" s="387">
        <f t="shared" si="622"/>
        <v>239</v>
      </c>
      <c r="N201" s="59">
        <f>ROUNDUP(((E200+E201)*0.5)*(C201-C200)/27,0)</f>
        <v>1324</v>
      </c>
      <c r="O201" s="59"/>
      <c r="P201" s="59">
        <f t="shared" si="624"/>
        <v>0</v>
      </c>
      <c r="Q201" s="59">
        <f t="shared" si="625"/>
        <v>0</v>
      </c>
      <c r="R201" s="59">
        <f t="shared" si="626"/>
        <v>0</v>
      </c>
      <c r="S201" s="59">
        <f t="shared" si="627"/>
        <v>0</v>
      </c>
      <c r="T201" s="59">
        <f t="shared" si="628"/>
        <v>0</v>
      </c>
      <c r="U201" s="362">
        <f t="shared" si="629"/>
        <v>264</v>
      </c>
      <c r="W201" s="106"/>
      <c r="X201" s="59"/>
      <c r="Y201" s="59"/>
      <c r="Z201" s="59"/>
      <c r="AA201" s="59"/>
      <c r="AB201" s="59"/>
      <c r="AC201" s="59"/>
      <c r="AD201" s="59"/>
      <c r="AE201" s="140"/>
      <c r="AF201" s="64" t="str">
        <f t="shared" ref="AF201:AF204" si="631">B201</f>
        <v>back</v>
      </c>
      <c r="AG201" s="451">
        <f t="shared" si="630"/>
        <v>5308.79</v>
      </c>
      <c r="AH201" s="119">
        <v>100.5921</v>
      </c>
      <c r="AI201" s="119">
        <v>96.214399999999998</v>
      </c>
      <c r="AJ201" s="119">
        <v>90.291899999999998</v>
      </c>
      <c r="AK201" s="119">
        <v>92.47</v>
      </c>
      <c r="AL201" s="119">
        <v>96.840900000000005</v>
      </c>
      <c r="AM201" s="119">
        <v>84.572900000000004</v>
      </c>
      <c r="AN201" s="119">
        <v>121.1478</v>
      </c>
      <c r="AO201" s="119">
        <v>82.651700000000005</v>
      </c>
      <c r="AP201" s="59"/>
      <c r="AQ201" s="59"/>
      <c r="AR201" s="59"/>
      <c r="AS201" s="59"/>
      <c r="AT201" s="59"/>
      <c r="AU201" s="59"/>
      <c r="AV201" s="59"/>
      <c r="AW201" s="59"/>
      <c r="AX201" s="59"/>
      <c r="AY201" s="119">
        <v>100.5921</v>
      </c>
      <c r="AZ201" s="119">
        <v>96.214399999999998</v>
      </c>
      <c r="BA201" s="119">
        <v>90.291899999999998</v>
      </c>
      <c r="BB201" s="119">
        <v>92.47</v>
      </c>
      <c r="BC201" s="119">
        <v>96.840900000000005</v>
      </c>
      <c r="BD201" s="119">
        <v>84.572900000000004</v>
      </c>
      <c r="BE201" s="119">
        <v>121.1478</v>
      </c>
      <c r="BF201" s="119">
        <v>82.651700000000005</v>
      </c>
      <c r="BG201" s="59">
        <v>2341.6275999999998</v>
      </c>
      <c r="BH201" s="59">
        <v>1345.2841000000001</v>
      </c>
      <c r="BI201" s="59">
        <v>37.7774</v>
      </c>
      <c r="BJ201" s="59"/>
      <c r="BK201" s="59"/>
      <c r="BL201" s="59"/>
      <c r="BM201" s="59"/>
      <c r="BN201" s="59"/>
      <c r="BO201" s="59"/>
      <c r="BP201" s="59"/>
      <c r="BQ201" s="59"/>
      <c r="BR201" s="59"/>
      <c r="BS201" s="59"/>
      <c r="BT201" s="59"/>
      <c r="BU201" s="59"/>
      <c r="BV201" s="59"/>
      <c r="BW201" s="59"/>
      <c r="BX201" s="59"/>
      <c r="BY201" s="59"/>
      <c r="BZ201" s="59"/>
      <c r="CA201" s="59">
        <f>187.4914+4</f>
        <v>191.4914</v>
      </c>
      <c r="CB201" s="268">
        <f>92.6678+4</f>
        <v>96.6678</v>
      </c>
      <c r="CC201" s="522">
        <f t="shared" si="567"/>
        <v>5308.79</v>
      </c>
      <c r="CD201"/>
      <c r="CE201"/>
    </row>
    <row r="202" spans="1:83" s="66" customFormat="1" ht="15.75" thickBot="1" x14ac:dyDescent="0.3">
      <c r="A202" s="503"/>
      <c r="B202" s="249" t="s">
        <v>54</v>
      </c>
      <c r="C202" s="452"/>
      <c r="D202" s="363">
        <f t="shared" si="618"/>
        <v>203.79950000000002</v>
      </c>
      <c r="E202" s="363">
        <f>SUM(AY202:BI202)</f>
        <v>1586.825</v>
      </c>
      <c r="F202" s="184">
        <f t="shared" si="559"/>
        <v>0</v>
      </c>
      <c r="G202" s="184">
        <f t="shared" si="620"/>
        <v>0</v>
      </c>
      <c r="H202" s="184">
        <f t="shared" si="560"/>
        <v>0</v>
      </c>
      <c r="I202" s="184">
        <f t="shared" si="561"/>
        <v>0</v>
      </c>
      <c r="J202" s="184">
        <f t="shared" si="562"/>
        <v>0</v>
      </c>
      <c r="K202" s="215">
        <f t="shared" si="563"/>
        <v>0</v>
      </c>
      <c r="L202" s="376">
        <f t="shared" si="621"/>
        <v>96.6678</v>
      </c>
      <c r="M202" s="388"/>
      <c r="N202" s="184"/>
      <c r="O202" s="184"/>
      <c r="P202" s="184"/>
      <c r="Q202" s="184"/>
      <c r="R202" s="184"/>
      <c r="S202" s="184"/>
      <c r="T202" s="184"/>
      <c r="U202" s="363"/>
      <c r="W202" s="255">
        <f>M199+M200+M201+M202</f>
        <v>2741</v>
      </c>
      <c r="X202" s="255">
        <f>N199+N200+N201+N202</f>
        <v>12428</v>
      </c>
      <c r="Y202" s="255"/>
      <c r="Z202" s="255">
        <f t="shared" ref="Z202" si="632">P199+P200+P201+P202</f>
        <v>0</v>
      </c>
      <c r="AA202" s="255">
        <f t="shared" ref="AA202" si="633">Q199+Q200+Q201+Q202</f>
        <v>0</v>
      </c>
      <c r="AB202" s="255">
        <f t="shared" ref="AB202" si="634">R199+R200+R201+R202</f>
        <v>0</v>
      </c>
      <c r="AC202" s="255">
        <f t="shared" ref="AC202" si="635">S199+S200+S201+S202</f>
        <v>0</v>
      </c>
      <c r="AD202" s="255">
        <f t="shared" ref="AD202" si="636">T199+T200+T201+T202</f>
        <v>0</v>
      </c>
      <c r="AE202" s="255">
        <f t="shared" ref="AE202" si="637">U199+U200+U201+U202</f>
        <v>2871</v>
      </c>
      <c r="AF202" s="250" t="str">
        <f t="shared" si="631"/>
        <v>ahead</v>
      </c>
      <c r="AG202" s="452"/>
      <c r="AH202" s="247"/>
      <c r="AI202" s="247"/>
      <c r="AJ202" s="247"/>
      <c r="AK202" s="247"/>
      <c r="AL202" s="247"/>
      <c r="AM202" s="247"/>
      <c r="AN202" s="247">
        <v>121.1478</v>
      </c>
      <c r="AO202" s="247">
        <v>82.651700000000005</v>
      </c>
      <c r="AP202" s="184"/>
      <c r="AQ202" s="184"/>
      <c r="AR202" s="184"/>
      <c r="AS202" s="184"/>
      <c r="AT202" s="184"/>
      <c r="AU202" s="184"/>
      <c r="AV202" s="184"/>
      <c r="AW202" s="184"/>
      <c r="AX202" s="184"/>
      <c r="AY202" s="247"/>
      <c r="AZ202" s="247"/>
      <c r="BA202" s="247"/>
      <c r="BB202" s="247"/>
      <c r="BC202" s="247"/>
      <c r="BD202" s="247"/>
      <c r="BE202" s="247">
        <v>121.1478</v>
      </c>
      <c r="BF202" s="247">
        <v>82.651700000000005</v>
      </c>
      <c r="BG202" s="184"/>
      <c r="BH202" s="184">
        <v>1345.2481</v>
      </c>
      <c r="BI202" s="184">
        <v>37.7774</v>
      </c>
      <c r="BJ202" s="184"/>
      <c r="BK202" s="184"/>
      <c r="BL202" s="184"/>
      <c r="BM202" s="184"/>
      <c r="BN202" s="184"/>
      <c r="BO202" s="184"/>
      <c r="BP202" s="184"/>
      <c r="BQ202" s="184"/>
      <c r="BR202" s="184"/>
      <c r="BS202" s="184"/>
      <c r="BT202" s="184"/>
      <c r="BU202" s="184"/>
      <c r="BV202" s="184"/>
      <c r="BW202" s="184"/>
      <c r="BX202" s="184"/>
      <c r="BY202" s="184"/>
      <c r="BZ202" s="184"/>
      <c r="CA202" s="184"/>
      <c r="CB202" s="269">
        <f>92.6678+4</f>
        <v>96.6678</v>
      </c>
      <c r="CC202" s="522"/>
      <c r="CD202"/>
      <c r="CE202"/>
    </row>
    <row r="203" spans="1:83" s="62" customFormat="1" x14ac:dyDescent="0.25">
      <c r="A203" s="503"/>
      <c r="B203" s="248" t="s">
        <v>53</v>
      </c>
      <c r="C203" s="451">
        <v>5333.17</v>
      </c>
      <c r="D203" s="361">
        <f t="shared" si="618"/>
        <v>291.41989999999998</v>
      </c>
      <c r="E203" s="361">
        <f t="shared" si="619"/>
        <v>1686.8613999999998</v>
      </c>
      <c r="F203" s="161">
        <f t="shared" si="559"/>
        <v>0</v>
      </c>
      <c r="G203" s="161">
        <f t="shared" si="620"/>
        <v>0</v>
      </c>
      <c r="H203" s="161">
        <f t="shared" si="560"/>
        <v>0</v>
      </c>
      <c r="I203" s="161">
        <f t="shared" si="561"/>
        <v>0</v>
      </c>
      <c r="J203" s="161">
        <f t="shared" si="562"/>
        <v>0</v>
      </c>
      <c r="K203" s="162">
        <f t="shared" si="563"/>
        <v>0</v>
      </c>
      <c r="L203" s="374">
        <f t="shared" si="621"/>
        <v>71.474599999999995</v>
      </c>
      <c r="M203" s="386">
        <f>ROUNDUP(((D202+D203)*0.5)*(C203-C201)/27,0)</f>
        <v>224</v>
      </c>
      <c r="N203" s="161">
        <f>ROUNDUP(((E202+E203)*0.5)*(C203-C201)/27,0)</f>
        <v>1479</v>
      </c>
      <c r="O203" s="161"/>
      <c r="P203" s="161">
        <f>ROUNDUP(((G202+G203)*0.5)*(C203-C201)/27,0)</f>
        <v>0</v>
      </c>
      <c r="Q203" s="161">
        <f>ROUNDUP(((H203+H202)*0.5)*(C203-C201)/27,0)</f>
        <v>0</v>
      </c>
      <c r="R203" s="161">
        <f>ROUNDUP(((I203+I202)*0.5)*(C203-C201)/27,0)</f>
        <v>0</v>
      </c>
      <c r="S203" s="161">
        <f>ROUNDUP(((J203+J202)*0.5)*(C203-C201)/9,0)</f>
        <v>0</v>
      </c>
      <c r="T203" s="161">
        <f>ROUNDUP(((K203+K202)*0.5)*(C203-C201)/9,0)</f>
        <v>0</v>
      </c>
      <c r="U203" s="361">
        <f>ROUNDUP(((L203+L202)*0.5)*(C203-C201)/9,0)</f>
        <v>228</v>
      </c>
      <c r="W203" s="164"/>
      <c r="X203" s="161"/>
      <c r="Y203" s="161"/>
      <c r="Z203" s="161"/>
      <c r="AA203" s="161"/>
      <c r="AB203" s="161"/>
      <c r="AC203" s="161"/>
      <c r="AD203" s="161"/>
      <c r="AE203" s="166"/>
      <c r="AF203" s="64" t="str">
        <f t="shared" si="631"/>
        <v>back</v>
      </c>
      <c r="AG203" s="451">
        <f t="shared" si="630"/>
        <v>5333.17</v>
      </c>
      <c r="AH203" s="246">
        <v>128.84379999999999</v>
      </c>
      <c r="AI203" s="246">
        <v>162.5761</v>
      </c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  <c r="AU203" s="161"/>
      <c r="AV203" s="161"/>
      <c r="AW203" s="161"/>
      <c r="AX203" s="161"/>
      <c r="AY203" s="246">
        <v>128.84379999999999</v>
      </c>
      <c r="AZ203" s="246">
        <v>162.5761</v>
      </c>
      <c r="BA203" s="161">
        <v>895.3116</v>
      </c>
      <c r="BB203" s="161">
        <v>461.9402</v>
      </c>
      <c r="BC203" s="161">
        <v>18.972899999999999</v>
      </c>
      <c r="BD203" s="161">
        <v>19.216799999999999</v>
      </c>
      <c r="BE203" s="161"/>
      <c r="BF203" s="161"/>
      <c r="BG203" s="161"/>
      <c r="BH203" s="161"/>
      <c r="BI203" s="161"/>
      <c r="BJ203" s="161"/>
      <c r="BK203" s="161"/>
      <c r="BL203" s="161"/>
      <c r="BM203" s="161"/>
      <c r="BN203" s="161"/>
      <c r="BO203" s="161"/>
      <c r="BP203" s="161"/>
      <c r="BQ203" s="161"/>
      <c r="BR203" s="161"/>
      <c r="BS203" s="161"/>
      <c r="BT203" s="161"/>
      <c r="BU203" s="161"/>
      <c r="BV203" s="161"/>
      <c r="BW203" s="161"/>
      <c r="BX203" s="161"/>
      <c r="BY203" s="161"/>
      <c r="BZ203" s="161"/>
      <c r="CA203" s="161"/>
      <c r="CB203" s="267">
        <f>67.4746+4</f>
        <v>71.474599999999995</v>
      </c>
      <c r="CC203" s="522">
        <f t="shared" si="567"/>
        <v>5333.17</v>
      </c>
      <c r="CD203"/>
      <c r="CE203"/>
    </row>
    <row r="204" spans="1:83" s="62" customFormat="1" x14ac:dyDescent="0.25">
      <c r="A204" s="503"/>
      <c r="B204" s="130" t="s">
        <v>54</v>
      </c>
      <c r="C204" s="452"/>
      <c r="D204" s="362">
        <f>SUM(AH204:AX204)</f>
        <v>128.84379999999999</v>
      </c>
      <c r="E204" s="362">
        <f t="shared" si="619"/>
        <v>1043.1283000000001</v>
      </c>
      <c r="F204" s="59">
        <f t="shared" si="559"/>
        <v>0</v>
      </c>
      <c r="G204" s="59">
        <f t="shared" si="620"/>
        <v>0</v>
      </c>
      <c r="H204" s="59">
        <f t="shared" si="560"/>
        <v>0</v>
      </c>
      <c r="I204" s="59">
        <f t="shared" si="561"/>
        <v>0</v>
      </c>
      <c r="J204" s="59">
        <f t="shared" si="562"/>
        <v>0</v>
      </c>
      <c r="K204" s="60">
        <f t="shared" si="563"/>
        <v>0</v>
      </c>
      <c r="L204" s="375">
        <f t="shared" si="621"/>
        <v>0</v>
      </c>
      <c r="M204" s="387"/>
      <c r="N204" s="59"/>
      <c r="O204" s="59"/>
      <c r="P204" s="59"/>
      <c r="Q204" s="59"/>
      <c r="R204" s="59"/>
      <c r="S204" s="59"/>
      <c r="T204" s="59"/>
      <c r="U204" s="362"/>
      <c r="W204" s="106"/>
      <c r="X204" s="59"/>
      <c r="Y204" s="59"/>
      <c r="Z204" s="59"/>
      <c r="AA204" s="59"/>
      <c r="AB204" s="59"/>
      <c r="AC204" s="59"/>
      <c r="AD204" s="59"/>
      <c r="AE204" s="140"/>
      <c r="AF204" s="64" t="str">
        <f t="shared" si="631"/>
        <v>ahead</v>
      </c>
      <c r="AG204" s="452"/>
      <c r="AH204" s="119">
        <v>128.84379999999999</v>
      </c>
      <c r="AI204" s="119"/>
      <c r="AJ204" s="59"/>
      <c r="AK204" s="59"/>
      <c r="AL204" s="59"/>
      <c r="AM204" s="59"/>
      <c r="AN204" s="59"/>
      <c r="AO204" s="59"/>
      <c r="AP204" s="59"/>
      <c r="AQ204" s="59"/>
      <c r="AR204" s="59"/>
      <c r="AS204" s="59"/>
      <c r="AT204" s="59"/>
      <c r="AU204" s="59"/>
      <c r="AV204" s="59"/>
      <c r="AW204" s="59"/>
      <c r="AX204" s="59"/>
      <c r="AY204" s="119">
        <v>128.84379999999999</v>
      </c>
      <c r="AZ204" s="119"/>
      <c r="BA204" s="59">
        <v>895.3116</v>
      </c>
      <c r="BB204" s="59"/>
      <c r="BC204" s="59">
        <v>18.972899999999999</v>
      </c>
      <c r="BD204" s="59"/>
      <c r="BE204" s="59"/>
      <c r="BF204" s="59"/>
      <c r="BG204" s="59"/>
      <c r="BH204" s="59"/>
      <c r="BI204" s="59"/>
      <c r="BJ204" s="59"/>
      <c r="BK204" s="59"/>
      <c r="BL204" s="59"/>
      <c r="BM204" s="59"/>
      <c r="BN204" s="59"/>
      <c r="BO204" s="59"/>
      <c r="BP204" s="59"/>
      <c r="BQ204" s="59"/>
      <c r="BR204" s="59"/>
      <c r="BS204" s="59"/>
      <c r="BT204" s="59"/>
      <c r="BU204" s="59"/>
      <c r="BV204" s="59"/>
      <c r="BW204" s="59"/>
      <c r="BX204" s="59"/>
      <c r="BY204" s="59"/>
      <c r="BZ204" s="59"/>
      <c r="CA204" s="59"/>
      <c r="CB204" s="268"/>
      <c r="CC204" s="522"/>
      <c r="CD204"/>
      <c r="CE204"/>
    </row>
    <row r="205" spans="1:83" s="3" customFormat="1" ht="15.75" thickBot="1" x14ac:dyDescent="0.3">
      <c r="A205" s="503"/>
      <c r="C205" s="212">
        <v>5350</v>
      </c>
      <c r="D205" s="348">
        <f t="shared" ref="D205:D216" si="638">SUM(AH205:AX205)</f>
        <v>160.81720000000001</v>
      </c>
      <c r="E205" s="348">
        <f t="shared" ref="E205:E216" si="639">SUM(AY205:BG205)</f>
        <v>1157.0143</v>
      </c>
      <c r="F205" s="144">
        <f t="shared" si="559"/>
        <v>0</v>
      </c>
      <c r="G205" s="144">
        <f t="shared" ref="G205:G216" si="640">SUM(BL205:BN205)</f>
        <v>0</v>
      </c>
      <c r="H205" s="144">
        <f t="shared" si="560"/>
        <v>0</v>
      </c>
      <c r="I205" s="144">
        <f t="shared" si="561"/>
        <v>0</v>
      </c>
      <c r="J205" s="144">
        <f t="shared" si="562"/>
        <v>0</v>
      </c>
      <c r="K205" s="159">
        <f t="shared" si="563"/>
        <v>0</v>
      </c>
      <c r="L205" s="351">
        <f t="shared" ref="L205:L216" si="641">SUM(BY205:CB205)</f>
        <v>0</v>
      </c>
      <c r="M205" s="354">
        <f>ROUNDUP(((D204+D205)*0.5)*(C205-C203)/27,0)</f>
        <v>91</v>
      </c>
      <c r="N205" s="144">
        <f>ROUNDUP(((E204+E205)*0.5)*(C205-C203)/27,0)</f>
        <v>686</v>
      </c>
      <c r="O205" s="144"/>
      <c r="P205" s="144">
        <f>ROUNDUP(((G204+G205)*0.5)*(C205-C203)/27,0)</f>
        <v>0</v>
      </c>
      <c r="Q205" s="144">
        <f>ROUNDUP(((H205+H204)*0.5)*(C205-C203)/27,0)</f>
        <v>0</v>
      </c>
      <c r="R205" s="144">
        <f>ROUNDUP(((I205+I204)*0.5)*(C205-C203)/27,0)</f>
        <v>0</v>
      </c>
      <c r="S205" s="144">
        <f>ROUNDUP(((J205+J204)*0.5)*(C205-C203)/9,0)</f>
        <v>0</v>
      </c>
      <c r="T205" s="144">
        <f>ROUNDUP(((K205+K204)*0.5)*(C205-C203)/9,0)</f>
        <v>0</v>
      </c>
      <c r="U205" s="348">
        <f>ROUNDUP(((L205+L204)*0.5)*(C205-C203)/9,0)</f>
        <v>0</v>
      </c>
      <c r="W205" s="255">
        <f>M203+M204+M205</f>
        <v>315</v>
      </c>
      <c r="X205" s="255">
        <f t="shared" ref="X205" si="642">N203+N204+N205</f>
        <v>2165</v>
      </c>
      <c r="Y205" s="255"/>
      <c r="Z205" s="255">
        <f t="shared" ref="Z205" si="643">P203+P204+P205</f>
        <v>0</v>
      </c>
      <c r="AA205" s="255">
        <f t="shared" ref="AA205" si="644">Q203+Q204+Q205</f>
        <v>0</v>
      </c>
      <c r="AB205" s="255">
        <f t="shared" ref="AB205" si="645">R203+R204+R205</f>
        <v>0</v>
      </c>
      <c r="AC205" s="255">
        <f t="shared" ref="AC205" si="646">S203+S204+S205</f>
        <v>0</v>
      </c>
      <c r="AD205" s="255">
        <f t="shared" ref="AD205" si="647">T203+T204+T205</f>
        <v>0</v>
      </c>
      <c r="AE205" s="255">
        <f t="shared" ref="AE205" si="648">U203+U204+U205</f>
        <v>228</v>
      </c>
      <c r="AG205" s="158">
        <f t="shared" ref="AG205:AG217" si="649">C205</f>
        <v>5350</v>
      </c>
      <c r="AH205" s="247">
        <v>107.3424</v>
      </c>
      <c r="AI205" s="247">
        <v>53.474800000000002</v>
      </c>
      <c r="AJ205" s="144"/>
      <c r="AK205" s="144"/>
      <c r="AL205" s="144"/>
      <c r="AM205" s="144"/>
      <c r="AN205" s="144"/>
      <c r="AO205" s="144"/>
      <c r="AP205" s="144"/>
      <c r="AQ205" s="144"/>
      <c r="AR205" s="144"/>
      <c r="AS205" s="144"/>
      <c r="AT205" s="144"/>
      <c r="AU205" s="144"/>
      <c r="AV205" s="144"/>
      <c r="AW205" s="144"/>
      <c r="AX205" s="144"/>
      <c r="AY205" s="247">
        <v>107.3424</v>
      </c>
      <c r="AZ205" s="247">
        <v>53.474800000000002</v>
      </c>
      <c r="BA205" s="144">
        <v>982.33929999999998</v>
      </c>
      <c r="BB205" s="144">
        <v>13.857799999999999</v>
      </c>
      <c r="BC205" s="144"/>
      <c r="BD205" s="144"/>
      <c r="BE205" s="144"/>
      <c r="BF205" s="144"/>
      <c r="BG205" s="144"/>
      <c r="BH205" s="144"/>
      <c r="BI205" s="144"/>
      <c r="BJ205" s="144"/>
      <c r="BK205" s="144"/>
      <c r="BL205" s="144"/>
      <c r="BM205" s="144"/>
      <c r="BN205" s="144"/>
      <c r="BO205" s="144"/>
      <c r="BP205" s="144"/>
      <c r="BQ205" s="144"/>
      <c r="BR205" s="144"/>
      <c r="BS205" s="144"/>
      <c r="BT205" s="144"/>
      <c r="BU205" s="144"/>
      <c r="BV205" s="144"/>
      <c r="BW205" s="144"/>
      <c r="BX205" s="144"/>
      <c r="BY205" s="144"/>
      <c r="BZ205" s="144"/>
      <c r="CA205" s="144"/>
      <c r="CB205" s="265">
        <v>0</v>
      </c>
      <c r="CC205" s="1">
        <f t="shared" si="567"/>
        <v>5350</v>
      </c>
      <c r="CD205"/>
      <c r="CE205"/>
    </row>
    <row r="206" spans="1:83" x14ac:dyDescent="0.25">
      <c r="A206" s="503"/>
      <c r="C206" s="210">
        <v>5400</v>
      </c>
      <c r="D206" s="349">
        <f t="shared" si="638"/>
        <v>257.0591</v>
      </c>
      <c r="E206" s="349">
        <f t="shared" si="639"/>
        <v>1582.7284999999999</v>
      </c>
      <c r="F206" s="147">
        <f t="shared" si="559"/>
        <v>0</v>
      </c>
      <c r="G206" s="147">
        <f t="shared" si="640"/>
        <v>0</v>
      </c>
      <c r="H206" s="147">
        <f t="shared" si="560"/>
        <v>0</v>
      </c>
      <c r="I206" s="147">
        <f t="shared" si="561"/>
        <v>0</v>
      </c>
      <c r="J206" s="147">
        <f t="shared" si="562"/>
        <v>0</v>
      </c>
      <c r="K206" s="156">
        <f t="shared" si="563"/>
        <v>0</v>
      </c>
      <c r="L206" s="352">
        <f t="shared" si="641"/>
        <v>0</v>
      </c>
      <c r="M206" s="355">
        <f t="shared" ref="M206:M208" si="650">ROUNDUP(((D205+D206)*0.5)*(C206-C205)/27,0)</f>
        <v>387</v>
      </c>
      <c r="N206" s="147">
        <f t="shared" ref="N206:N207" si="651">ROUNDUP(((E205+E206)*0.5)*(C206-C205)/27,0)</f>
        <v>2537</v>
      </c>
      <c r="O206" s="147"/>
      <c r="P206" s="147">
        <f t="shared" ref="P206:P208" si="652">ROUNDUP(((G205+G206)*0.5)*(C206-C205)/27,0)</f>
        <v>0</v>
      </c>
      <c r="Q206" s="147">
        <f t="shared" ref="Q206:Q208" si="653">ROUNDUP(((H206+H205)*0.5)*(C206-C205)/27,0)</f>
        <v>0</v>
      </c>
      <c r="R206" s="147">
        <f t="shared" ref="R206:R208" si="654">ROUNDUP(((I206+I205)*0.5)*(C206-C205)/27,0)</f>
        <v>0</v>
      </c>
      <c r="S206" s="147">
        <f t="shared" ref="S206:S208" si="655">ROUNDUP(((J206+J205)*0.5)*(C206-C205)/9,0)</f>
        <v>0</v>
      </c>
      <c r="T206" s="147">
        <f t="shared" ref="T206:T208" si="656">ROUNDUP(((K206+K205)*0.5)*(C206-C205)/9,0)</f>
        <v>0</v>
      </c>
      <c r="U206" s="349">
        <f t="shared" ref="U206:U208" si="657">ROUNDUP(((L206+L205)*0.5)*(C206-C205)/9,0)</f>
        <v>0</v>
      </c>
      <c r="W206" s="151"/>
      <c r="X206" s="147"/>
      <c r="Y206" s="147"/>
      <c r="Z206" s="147"/>
      <c r="AA206" s="147"/>
      <c r="AB206" s="147"/>
      <c r="AC206" s="147"/>
      <c r="AD206" s="147"/>
      <c r="AE206" s="148"/>
      <c r="AG206" s="155">
        <f t="shared" si="649"/>
        <v>5400</v>
      </c>
      <c r="AH206" s="246">
        <v>111.5134</v>
      </c>
      <c r="AI206" s="246">
        <v>106.01819999999999</v>
      </c>
      <c r="AJ206" s="246">
        <v>39.527500000000003</v>
      </c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246">
        <v>111.5134</v>
      </c>
      <c r="AZ206" s="246">
        <v>106.01819999999999</v>
      </c>
      <c r="BA206" s="246">
        <v>39.527500000000003</v>
      </c>
      <c r="BB206" s="147">
        <v>1325.6694</v>
      </c>
      <c r="BC206" s="147"/>
      <c r="BD206" s="147"/>
      <c r="BE206" s="147"/>
      <c r="BF206" s="147"/>
      <c r="BG206" s="147"/>
      <c r="BH206" s="147"/>
      <c r="BI206" s="147"/>
      <c r="BJ206" s="147"/>
      <c r="BK206" s="147"/>
      <c r="BL206" s="147"/>
      <c r="BM206" s="147"/>
      <c r="BN206" s="147"/>
      <c r="BO206" s="147"/>
      <c r="BP206" s="147"/>
      <c r="BQ206" s="147"/>
      <c r="BR206" s="147"/>
      <c r="BS206" s="147"/>
      <c r="BT206" s="147"/>
      <c r="BU206" s="147"/>
      <c r="BV206" s="147"/>
      <c r="BW206" s="147"/>
      <c r="BX206" s="147"/>
      <c r="BY206" s="147"/>
      <c r="BZ206" s="147"/>
      <c r="CA206" s="147"/>
      <c r="CB206" s="266">
        <v>0</v>
      </c>
      <c r="CC206" s="1">
        <f t="shared" si="567"/>
        <v>5400</v>
      </c>
    </row>
    <row r="207" spans="1:83" x14ac:dyDescent="0.25">
      <c r="A207" s="503"/>
      <c r="C207" s="121">
        <v>5450</v>
      </c>
      <c r="D207" s="347">
        <f t="shared" si="638"/>
        <v>245.15829999999997</v>
      </c>
      <c r="E207" s="347">
        <f t="shared" si="639"/>
        <v>2014.2821000000001</v>
      </c>
      <c r="F207" s="58">
        <f t="shared" si="559"/>
        <v>0</v>
      </c>
      <c r="G207" s="58">
        <f t="shared" si="640"/>
        <v>0</v>
      </c>
      <c r="H207" s="58">
        <f t="shared" si="560"/>
        <v>0</v>
      </c>
      <c r="I207" s="58">
        <f t="shared" si="561"/>
        <v>0</v>
      </c>
      <c r="J207" s="58">
        <f t="shared" si="562"/>
        <v>0</v>
      </c>
      <c r="K207" s="51">
        <f t="shared" si="563"/>
        <v>0</v>
      </c>
      <c r="L207" s="350">
        <f t="shared" si="641"/>
        <v>0</v>
      </c>
      <c r="M207" s="353">
        <f t="shared" si="650"/>
        <v>466</v>
      </c>
      <c r="N207" s="58">
        <f t="shared" si="651"/>
        <v>3331</v>
      </c>
      <c r="O207" s="58"/>
      <c r="P207" s="58">
        <f t="shared" si="652"/>
        <v>0</v>
      </c>
      <c r="Q207" s="58">
        <f t="shared" si="653"/>
        <v>0</v>
      </c>
      <c r="R207" s="58">
        <f t="shared" si="654"/>
        <v>0</v>
      </c>
      <c r="S207" s="58">
        <f t="shared" si="655"/>
        <v>0</v>
      </c>
      <c r="T207" s="58">
        <f t="shared" si="656"/>
        <v>0</v>
      </c>
      <c r="U207" s="347">
        <f t="shared" si="657"/>
        <v>0</v>
      </c>
      <c r="W207" s="105"/>
      <c r="X207" s="58"/>
      <c r="Y207" s="58"/>
      <c r="Z207" s="58"/>
      <c r="AA207" s="58"/>
      <c r="AB207" s="58"/>
      <c r="AC207" s="58"/>
      <c r="AD207" s="58"/>
      <c r="AE207" s="138"/>
      <c r="AG207" s="57">
        <f t="shared" si="649"/>
        <v>5450</v>
      </c>
      <c r="AH207" s="119">
        <v>110.7949</v>
      </c>
      <c r="AI207" s="119">
        <v>108.54689999999999</v>
      </c>
      <c r="AJ207" s="119">
        <v>25.816500000000001</v>
      </c>
      <c r="AK207" s="58"/>
      <c r="AL207" s="58"/>
      <c r="AM207" s="58"/>
      <c r="AN207" s="58"/>
      <c r="AO207" s="58"/>
      <c r="AP207" s="58"/>
      <c r="AQ207" s="58"/>
      <c r="AR207" s="58"/>
      <c r="AS207" s="58"/>
      <c r="AT207" s="58"/>
      <c r="AU207" s="58"/>
      <c r="AV207" s="58"/>
      <c r="AW207" s="58"/>
      <c r="AX207" s="58"/>
      <c r="AY207" s="119">
        <v>110.7949</v>
      </c>
      <c r="AZ207" s="119">
        <v>108.54689999999999</v>
      </c>
      <c r="BA207" s="119">
        <v>25.816500000000001</v>
      </c>
      <c r="BB207" s="58">
        <v>1769.1238000000001</v>
      </c>
      <c r="BC207" s="58"/>
      <c r="BD207" s="58"/>
      <c r="BE207" s="58"/>
      <c r="BF207" s="58"/>
      <c r="BG207" s="58"/>
      <c r="BH207" s="58"/>
      <c r="BI207" s="58"/>
      <c r="BJ207" s="58"/>
      <c r="BK207" s="58"/>
      <c r="BL207" s="58"/>
      <c r="BM207" s="58"/>
      <c r="BN207" s="58"/>
      <c r="BO207" s="58"/>
      <c r="BP207" s="58"/>
      <c r="BQ207" s="58"/>
      <c r="BR207" s="58"/>
      <c r="BS207" s="58"/>
      <c r="BT207" s="58"/>
      <c r="BU207" s="58"/>
      <c r="BV207" s="58"/>
      <c r="BW207" s="58"/>
      <c r="BX207" s="58"/>
      <c r="BY207" s="58"/>
      <c r="BZ207" s="58"/>
      <c r="CA207" s="58"/>
      <c r="CB207" s="263">
        <v>0</v>
      </c>
      <c r="CC207" s="1">
        <f t="shared" si="567"/>
        <v>5450</v>
      </c>
    </row>
    <row r="208" spans="1:83" s="62" customFormat="1" x14ac:dyDescent="0.25">
      <c r="A208" s="503"/>
      <c r="B208" s="130" t="s">
        <v>53</v>
      </c>
      <c r="C208" s="504">
        <v>5461.56</v>
      </c>
      <c r="D208" s="362">
        <f t="shared" si="638"/>
        <v>223.0129</v>
      </c>
      <c r="E208" s="362">
        <f t="shared" si="639"/>
        <v>0</v>
      </c>
      <c r="F208" s="59">
        <f t="shared" si="559"/>
        <v>2103.9195</v>
      </c>
      <c r="G208" s="59">
        <f t="shared" si="640"/>
        <v>0</v>
      </c>
      <c r="H208" s="59">
        <f t="shared" si="560"/>
        <v>0</v>
      </c>
      <c r="I208" s="59">
        <f t="shared" si="561"/>
        <v>0</v>
      </c>
      <c r="J208" s="59">
        <f t="shared" si="562"/>
        <v>0</v>
      </c>
      <c r="K208" s="60">
        <f t="shared" si="563"/>
        <v>0</v>
      </c>
      <c r="L208" s="375">
        <f t="shared" si="641"/>
        <v>0</v>
      </c>
      <c r="M208" s="387">
        <f t="shared" si="650"/>
        <v>101</v>
      </c>
      <c r="N208" s="59">
        <f>ROUNDUP(((E207+E208)*0.5)*(C208-C207)/27,0)</f>
        <v>432</v>
      </c>
      <c r="O208" s="59"/>
      <c r="P208" s="59">
        <f t="shared" si="652"/>
        <v>0</v>
      </c>
      <c r="Q208" s="59">
        <f t="shared" si="653"/>
        <v>0</v>
      </c>
      <c r="R208" s="59">
        <f t="shared" si="654"/>
        <v>0</v>
      </c>
      <c r="S208" s="59">
        <f t="shared" si="655"/>
        <v>0</v>
      </c>
      <c r="T208" s="59">
        <f t="shared" si="656"/>
        <v>0</v>
      </c>
      <c r="U208" s="362">
        <f t="shared" si="657"/>
        <v>0</v>
      </c>
      <c r="W208" s="106"/>
      <c r="X208" s="59"/>
      <c r="Y208" s="59"/>
      <c r="Z208" s="59"/>
      <c r="AA208" s="59"/>
      <c r="AB208" s="59"/>
      <c r="AC208" s="59"/>
      <c r="AD208" s="59"/>
      <c r="AE208" s="140"/>
      <c r="AF208" s="64" t="str">
        <f t="shared" ref="AF208:AF211" si="658">B208</f>
        <v>back</v>
      </c>
      <c r="AG208" s="451">
        <f t="shared" si="649"/>
        <v>5461.56</v>
      </c>
      <c r="AH208" s="119"/>
      <c r="AI208" s="119"/>
      <c r="AJ208" s="119"/>
      <c r="AK208" s="119"/>
      <c r="AL208" s="119">
        <v>102.5415</v>
      </c>
      <c r="AM208" s="119">
        <v>109.6065</v>
      </c>
      <c r="AN208" s="119">
        <v>10.8649</v>
      </c>
      <c r="AO208" s="119"/>
      <c r="AP208" s="59"/>
      <c r="AQ208" s="59"/>
      <c r="AR208" s="59"/>
      <c r="AS208" s="59"/>
      <c r="AT208" s="59"/>
      <c r="AU208" s="59"/>
      <c r="AV208" s="59"/>
      <c r="AW208" s="59"/>
      <c r="AX208" s="59"/>
      <c r="AY208" s="119"/>
      <c r="AZ208" s="119"/>
      <c r="BA208" s="119"/>
      <c r="BB208" s="119"/>
      <c r="BC208" s="119"/>
      <c r="BD208" s="119"/>
      <c r="BE208" s="119"/>
      <c r="BF208" s="59"/>
      <c r="BG208" s="59"/>
      <c r="BH208" s="59"/>
      <c r="BI208" s="59"/>
      <c r="BJ208" s="59">
        <f>AL208+AM208+AN208</f>
        <v>223.0129</v>
      </c>
      <c r="BK208" s="59">
        <v>1880.9066</v>
      </c>
      <c r="BL208" s="59"/>
      <c r="BM208" s="59"/>
      <c r="BN208" s="59"/>
      <c r="BO208" s="59"/>
      <c r="BP208" s="59"/>
      <c r="BQ208" s="59"/>
      <c r="BR208" s="59"/>
      <c r="BS208" s="59"/>
      <c r="BT208" s="59"/>
      <c r="BU208" s="59"/>
      <c r="BV208" s="59"/>
      <c r="BW208" s="59"/>
      <c r="BX208" s="59"/>
      <c r="BY208" s="59"/>
      <c r="BZ208" s="59"/>
      <c r="CA208" s="59"/>
      <c r="CB208" s="268"/>
      <c r="CC208" s="522">
        <f t="shared" si="567"/>
        <v>5461.56</v>
      </c>
      <c r="CD208"/>
      <c r="CE208"/>
    </row>
    <row r="209" spans="1:83" s="66" customFormat="1" ht="15.75" thickBot="1" x14ac:dyDescent="0.3">
      <c r="A209" s="503"/>
      <c r="B209" s="249" t="s">
        <v>54</v>
      </c>
      <c r="C209" s="505"/>
      <c r="D209" s="363">
        <f>SUM(AH209:AX209)</f>
        <v>694.41729999999995</v>
      </c>
      <c r="E209" s="363">
        <f>SUM(AY209:BH209)</f>
        <v>0</v>
      </c>
      <c r="F209" s="184">
        <f t="shared" si="559"/>
        <v>12749.3105</v>
      </c>
      <c r="G209" s="184">
        <f t="shared" si="640"/>
        <v>0</v>
      </c>
      <c r="H209" s="184">
        <f t="shared" si="560"/>
        <v>0</v>
      </c>
      <c r="I209" s="184">
        <f t="shared" si="561"/>
        <v>0</v>
      </c>
      <c r="J209" s="184">
        <f t="shared" si="562"/>
        <v>0</v>
      </c>
      <c r="K209" s="215">
        <f t="shared" si="563"/>
        <v>0</v>
      </c>
      <c r="L209" s="376">
        <f t="shared" si="641"/>
        <v>262.21699999999998</v>
      </c>
      <c r="M209" s="388"/>
      <c r="N209" s="184"/>
      <c r="O209" s="184"/>
      <c r="P209" s="184"/>
      <c r="Q209" s="184"/>
      <c r="R209" s="184"/>
      <c r="S209" s="184"/>
      <c r="T209" s="184"/>
      <c r="U209" s="363"/>
      <c r="W209" s="255">
        <f>M206+M207+M208+M209</f>
        <v>954</v>
      </c>
      <c r="X209" s="255">
        <f>N206+N207+N208+N209</f>
        <v>6300</v>
      </c>
      <c r="Y209" s="255">
        <f>O206+O207+O208+O209</f>
        <v>0</v>
      </c>
      <c r="Z209" s="255">
        <f t="shared" ref="Z209" si="659">P206+P207+P208+P209</f>
        <v>0</v>
      </c>
      <c r="AA209" s="255">
        <f t="shared" ref="AA209" si="660">Q206+Q207+Q208+Q209</f>
        <v>0</v>
      </c>
      <c r="AB209" s="255">
        <f t="shared" ref="AB209" si="661">R206+R207+R208+R209</f>
        <v>0</v>
      </c>
      <c r="AC209" s="255">
        <f t="shared" ref="AC209" si="662">S206+S207+S208+S209</f>
        <v>0</v>
      </c>
      <c r="AD209" s="255">
        <f t="shared" ref="AD209" si="663">T206+T207+T208+T209</f>
        <v>0</v>
      </c>
      <c r="AE209" s="255">
        <f t="shared" ref="AE209" si="664">U206+U207+U208+U209</f>
        <v>0</v>
      </c>
      <c r="AF209" s="250" t="str">
        <f t="shared" si="658"/>
        <v>ahead</v>
      </c>
      <c r="AG209" s="452"/>
      <c r="AH209" s="247">
        <v>119.66030000000001</v>
      </c>
      <c r="AI209" s="247">
        <v>146.73060000000001</v>
      </c>
      <c r="AJ209" s="247">
        <v>99.738600000000005</v>
      </c>
      <c r="AK209" s="247">
        <v>104.2471</v>
      </c>
      <c r="AL209" s="247">
        <v>102.5415</v>
      </c>
      <c r="AM209" s="247">
        <v>109.6065</v>
      </c>
      <c r="AN209" s="247">
        <v>10.8649</v>
      </c>
      <c r="AO209" s="247">
        <v>1.0278</v>
      </c>
      <c r="AP209" s="184"/>
      <c r="AQ209" s="184"/>
      <c r="AR209" s="184"/>
      <c r="AS209" s="184"/>
      <c r="AT209" s="184"/>
      <c r="AU209" s="184"/>
      <c r="AV209" s="184"/>
      <c r="AW209" s="184"/>
      <c r="AX209" s="184"/>
      <c r="AY209" s="247"/>
      <c r="AZ209" s="247"/>
      <c r="BA209" s="247"/>
      <c r="BB209" s="247"/>
      <c r="BC209" s="247"/>
      <c r="BD209" s="247"/>
      <c r="BE209" s="247"/>
      <c r="BF209" s="184"/>
      <c r="BG209" s="184"/>
      <c r="BH209" s="247"/>
      <c r="BI209" s="184"/>
      <c r="BJ209" s="184">
        <f>AH209+AI209+AJ209+AK209+AL209+AM209+AN209+AO209</f>
        <v>694.41729999999995</v>
      </c>
      <c r="BK209" s="184">
        <f>10173.9866+1880.9066</f>
        <v>12054.8932</v>
      </c>
      <c r="BL209" s="184"/>
      <c r="BM209" s="184"/>
      <c r="BN209" s="184"/>
      <c r="BO209" s="184"/>
      <c r="BP209" s="184"/>
      <c r="BQ209" s="184"/>
      <c r="BR209" s="184"/>
      <c r="BS209" s="184"/>
      <c r="BT209" s="184"/>
      <c r="BU209" s="184"/>
      <c r="BV209" s="184"/>
      <c r="BW209" s="184"/>
      <c r="BX209" s="184"/>
      <c r="BY209" s="184"/>
      <c r="BZ209" s="184"/>
      <c r="CA209" s="184"/>
      <c r="CB209" s="269">
        <f>258.217+4</f>
        <v>262.21699999999998</v>
      </c>
      <c r="CC209" s="522"/>
      <c r="CD209"/>
      <c r="CE209"/>
    </row>
    <row r="210" spans="1:83" s="62" customFormat="1" x14ac:dyDescent="0.25">
      <c r="A210" s="503"/>
      <c r="B210" s="248" t="s">
        <v>53</v>
      </c>
      <c r="C210" s="504">
        <v>5477.3</v>
      </c>
      <c r="D210" s="361">
        <f t="shared" si="638"/>
        <v>622.06700000000001</v>
      </c>
      <c r="E210" s="361">
        <f t="shared" si="639"/>
        <v>0</v>
      </c>
      <c r="F210" s="161">
        <f t="shared" si="559"/>
        <v>13090.040700000001</v>
      </c>
      <c r="G210" s="161">
        <f t="shared" si="640"/>
        <v>0</v>
      </c>
      <c r="H210" s="161">
        <f t="shared" si="560"/>
        <v>0</v>
      </c>
      <c r="I210" s="161">
        <f t="shared" si="561"/>
        <v>0</v>
      </c>
      <c r="J210" s="161">
        <f t="shared" si="562"/>
        <v>0</v>
      </c>
      <c r="K210" s="162">
        <f t="shared" si="563"/>
        <v>0</v>
      </c>
      <c r="L210" s="374">
        <f t="shared" si="641"/>
        <v>260.43759999999997</v>
      </c>
      <c r="M210" s="386">
        <f>ROUNDUP(((D209+D210)*0.5)*(C210-C208)/27,0)</f>
        <v>384</v>
      </c>
      <c r="N210" s="161">
        <f>ROUNDUP(((E209+E210)*0.5)*(C210-C208)/27,0)</f>
        <v>0</v>
      </c>
      <c r="O210" s="161">
        <f>ROUNDUP(((F209+F210)*0.5)*(C210-C208)/27,0)</f>
        <v>7532</v>
      </c>
      <c r="P210" s="161">
        <f>ROUNDUP(((G209+G210)*0.5)*(C210-C208)/27,0)</f>
        <v>0</v>
      </c>
      <c r="Q210" s="161">
        <f>ROUNDUP(((H210+H209)*0.5)*(C210-C208)/27,0)</f>
        <v>0</v>
      </c>
      <c r="R210" s="161">
        <f>ROUNDUP(((I210+I209)*0.5)*(C210-C208)/27,0)</f>
        <v>0</v>
      </c>
      <c r="S210" s="161">
        <f>ROUNDUP(((J210+J209)*0.5)*(C210-C208)/9,0)</f>
        <v>0</v>
      </c>
      <c r="T210" s="161">
        <f>ROUNDUP(((K210+K209)*0.5)*(C210-C208)/9,0)</f>
        <v>0</v>
      </c>
      <c r="U210" s="361">
        <f>ROUNDUP(((L210+L209)*0.5)*(C210-C208)/9,0)</f>
        <v>458</v>
      </c>
      <c r="W210" s="164"/>
      <c r="X210" s="161"/>
      <c r="Y210" s="161"/>
      <c r="Z210" s="161"/>
      <c r="AA210" s="161"/>
      <c r="AB210" s="161"/>
      <c r="AC210" s="161"/>
      <c r="AD210" s="161"/>
      <c r="AE210" s="166"/>
      <c r="AF210" s="64" t="str">
        <f t="shared" si="658"/>
        <v>back</v>
      </c>
      <c r="AG210" s="451">
        <f t="shared" si="649"/>
        <v>5477.3</v>
      </c>
      <c r="AH210" s="246">
        <v>90.819199999999995</v>
      </c>
      <c r="AI210" s="246">
        <v>142.2559</v>
      </c>
      <c r="AJ210" s="246">
        <v>97.900599999999997</v>
      </c>
      <c r="AK210" s="246">
        <v>95.719499999999996</v>
      </c>
      <c r="AL210" s="246">
        <v>107.776</v>
      </c>
      <c r="AM210" s="246">
        <v>87.595799999999997</v>
      </c>
      <c r="AN210" s="246"/>
      <c r="AO210" s="161"/>
      <c r="AP210" s="161"/>
      <c r="AQ210" s="161"/>
      <c r="AR210" s="161"/>
      <c r="AS210" s="161"/>
      <c r="AT210" s="161"/>
      <c r="AU210" s="161"/>
      <c r="AV210" s="161"/>
      <c r="AW210" s="161"/>
      <c r="AX210" s="161"/>
      <c r="AY210" s="246"/>
      <c r="AZ210" s="246"/>
      <c r="BA210" s="246"/>
      <c r="BB210" s="246"/>
      <c r="BC210" s="246"/>
      <c r="BD210" s="246"/>
      <c r="BE210" s="246"/>
      <c r="BF210" s="161"/>
      <c r="BG210" s="161"/>
      <c r="BH210" s="161"/>
      <c r="BI210" s="161"/>
      <c r="BJ210" s="161">
        <f>AH210+AI210+AJ210+AK210+AL210+AM210</f>
        <v>622.06700000000001</v>
      </c>
      <c r="BK210" s="161">
        <v>12467.9737</v>
      </c>
      <c r="BL210" s="161"/>
      <c r="BM210" s="161"/>
      <c r="BN210" s="161"/>
      <c r="BO210" s="161"/>
      <c r="BP210" s="161"/>
      <c r="BQ210" s="161"/>
      <c r="BR210" s="161"/>
      <c r="BS210" s="161"/>
      <c r="BT210" s="161"/>
      <c r="BU210" s="161"/>
      <c r="BV210" s="161"/>
      <c r="BW210" s="161"/>
      <c r="BX210" s="161"/>
      <c r="BY210" s="161"/>
      <c r="BZ210" s="161"/>
      <c r="CA210" s="161">
        <f>256.4376+4</f>
        <v>260.43759999999997</v>
      </c>
      <c r="CB210" s="267"/>
      <c r="CC210" s="522">
        <f t="shared" si="567"/>
        <v>5477.3</v>
      </c>
      <c r="CD210"/>
      <c r="CE210"/>
    </row>
    <row r="211" spans="1:83" s="62" customFormat="1" x14ac:dyDescent="0.25">
      <c r="A211" s="503"/>
      <c r="B211" s="130" t="s">
        <v>54</v>
      </c>
      <c r="C211" s="505"/>
      <c r="D211" s="362">
        <f>SUM(AH211:AX211)</f>
        <v>654.21280000000002</v>
      </c>
      <c r="E211" s="362">
        <f>SUM(AY211:BI211)</f>
        <v>0</v>
      </c>
      <c r="F211" s="59">
        <f t="shared" si="559"/>
        <v>13861.850499999999</v>
      </c>
      <c r="G211" s="59">
        <f t="shared" si="640"/>
        <v>0</v>
      </c>
      <c r="H211" s="59">
        <f t="shared" si="560"/>
        <v>0</v>
      </c>
      <c r="I211" s="59">
        <f t="shared" si="561"/>
        <v>0</v>
      </c>
      <c r="J211" s="59">
        <f t="shared" si="562"/>
        <v>0</v>
      </c>
      <c r="K211" s="60">
        <f t="shared" si="563"/>
        <v>0</v>
      </c>
      <c r="L211" s="375">
        <f t="shared" si="641"/>
        <v>298.78530000000001</v>
      </c>
      <c r="M211" s="387"/>
      <c r="N211" s="59"/>
      <c r="O211" s="59"/>
      <c r="P211" s="59"/>
      <c r="Q211" s="59"/>
      <c r="R211" s="59"/>
      <c r="S211" s="59"/>
      <c r="T211" s="59"/>
      <c r="U211" s="362"/>
      <c r="W211" s="106"/>
      <c r="X211" s="59"/>
      <c r="Y211" s="59"/>
      <c r="Z211" s="59"/>
      <c r="AA211" s="59"/>
      <c r="AB211" s="59"/>
      <c r="AC211" s="59"/>
      <c r="AD211" s="59"/>
      <c r="AE211" s="140"/>
      <c r="AF211" s="64" t="str">
        <f t="shared" si="658"/>
        <v>ahead</v>
      </c>
      <c r="AG211" s="452"/>
      <c r="AH211" s="119">
        <v>90.819199999999995</v>
      </c>
      <c r="AI211" s="119">
        <v>142.2559</v>
      </c>
      <c r="AJ211" s="119">
        <v>97.900599999999997</v>
      </c>
      <c r="AK211" s="119">
        <v>95.719499999999996</v>
      </c>
      <c r="AL211" s="119">
        <v>107.776</v>
      </c>
      <c r="AM211" s="119">
        <v>87.595799999999997</v>
      </c>
      <c r="AN211" s="119">
        <v>27.026199999999999</v>
      </c>
      <c r="AO211" s="119">
        <v>5.1196000000000002</v>
      </c>
      <c r="AP211" s="59"/>
      <c r="AQ211" s="59"/>
      <c r="AR211" s="59"/>
      <c r="AS211" s="59"/>
      <c r="AT211" s="59"/>
      <c r="AU211" s="59"/>
      <c r="AV211" s="59"/>
      <c r="AW211" s="59"/>
      <c r="AX211" s="59"/>
      <c r="AY211" s="119"/>
      <c r="AZ211" s="119"/>
      <c r="BA211" s="119"/>
      <c r="BB211" s="119"/>
      <c r="BC211" s="119"/>
      <c r="BD211" s="119"/>
      <c r="BE211" s="119"/>
      <c r="BF211" s="119"/>
      <c r="BG211" s="59"/>
      <c r="BH211" s="59"/>
      <c r="BI211" s="59"/>
      <c r="BJ211" s="59">
        <f>AH211+AI211+AJ211+AK211+AL211+AM211+AN211+AO211</f>
        <v>654.21280000000002</v>
      </c>
      <c r="BK211" s="59">
        <f>12467.9737+736.0888+3.5752</f>
        <v>13207.637699999999</v>
      </c>
      <c r="BL211" s="59"/>
      <c r="BM211" s="59"/>
      <c r="BN211" s="59"/>
      <c r="BO211" s="59"/>
      <c r="BP211" s="59"/>
      <c r="BQ211" s="59"/>
      <c r="BR211" s="59"/>
      <c r="BS211" s="59"/>
      <c r="BT211" s="59"/>
      <c r="BU211" s="59"/>
      <c r="BV211" s="59"/>
      <c r="BW211" s="59"/>
      <c r="BX211" s="59"/>
      <c r="BY211" s="59"/>
      <c r="BZ211" s="59"/>
      <c r="CA211" s="161">
        <f>256.4376+4</f>
        <v>260.43759999999997</v>
      </c>
      <c r="CB211" s="267">
        <v>38.347700000000003</v>
      </c>
      <c r="CC211" s="522"/>
      <c r="CD211"/>
      <c r="CE211"/>
    </row>
    <row r="212" spans="1:83" x14ac:dyDescent="0.25">
      <c r="A212" s="503"/>
      <c r="C212" s="121">
        <v>5500</v>
      </c>
      <c r="D212" s="347">
        <f t="shared" si="638"/>
        <v>747.66309999999999</v>
      </c>
      <c r="E212" s="347">
        <f>SUM(AY212:BG212)</f>
        <v>0</v>
      </c>
      <c r="F212" s="58">
        <f t="shared" si="559"/>
        <v>14233.229299999999</v>
      </c>
      <c r="G212" s="58">
        <f t="shared" si="640"/>
        <v>0</v>
      </c>
      <c r="H212" s="58">
        <f t="shared" si="560"/>
        <v>0</v>
      </c>
      <c r="I212" s="58">
        <f t="shared" si="561"/>
        <v>0</v>
      </c>
      <c r="J212" s="58">
        <f t="shared" si="562"/>
        <v>0</v>
      </c>
      <c r="K212" s="51">
        <f t="shared" si="563"/>
        <v>0</v>
      </c>
      <c r="L212" s="350">
        <f t="shared" si="641"/>
        <v>328.6</v>
      </c>
      <c r="M212" s="353">
        <f>ROUNDUP(((D211+D212)*0.5)*(C212-C210)/27,0)</f>
        <v>590</v>
      </c>
      <c r="N212" s="58">
        <f>ROUNDUP(((E211+E212)*0.5)*(C212-C210)/27,0)</f>
        <v>0</v>
      </c>
      <c r="O212" s="58">
        <f>ROUNDUP(((F211+F212)*0.5)*(C212-C210)/27,0)</f>
        <v>11811</v>
      </c>
      <c r="P212" s="58">
        <f>ROUNDUP(((G211+G212)*0.5)*(C212-C210)/27,0)</f>
        <v>0</v>
      </c>
      <c r="Q212" s="58">
        <f>ROUNDUP(((H212+H211)*0.5)*(C212-C210)/27,0)</f>
        <v>0</v>
      </c>
      <c r="R212" s="58">
        <f>ROUNDUP(((I212+I211)*0.5)*(C212-C210)/27,0)</f>
        <v>0</v>
      </c>
      <c r="S212" s="58">
        <f>ROUNDUP(((J212+J211)*0.5)*(C212-C210)/9,0)</f>
        <v>0</v>
      </c>
      <c r="T212" s="58">
        <f>ROUNDUP(((K212+K211)*0.5)*(C212-C210)/9,0)</f>
        <v>0</v>
      </c>
      <c r="U212" s="347">
        <f>ROUNDUP(((L212+L211)*0.5)*(C212-C210)/9,0)</f>
        <v>792</v>
      </c>
      <c r="W212" s="107"/>
      <c r="X212" s="82"/>
      <c r="Y212" s="82"/>
      <c r="Z212" s="82"/>
      <c r="AA212" s="82"/>
      <c r="AB212" s="82"/>
      <c r="AC212" s="82"/>
      <c r="AD212" s="82"/>
      <c r="AE212" s="142"/>
      <c r="AG212" s="57">
        <f t="shared" si="649"/>
        <v>5500</v>
      </c>
      <c r="AH212" s="119">
        <v>70.668700000000001</v>
      </c>
      <c r="AI212" s="119">
        <v>139.87880000000001</v>
      </c>
      <c r="AJ212" s="119">
        <v>108.0881</v>
      </c>
      <c r="AK212" s="119">
        <v>107.5976</v>
      </c>
      <c r="AL212" s="119">
        <v>321.42989999999998</v>
      </c>
      <c r="AM212" s="58"/>
      <c r="AN212" s="58"/>
      <c r="AO212" s="58"/>
      <c r="AP212" s="58"/>
      <c r="AQ212" s="58"/>
      <c r="AR212" s="58"/>
      <c r="AS212" s="58"/>
      <c r="AT212" s="58"/>
      <c r="AU212" s="58"/>
      <c r="AV212" s="58"/>
      <c r="AW212" s="58"/>
      <c r="AX212" s="58"/>
      <c r="AY212" s="119"/>
      <c r="AZ212" s="119"/>
      <c r="BA212" s="119"/>
      <c r="BB212" s="119"/>
      <c r="BC212" s="119"/>
      <c r="BD212" s="58"/>
      <c r="BE212" s="58"/>
      <c r="BF212" s="58"/>
      <c r="BG212" s="58"/>
      <c r="BH212" s="58"/>
      <c r="BI212" s="58"/>
      <c r="BJ212" s="58">
        <f>AH212+AI212+AJ212+AK212+AL212</f>
        <v>747.66309999999999</v>
      </c>
      <c r="BK212" s="58">
        <v>13485.566199999999</v>
      </c>
      <c r="BL212" s="58"/>
      <c r="BM212" s="58"/>
      <c r="BN212" s="58"/>
      <c r="BO212" s="58"/>
      <c r="BP212" s="58"/>
      <c r="BQ212" s="58"/>
      <c r="BR212" s="58"/>
      <c r="BS212" s="58"/>
      <c r="BT212" s="58"/>
      <c r="BU212" s="58"/>
      <c r="BV212" s="58"/>
      <c r="BW212" s="58"/>
      <c r="BX212" s="58"/>
      <c r="BY212" s="58"/>
      <c r="BZ212" s="58"/>
      <c r="CA212" s="58"/>
      <c r="CB212" s="263">
        <f>324.6+4</f>
        <v>328.6</v>
      </c>
      <c r="CC212" s="1">
        <f t="shared" si="567"/>
        <v>5500</v>
      </c>
    </row>
    <row r="213" spans="1:83" s="66" customFormat="1" ht="15.75" thickBot="1" x14ac:dyDescent="0.3">
      <c r="A213" s="503"/>
      <c r="B213" s="301" t="s">
        <v>63</v>
      </c>
      <c r="C213" s="293">
        <v>5521.76</v>
      </c>
      <c r="D213" s="368">
        <f t="shared" si="638"/>
        <v>0</v>
      </c>
      <c r="E213" s="368">
        <f t="shared" si="639"/>
        <v>0</v>
      </c>
      <c r="F213" s="302">
        <f t="shared" si="559"/>
        <v>7312.0025999999998</v>
      </c>
      <c r="G213" s="302">
        <f t="shared" si="640"/>
        <v>0</v>
      </c>
      <c r="H213" s="302">
        <f t="shared" si="560"/>
        <v>0</v>
      </c>
      <c r="I213" s="302">
        <f t="shared" si="561"/>
        <v>0</v>
      </c>
      <c r="J213" s="302">
        <f t="shared" si="562"/>
        <v>0</v>
      </c>
      <c r="K213" s="303">
        <f t="shared" si="563"/>
        <v>0</v>
      </c>
      <c r="L213" s="380">
        <f t="shared" si="641"/>
        <v>149.1</v>
      </c>
      <c r="M213" s="393">
        <f t="shared" ref="M213" si="665">ROUNDUP(((D212+D213)*0.5)*(C213-C212)/27,0)</f>
        <v>302</v>
      </c>
      <c r="N213" s="302">
        <f t="shared" ref="N213" si="666">ROUNDUP(((E212+E213)*0.5)*(C213-C212)/27,0)</f>
        <v>0</v>
      </c>
      <c r="O213" s="302">
        <f>ROUNDUP(((F212+F213)*0.5)*(C213-C212)/27,0)</f>
        <v>8682</v>
      </c>
      <c r="P213" s="302">
        <f t="shared" ref="P213" si="667">ROUNDUP(((G212+G213)*0.5)*(C213-C212)/27,0)</f>
        <v>0</v>
      </c>
      <c r="Q213" s="302">
        <f t="shared" ref="Q213" si="668">ROUNDUP(((H213+H212)*0.5)*(C213-C212)/27,0)</f>
        <v>0</v>
      </c>
      <c r="R213" s="302">
        <f t="shared" ref="R213" si="669">ROUNDUP(((I213+I212)*0.5)*(C213-C212)/27,0)</f>
        <v>0</v>
      </c>
      <c r="S213" s="302">
        <f t="shared" ref="S213" si="670">ROUNDUP(((J213+J212)*0.5)*(C213-C212)/9,0)</f>
        <v>0</v>
      </c>
      <c r="T213" s="302">
        <f t="shared" ref="T213" si="671">ROUNDUP(((K213+K212)*0.5)*(C213-C212)/9,0)</f>
        <v>0</v>
      </c>
      <c r="U213" s="368">
        <f t="shared" ref="U213" si="672">ROUNDUP(((L213+L212)*0.5)*(C213-C212)/9,0)</f>
        <v>578</v>
      </c>
      <c r="V213" s="62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250" t="str">
        <f>B213</f>
        <v>BRIDGE SKEW</v>
      </c>
      <c r="AG213" s="254">
        <f t="shared" si="649"/>
        <v>5521.76</v>
      </c>
      <c r="AH213" s="184"/>
      <c r="AI213" s="184"/>
      <c r="AJ213" s="184"/>
      <c r="AK213" s="184"/>
      <c r="AL213" s="184"/>
      <c r="AM213" s="184"/>
      <c r="AN213" s="184"/>
      <c r="AO213" s="184"/>
      <c r="AP213" s="184"/>
      <c r="AQ213" s="184"/>
      <c r="AR213" s="184"/>
      <c r="AS213" s="184"/>
      <c r="AT213" s="184"/>
      <c r="AU213" s="184"/>
      <c r="AV213" s="184"/>
      <c r="AW213" s="184"/>
      <c r="AX213" s="184"/>
      <c r="AY213" s="184"/>
      <c r="AZ213" s="184"/>
      <c r="BA213" s="184"/>
      <c r="BB213" s="184"/>
      <c r="BC213" s="184"/>
      <c r="BD213" s="184"/>
      <c r="BE213" s="184"/>
      <c r="BF213" s="184"/>
      <c r="BG213" s="184"/>
      <c r="BH213" s="184"/>
      <c r="BI213" s="184"/>
      <c r="BJ213" s="184">
        <v>7290.0036</v>
      </c>
      <c r="BK213" s="184">
        <v>21.998999999999999</v>
      </c>
      <c r="BL213" s="184"/>
      <c r="BM213" s="184"/>
      <c r="BN213" s="184"/>
      <c r="BO213" s="184"/>
      <c r="BP213" s="184"/>
      <c r="BQ213" s="184"/>
      <c r="BR213" s="184"/>
      <c r="BS213" s="184"/>
      <c r="BT213" s="184"/>
      <c r="BU213" s="184"/>
      <c r="BV213" s="184"/>
      <c r="BW213" s="184"/>
      <c r="BX213" s="184"/>
      <c r="BY213" s="184"/>
      <c r="BZ213" s="184"/>
      <c r="CA213" s="184"/>
      <c r="CB213" s="269">
        <v>149.1</v>
      </c>
      <c r="CC213" s="1">
        <f t="shared" si="567"/>
        <v>5521.76</v>
      </c>
      <c r="CD213"/>
      <c r="CE213"/>
    </row>
    <row r="214" spans="1:83" s="62" customFormat="1" ht="15.75" thickBot="1" x14ac:dyDescent="0.3">
      <c r="A214" s="503"/>
      <c r="B214" s="249"/>
      <c r="C214" s="253">
        <v>5597</v>
      </c>
      <c r="D214" s="363"/>
      <c r="E214" s="363"/>
      <c r="F214" s="184">
        <v>0</v>
      </c>
      <c r="G214" s="184"/>
      <c r="H214" s="184"/>
      <c r="I214" s="184"/>
      <c r="J214" s="184"/>
      <c r="K214" s="215"/>
      <c r="L214" s="376"/>
      <c r="M214" s="388"/>
      <c r="N214" s="184"/>
      <c r="O214" s="184">
        <f>ROUNDUP(((F213+F214)*0.5)*(C214-C213)/27,0)</f>
        <v>10189</v>
      </c>
      <c r="P214" s="184"/>
      <c r="Q214" s="184"/>
      <c r="R214" s="184"/>
      <c r="S214" s="184"/>
      <c r="T214" s="184"/>
      <c r="U214" s="363"/>
      <c r="V214" s="304"/>
      <c r="W214" s="402">
        <f>M211+M212+M213+M214+M210</f>
        <v>1276</v>
      </c>
      <c r="X214" s="402">
        <f t="shared" ref="X214:AE214" si="673">N211+N212+N213+N214+N210</f>
        <v>0</v>
      </c>
      <c r="Y214" s="402">
        <f>O211+O212+O213+O214+O210</f>
        <v>38214</v>
      </c>
      <c r="Z214" s="402">
        <f t="shared" si="673"/>
        <v>0</v>
      </c>
      <c r="AA214" s="402">
        <f t="shared" si="673"/>
        <v>0</v>
      </c>
      <c r="AB214" s="402">
        <f t="shared" si="673"/>
        <v>0</v>
      </c>
      <c r="AC214" s="402">
        <f t="shared" si="673"/>
        <v>0</v>
      </c>
      <c r="AD214" s="402">
        <f t="shared" si="673"/>
        <v>0</v>
      </c>
      <c r="AE214" s="402">
        <f t="shared" si="673"/>
        <v>1828</v>
      </c>
      <c r="AF214" s="64"/>
      <c r="AG214" s="299"/>
      <c r="AH214" s="283"/>
      <c r="AI214" s="283"/>
      <c r="AJ214" s="283"/>
      <c r="AK214" s="283"/>
      <c r="AL214" s="283"/>
      <c r="AM214" s="283"/>
      <c r="AN214" s="283"/>
      <c r="AO214" s="283"/>
      <c r="AP214" s="283"/>
      <c r="AQ214" s="283"/>
      <c r="AR214" s="283"/>
      <c r="AS214" s="283"/>
      <c r="AT214" s="283"/>
      <c r="AU214" s="283"/>
      <c r="AV214" s="283"/>
      <c r="AW214" s="283"/>
      <c r="AX214" s="283"/>
      <c r="AY214" s="283"/>
      <c r="AZ214" s="283"/>
      <c r="BA214" s="283"/>
      <c r="BB214" s="283"/>
      <c r="BC214" s="283"/>
      <c r="BD214" s="283"/>
      <c r="BE214" s="283"/>
      <c r="BF214" s="283"/>
      <c r="BG214" s="283"/>
      <c r="BH214" s="283"/>
      <c r="BI214" s="283"/>
      <c r="BJ214" s="283"/>
      <c r="BK214" s="283"/>
      <c r="BL214" s="283"/>
      <c r="BM214" s="283"/>
      <c r="BN214" s="283"/>
      <c r="BO214" s="283"/>
      <c r="BP214" s="283"/>
      <c r="BQ214" s="283"/>
      <c r="BR214" s="283"/>
      <c r="BS214" s="283"/>
      <c r="BT214" s="283"/>
      <c r="BU214" s="283"/>
      <c r="BV214" s="283"/>
      <c r="BW214" s="283"/>
      <c r="BX214" s="283"/>
      <c r="BY214" s="283"/>
      <c r="BZ214" s="283"/>
      <c r="CA214" s="283"/>
      <c r="CB214" s="300"/>
      <c r="CC214" s="1"/>
      <c r="CD214"/>
      <c r="CE214"/>
    </row>
    <row r="215" spans="1:83" s="62" customFormat="1" x14ac:dyDescent="0.25">
      <c r="A215" s="503"/>
      <c r="B215" s="295"/>
      <c r="C215" s="296">
        <v>5775</v>
      </c>
      <c r="D215" s="369"/>
      <c r="E215" s="369"/>
      <c r="F215" s="283">
        <v>0</v>
      </c>
      <c r="G215" s="283"/>
      <c r="H215" s="283"/>
      <c r="I215" s="283"/>
      <c r="J215" s="283"/>
      <c r="K215" s="297"/>
      <c r="L215" s="381"/>
      <c r="M215" s="394"/>
      <c r="N215" s="283"/>
      <c r="O215" s="64"/>
      <c r="P215" s="283"/>
      <c r="Q215" s="283"/>
      <c r="R215" s="283"/>
      <c r="S215" s="283"/>
      <c r="T215" s="283"/>
      <c r="U215" s="369"/>
      <c r="W215" s="298"/>
      <c r="X215" s="285"/>
      <c r="Y215" s="285"/>
      <c r="Z215" s="285"/>
      <c r="AA215" s="285"/>
      <c r="AB215" s="285"/>
      <c r="AC215" s="285"/>
      <c r="AD215" s="285"/>
      <c r="AE215" s="286"/>
      <c r="AF215" s="64"/>
      <c r="AG215" s="299"/>
      <c r="AH215" s="283"/>
      <c r="AI215" s="283"/>
      <c r="AJ215" s="283"/>
      <c r="AK215" s="283"/>
      <c r="AL215" s="283"/>
      <c r="AM215" s="283"/>
      <c r="AN215" s="283"/>
      <c r="AO215" s="283"/>
      <c r="AP215" s="283"/>
      <c r="AQ215" s="283"/>
      <c r="AR215" s="283"/>
      <c r="AS215" s="283"/>
      <c r="AT215" s="283"/>
      <c r="AU215" s="283"/>
      <c r="AV215" s="283"/>
      <c r="AW215" s="283"/>
      <c r="AX215" s="283"/>
      <c r="AY215" s="283"/>
      <c r="AZ215" s="283"/>
      <c r="BA215" s="283"/>
      <c r="BB215" s="283"/>
      <c r="BC215" s="283"/>
      <c r="BD215" s="283"/>
      <c r="BE215" s="283"/>
      <c r="BF215" s="283"/>
      <c r="BG215" s="283"/>
      <c r="BH215" s="283"/>
      <c r="BI215" s="283"/>
      <c r="BJ215" s="283"/>
      <c r="BK215" s="283"/>
      <c r="BL215" s="283"/>
      <c r="BM215" s="283"/>
      <c r="BN215" s="283"/>
      <c r="BO215" s="283"/>
      <c r="BP215" s="283"/>
      <c r="BQ215" s="283"/>
      <c r="BR215" s="283"/>
      <c r="BS215" s="283"/>
      <c r="BT215" s="283"/>
      <c r="BU215" s="283"/>
      <c r="BV215" s="283"/>
      <c r="BW215" s="283"/>
      <c r="BX215" s="283"/>
      <c r="BY215" s="283"/>
      <c r="BZ215" s="283"/>
      <c r="CA215" s="283"/>
      <c r="CB215" s="300"/>
      <c r="CC215" s="1"/>
      <c r="CD215"/>
      <c r="CE215"/>
    </row>
    <row r="216" spans="1:83" s="62" customFormat="1" x14ac:dyDescent="0.25">
      <c r="A216" s="503"/>
      <c r="B216" s="248" t="s">
        <v>63</v>
      </c>
      <c r="C216" s="133">
        <v>5865.07</v>
      </c>
      <c r="D216" s="361">
        <f t="shared" si="638"/>
        <v>0</v>
      </c>
      <c r="E216" s="361">
        <f t="shared" si="639"/>
        <v>0</v>
      </c>
      <c r="F216" s="161">
        <f t="shared" si="559"/>
        <v>14830.298699999999</v>
      </c>
      <c r="G216" s="161">
        <f t="shared" si="640"/>
        <v>0</v>
      </c>
      <c r="H216" s="161">
        <f t="shared" si="560"/>
        <v>0</v>
      </c>
      <c r="I216" s="161">
        <f t="shared" si="561"/>
        <v>0</v>
      </c>
      <c r="J216" s="161">
        <f t="shared" si="562"/>
        <v>0</v>
      </c>
      <c r="K216" s="162">
        <f t="shared" si="563"/>
        <v>0</v>
      </c>
      <c r="L216" s="374">
        <f t="shared" si="641"/>
        <v>291.10000000000002</v>
      </c>
      <c r="M216" s="386"/>
      <c r="N216" s="161"/>
      <c r="P216" s="161"/>
      <c r="Q216" s="161"/>
      <c r="R216" s="161"/>
      <c r="S216" s="161"/>
      <c r="T216" s="161"/>
      <c r="U216" s="361"/>
      <c r="W216" s="164"/>
      <c r="X216" s="161"/>
      <c r="Y216" s="161"/>
      <c r="Z216" s="161"/>
      <c r="AA216" s="161"/>
      <c r="AB216" s="161"/>
      <c r="AC216" s="161"/>
      <c r="AD216" s="161"/>
      <c r="AE216" s="166"/>
      <c r="AF216" s="64" t="str">
        <f>B216</f>
        <v>BRIDGE SKEW</v>
      </c>
      <c r="AG216" s="131">
        <f t="shared" si="649"/>
        <v>5865.07</v>
      </c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  <c r="AU216" s="161"/>
      <c r="AV216" s="161"/>
      <c r="AW216" s="161"/>
      <c r="AX216" s="161"/>
      <c r="AY216" s="161"/>
      <c r="AZ216" s="161"/>
      <c r="BA216" s="161"/>
      <c r="BB216" s="161"/>
      <c r="BC216" s="161"/>
      <c r="BD216" s="161"/>
      <c r="BE216" s="161"/>
      <c r="BF216" s="161"/>
      <c r="BG216" s="161"/>
      <c r="BH216" s="161"/>
      <c r="BI216" s="161"/>
      <c r="BJ216" s="161">
        <v>14830.298699999999</v>
      </c>
      <c r="BK216" s="161"/>
      <c r="BL216" s="161"/>
      <c r="BM216" s="161"/>
      <c r="BN216" s="161"/>
      <c r="BO216" s="161"/>
      <c r="BP216" s="161"/>
      <c r="BQ216" s="161"/>
      <c r="BR216" s="161"/>
      <c r="BS216" s="161"/>
      <c r="BT216" s="161"/>
      <c r="BU216" s="161"/>
      <c r="BV216" s="161"/>
      <c r="BW216" s="161"/>
      <c r="BX216" s="161"/>
      <c r="BY216" s="161"/>
      <c r="BZ216" s="161"/>
      <c r="CA216" s="161"/>
      <c r="CB216" s="267">
        <f>287.1+4</f>
        <v>291.10000000000002</v>
      </c>
      <c r="CC216" s="1">
        <f t="shared" si="567"/>
        <v>5865.07</v>
      </c>
      <c r="CD216"/>
      <c r="CE216"/>
    </row>
    <row r="217" spans="1:83" x14ac:dyDescent="0.25">
      <c r="A217" s="503"/>
      <c r="C217" s="121">
        <v>5900</v>
      </c>
      <c r="D217" s="347">
        <f t="shared" ref="D217" si="674">SUM(AH217:AX217)</f>
        <v>133.02680000000001</v>
      </c>
      <c r="E217" s="347">
        <f t="shared" ref="E217" si="675">SUM(AY217:BG217)</f>
        <v>0</v>
      </c>
      <c r="F217" s="58">
        <f t="shared" si="559"/>
        <v>14380.2871</v>
      </c>
      <c r="G217" s="58">
        <f t="shared" ref="G217" si="676">SUM(BL217:BN217)</f>
        <v>0</v>
      </c>
      <c r="H217" s="58">
        <f t="shared" si="560"/>
        <v>0</v>
      </c>
      <c r="I217" s="58">
        <f t="shared" si="561"/>
        <v>0</v>
      </c>
      <c r="J217" s="58">
        <f t="shared" si="562"/>
        <v>0</v>
      </c>
      <c r="K217" s="51">
        <f t="shared" si="563"/>
        <v>0</v>
      </c>
      <c r="L217" s="350">
        <f t="shared" ref="L217" si="677">SUM(BY217:CB217)</f>
        <v>370</v>
      </c>
      <c r="M217" s="353">
        <f t="shared" ref="M217" si="678">ROUNDUP(((D216+D217)*0.5)*(C217-C216)/27,0)</f>
        <v>87</v>
      </c>
      <c r="N217" s="58">
        <f t="shared" ref="N217" si="679">ROUNDUP(((E216+E217)*0.5)*(C217-C216)/27,0)</f>
        <v>0</v>
      </c>
      <c r="O217" s="58">
        <f t="shared" ref="O217:O219" si="680">ROUNDUP(((F216+F217)*0.5)*(C217-C216)/27,0)</f>
        <v>18895</v>
      </c>
      <c r="P217" s="58">
        <f t="shared" ref="P217" si="681">ROUNDUP(((G216+G217)*0.5)*(C217-C216)/27,0)</f>
        <v>0</v>
      </c>
      <c r="Q217" s="58">
        <f t="shared" ref="Q217" si="682">ROUNDUP(((H217+H216)*0.5)*(C217-C216)/27,0)</f>
        <v>0</v>
      </c>
      <c r="R217" s="58">
        <f t="shared" ref="R217" si="683">ROUNDUP(((I217+I216)*0.5)*(C217-C216)/27,0)</f>
        <v>0</v>
      </c>
      <c r="S217" s="58">
        <f t="shared" ref="S217" si="684">ROUNDUP(((J217+J216)*0.5)*(C217-C216)/9,0)</f>
        <v>0</v>
      </c>
      <c r="T217" s="58">
        <f t="shared" ref="T217" si="685">ROUNDUP(((K217+K216)*0.5)*(C217-C216)/9,0)</f>
        <v>0</v>
      </c>
      <c r="U217" s="347">
        <f t="shared" ref="U217" si="686">ROUNDUP(((L217+L216)*0.5)*(C217-C216)/9,0)</f>
        <v>1283</v>
      </c>
      <c r="W217" s="105"/>
      <c r="X217" s="58"/>
      <c r="Y217" s="58"/>
      <c r="Z217" s="58"/>
      <c r="AA217" s="58"/>
      <c r="AB217" s="58"/>
      <c r="AC217" s="58"/>
      <c r="AD217" s="58"/>
      <c r="AE217" s="138"/>
      <c r="AG217" s="57">
        <f t="shared" si="649"/>
        <v>5900</v>
      </c>
      <c r="AH217" s="119">
        <v>133.02680000000001</v>
      </c>
      <c r="AI217" s="58"/>
      <c r="AJ217" s="58"/>
      <c r="AK217" s="58"/>
      <c r="AL217" s="58"/>
      <c r="AM217" s="58"/>
      <c r="AN217" s="58"/>
      <c r="AO217" s="58"/>
      <c r="AP217" s="58"/>
      <c r="AQ217" s="58"/>
      <c r="AR217" s="58"/>
      <c r="AS217" s="58"/>
      <c r="AT217" s="58"/>
      <c r="AU217" s="58"/>
      <c r="AV217" s="58"/>
      <c r="AW217" s="58"/>
      <c r="AX217" s="58"/>
      <c r="AY217" s="119"/>
      <c r="AZ217" s="58"/>
      <c r="BA217" s="58"/>
      <c r="BB217" s="58"/>
      <c r="BC217" s="58"/>
      <c r="BD217" s="58"/>
      <c r="BE217" s="58"/>
      <c r="BF217" s="58"/>
      <c r="BG217" s="58"/>
      <c r="BH217" s="58"/>
      <c r="BI217" s="58"/>
      <c r="BJ217" s="119">
        <v>133.02680000000001</v>
      </c>
      <c r="BK217" s="58">
        <v>14247.2603</v>
      </c>
      <c r="BL217" s="58"/>
      <c r="BM217" s="58"/>
      <c r="BN217" s="58"/>
      <c r="BO217" s="58"/>
      <c r="BP217" s="58"/>
      <c r="BQ217" s="58"/>
      <c r="BR217" s="58"/>
      <c r="BS217" s="58"/>
      <c r="BT217" s="58"/>
      <c r="BU217" s="58"/>
      <c r="BV217" s="58"/>
      <c r="BW217" s="58"/>
      <c r="BX217" s="58"/>
      <c r="BY217" s="58"/>
      <c r="BZ217" s="58"/>
      <c r="CA217" s="58"/>
      <c r="CB217" s="263">
        <f>362+8</f>
        <v>370</v>
      </c>
      <c r="CC217" s="1">
        <f t="shared" si="567"/>
        <v>5900</v>
      </c>
    </row>
    <row r="218" spans="1:83" s="3" customFormat="1" ht="15.75" thickBot="1" x14ac:dyDescent="0.3">
      <c r="A218" s="503"/>
      <c r="C218" s="212">
        <v>5950</v>
      </c>
      <c r="D218" s="348">
        <f t="shared" ref="D218:D248" si="687">SUM(AH218:AX218)</f>
        <v>300.44369999999998</v>
      </c>
      <c r="E218" s="348">
        <f t="shared" ref="E218:E248" si="688">SUM(AY218:BG218)</f>
        <v>0</v>
      </c>
      <c r="F218" s="144">
        <f t="shared" si="559"/>
        <v>11711.3748</v>
      </c>
      <c r="G218" s="144">
        <f t="shared" ref="G218:G248" si="689">SUM(BL218:BN218)</f>
        <v>0</v>
      </c>
      <c r="H218" s="144">
        <f t="shared" si="560"/>
        <v>0</v>
      </c>
      <c r="I218" s="144">
        <f t="shared" si="561"/>
        <v>0</v>
      </c>
      <c r="J218" s="144">
        <f t="shared" si="562"/>
        <v>0</v>
      </c>
      <c r="K218" s="159">
        <f t="shared" si="563"/>
        <v>0</v>
      </c>
      <c r="L218" s="351">
        <f t="shared" ref="L218:L248" si="690">SUM(BY218:CB218)</f>
        <v>335.8</v>
      </c>
      <c r="M218" s="354">
        <f t="shared" ref="M218:M248" si="691">ROUNDUP(((D217+D218)*0.5)*(C218-C217)/27,0)</f>
        <v>402</v>
      </c>
      <c r="N218" s="144">
        <f t="shared" ref="N218:N248" si="692">ROUNDUP(((E217+E218)*0.5)*(C218-C217)/27,0)</f>
        <v>0</v>
      </c>
      <c r="O218" s="144">
        <f t="shared" si="680"/>
        <v>24159</v>
      </c>
      <c r="P218" s="144">
        <f t="shared" ref="P218:P248" si="693">ROUNDUP(((G217+G218)*0.5)*(C218-C217)/27,0)</f>
        <v>0</v>
      </c>
      <c r="Q218" s="144">
        <f t="shared" ref="Q218:Q248" si="694">ROUNDUP(((H218+H217)*0.5)*(C218-C217)/27,0)</f>
        <v>0</v>
      </c>
      <c r="R218" s="144">
        <f t="shared" ref="R218:R248" si="695">ROUNDUP(((I218+I217)*0.5)*(C218-C217)/27,0)</f>
        <v>0</v>
      </c>
      <c r="S218" s="144">
        <f t="shared" ref="S218:S248" si="696">ROUNDUP(((J218+J217)*0.5)*(C218-C217)/9,0)</f>
        <v>0</v>
      </c>
      <c r="T218" s="144">
        <f t="shared" ref="T218:T248" si="697">ROUNDUP(((K218+K217)*0.5)*(C218-C217)/9,0)</f>
        <v>0</v>
      </c>
      <c r="U218" s="348">
        <f t="shared" ref="U218:U248" si="698">ROUNDUP(((L218+L217)*0.5)*(C218-C217)/9,0)</f>
        <v>1961</v>
      </c>
      <c r="W218" s="255">
        <f>M216+M217+M218</f>
        <v>489</v>
      </c>
      <c r="X218" s="255">
        <f t="shared" ref="X218" si="699">N216+N217+N218</f>
        <v>0</v>
      </c>
      <c r="Y218" s="255">
        <f>O216+O217+O218</f>
        <v>43054</v>
      </c>
      <c r="Z218" s="255">
        <f t="shared" ref="Z218" si="700">P216+P217+P218</f>
        <v>0</v>
      </c>
      <c r="AA218" s="255">
        <f t="shared" ref="AA218" si="701">Q216+Q217+Q218</f>
        <v>0</v>
      </c>
      <c r="AB218" s="255">
        <f t="shared" ref="AB218" si="702">R216+R217+R218</f>
        <v>0</v>
      </c>
      <c r="AC218" s="255">
        <f t="shared" ref="AC218" si="703">S216+S217+S218</f>
        <v>0</v>
      </c>
      <c r="AD218" s="255">
        <f t="shared" ref="AD218" si="704">T216+T217+T218</f>
        <v>0</v>
      </c>
      <c r="AE218" s="255">
        <f t="shared" ref="AE218" si="705">U216+U217+U218</f>
        <v>3244</v>
      </c>
      <c r="AG218" s="158">
        <f t="shared" ref="AG218:AG248" si="706">C218</f>
        <v>5950</v>
      </c>
      <c r="AH218" s="247">
        <v>100.6553</v>
      </c>
      <c r="AI218" s="247">
        <v>187.27610000000001</v>
      </c>
      <c r="AJ218" s="144">
        <v>12.5123</v>
      </c>
      <c r="AK218" s="144"/>
      <c r="AL218" s="144"/>
      <c r="AM218" s="144"/>
      <c r="AN218" s="144"/>
      <c r="AO218" s="144"/>
      <c r="AP218" s="144"/>
      <c r="AQ218" s="144"/>
      <c r="AR218" s="144"/>
      <c r="AS218" s="144"/>
      <c r="AT218" s="144"/>
      <c r="AU218" s="144"/>
      <c r="AV218" s="144"/>
      <c r="AW218" s="144"/>
      <c r="AX218" s="144"/>
      <c r="AY218" s="247"/>
      <c r="AZ218" s="247"/>
      <c r="BA218" s="144"/>
      <c r="BB218" s="144"/>
      <c r="BC218" s="144"/>
      <c r="BD218" s="144"/>
      <c r="BE218" s="144"/>
      <c r="BF218" s="144"/>
      <c r="BG218" s="144"/>
      <c r="BH218" s="144"/>
      <c r="BI218" s="144"/>
      <c r="BJ218" s="144">
        <f>AH218+AI218</f>
        <v>287.9314</v>
      </c>
      <c r="BK218" s="144">
        <v>11423.4434</v>
      </c>
      <c r="BL218" s="144"/>
      <c r="BM218" s="144"/>
      <c r="BN218" s="144"/>
      <c r="BO218" s="144"/>
      <c r="BP218" s="144"/>
      <c r="BQ218" s="144"/>
      <c r="BR218" s="144"/>
      <c r="BS218" s="144"/>
      <c r="BT218" s="144"/>
      <c r="BU218" s="144"/>
      <c r="BV218" s="144"/>
      <c r="BW218" s="144"/>
      <c r="BX218" s="144"/>
      <c r="BY218" s="144"/>
      <c r="BZ218" s="144"/>
      <c r="CA218" s="144"/>
      <c r="CB218" s="265">
        <f>327.8+8</f>
        <v>335.8</v>
      </c>
      <c r="CC218" s="1">
        <f t="shared" si="567"/>
        <v>5950</v>
      </c>
      <c r="CD218"/>
      <c r="CE218"/>
    </row>
    <row r="219" spans="1:83" x14ac:dyDescent="0.25">
      <c r="A219" s="503"/>
      <c r="C219" s="210">
        <v>6000</v>
      </c>
      <c r="D219" s="349">
        <f t="shared" si="687"/>
        <v>577.4366</v>
      </c>
      <c r="E219" s="349">
        <f t="shared" si="688"/>
        <v>0</v>
      </c>
      <c r="F219" s="147">
        <f t="shared" si="559"/>
        <v>9577.8819000000003</v>
      </c>
      <c r="G219" s="147">
        <f t="shared" si="689"/>
        <v>0</v>
      </c>
      <c r="H219" s="147">
        <f t="shared" si="560"/>
        <v>0</v>
      </c>
      <c r="I219" s="147">
        <f t="shared" si="561"/>
        <v>0</v>
      </c>
      <c r="J219" s="147">
        <f t="shared" si="562"/>
        <v>0</v>
      </c>
      <c r="K219" s="156">
        <f t="shared" si="563"/>
        <v>0</v>
      </c>
      <c r="L219" s="352">
        <f t="shared" si="690"/>
        <v>300.7</v>
      </c>
      <c r="M219" s="355">
        <f t="shared" si="691"/>
        <v>813</v>
      </c>
      <c r="N219" s="147">
        <f t="shared" si="692"/>
        <v>0</v>
      </c>
      <c r="O219" s="147">
        <f t="shared" si="680"/>
        <v>19713</v>
      </c>
      <c r="P219" s="147">
        <f t="shared" si="693"/>
        <v>0</v>
      </c>
      <c r="Q219" s="147">
        <f t="shared" si="694"/>
        <v>0</v>
      </c>
      <c r="R219" s="147">
        <f t="shared" si="695"/>
        <v>0</v>
      </c>
      <c r="S219" s="147">
        <f t="shared" si="696"/>
        <v>0</v>
      </c>
      <c r="T219" s="147">
        <f t="shared" si="697"/>
        <v>0</v>
      </c>
      <c r="U219" s="349">
        <f t="shared" si="698"/>
        <v>1769</v>
      </c>
      <c r="W219" s="151"/>
      <c r="X219" s="147"/>
      <c r="Y219" s="147"/>
      <c r="Z219" s="147"/>
      <c r="AA219" s="147"/>
      <c r="AB219" s="147"/>
      <c r="AC219" s="147"/>
      <c r="AD219" s="147"/>
      <c r="AE219" s="148"/>
      <c r="AG219" s="155">
        <f t="shared" si="706"/>
        <v>6000</v>
      </c>
      <c r="AH219" s="246">
        <v>138.54499999999999</v>
      </c>
      <c r="AI219" s="246">
        <v>55.6813</v>
      </c>
      <c r="AJ219" s="246">
        <v>77.239199999999997</v>
      </c>
      <c r="AK219" s="246">
        <v>155.5772</v>
      </c>
      <c r="AL219" s="246">
        <v>84.574799999999996</v>
      </c>
      <c r="AM219" s="147">
        <v>65.819100000000006</v>
      </c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246"/>
      <c r="AZ219" s="246"/>
      <c r="BA219" s="246"/>
      <c r="BB219" s="246"/>
      <c r="BC219" s="246"/>
      <c r="BD219" s="147"/>
      <c r="BE219" s="147"/>
      <c r="BF219" s="147"/>
      <c r="BG219" s="147"/>
      <c r="BH219" s="147"/>
      <c r="BI219" s="147"/>
      <c r="BJ219" s="147">
        <f>AH219+AI219+AJ219+AK219+AL219</f>
        <v>511.61749999999995</v>
      </c>
      <c r="BK219" s="147">
        <v>9066.2644</v>
      </c>
      <c r="BL219" s="147"/>
      <c r="BM219" s="147"/>
      <c r="BN219" s="147"/>
      <c r="BO219" s="147"/>
      <c r="BP219" s="147"/>
      <c r="BQ219" s="147"/>
      <c r="BR219" s="147"/>
      <c r="BS219" s="147"/>
      <c r="BT219" s="147"/>
      <c r="BU219" s="147"/>
      <c r="BV219" s="147"/>
      <c r="BW219" s="147"/>
      <c r="BX219" s="147"/>
      <c r="BY219" s="147"/>
      <c r="BZ219" s="147"/>
      <c r="CA219" s="147"/>
      <c r="CB219" s="266">
        <f>292.7+8</f>
        <v>300.7</v>
      </c>
      <c r="CC219" s="1">
        <f t="shared" si="567"/>
        <v>6000</v>
      </c>
    </row>
    <row r="220" spans="1:83" x14ac:dyDescent="0.25">
      <c r="A220" s="503"/>
      <c r="C220" s="121">
        <v>6050</v>
      </c>
      <c r="D220" s="347">
        <f t="shared" si="687"/>
        <v>914.89769999999999</v>
      </c>
      <c r="E220" s="347">
        <f t="shared" si="688"/>
        <v>0</v>
      </c>
      <c r="F220" s="58">
        <f t="shared" si="559"/>
        <v>7962.0383999999995</v>
      </c>
      <c r="G220" s="58">
        <f t="shared" si="689"/>
        <v>0</v>
      </c>
      <c r="H220" s="58">
        <f t="shared" si="560"/>
        <v>0</v>
      </c>
      <c r="I220" s="58">
        <f t="shared" si="561"/>
        <v>0</v>
      </c>
      <c r="J220" s="58">
        <f t="shared" si="562"/>
        <v>0</v>
      </c>
      <c r="K220" s="51">
        <f t="shared" si="563"/>
        <v>0</v>
      </c>
      <c r="L220" s="350">
        <f t="shared" si="690"/>
        <v>266.7</v>
      </c>
      <c r="M220" s="353">
        <f t="shared" si="691"/>
        <v>1382</v>
      </c>
      <c r="N220" s="58">
        <f t="shared" si="692"/>
        <v>0</v>
      </c>
      <c r="O220" s="58">
        <f>ROUNDUP(((F219+F220)*0.5)*(C220-C219)/27,0)</f>
        <v>16241</v>
      </c>
      <c r="P220" s="58">
        <f t="shared" si="693"/>
        <v>0</v>
      </c>
      <c r="Q220" s="58">
        <f t="shared" si="694"/>
        <v>0</v>
      </c>
      <c r="R220" s="58">
        <f t="shared" si="695"/>
        <v>0</v>
      </c>
      <c r="S220" s="58">
        <f t="shared" si="696"/>
        <v>0</v>
      </c>
      <c r="T220" s="58">
        <f t="shared" si="697"/>
        <v>0</v>
      </c>
      <c r="U220" s="347">
        <f t="shared" si="698"/>
        <v>1577</v>
      </c>
      <c r="W220" s="105"/>
      <c r="X220" s="58"/>
      <c r="Y220" s="58"/>
      <c r="Z220" s="58"/>
      <c r="AA220" s="58"/>
      <c r="AB220" s="58"/>
      <c r="AC220" s="58"/>
      <c r="AD220" s="58"/>
      <c r="AE220" s="138"/>
      <c r="AG220" s="57">
        <f t="shared" si="706"/>
        <v>6050</v>
      </c>
      <c r="AH220" s="119">
        <v>101.07550000000001</v>
      </c>
      <c r="AI220" s="119">
        <v>58.999400000000001</v>
      </c>
      <c r="AJ220" s="119">
        <v>66.389099999999999</v>
      </c>
      <c r="AK220" s="119">
        <v>104.7084</v>
      </c>
      <c r="AL220" s="119">
        <v>266.87580000000003</v>
      </c>
      <c r="AM220" s="119">
        <v>305.41800000000001</v>
      </c>
      <c r="AN220" s="58">
        <v>11.4315</v>
      </c>
      <c r="AO220" s="58"/>
      <c r="AP220" s="58"/>
      <c r="AQ220" s="58"/>
      <c r="AR220" s="58"/>
      <c r="AS220" s="58"/>
      <c r="AT220" s="58"/>
      <c r="AU220" s="58"/>
      <c r="AV220" s="58"/>
      <c r="AW220" s="58"/>
      <c r="AX220" s="58"/>
      <c r="AY220" s="119"/>
      <c r="AZ220" s="119"/>
      <c r="BA220" s="119"/>
      <c r="BB220" s="119"/>
      <c r="BC220" s="119"/>
      <c r="BD220" s="119"/>
      <c r="BE220" s="58"/>
      <c r="BF220" s="58"/>
      <c r="BG220" s="58"/>
      <c r="BH220" s="58"/>
      <c r="BI220" s="58"/>
      <c r="BJ220" s="58">
        <f>AH220+AI220+AJ220+AK220+AL220+AM220</f>
        <v>903.46619999999996</v>
      </c>
      <c r="BK220" s="58">
        <v>7058.5721999999996</v>
      </c>
      <c r="BL220" s="58"/>
      <c r="BM220" s="58"/>
      <c r="BN220" s="58"/>
      <c r="BO220" s="58"/>
      <c r="BP220" s="58"/>
      <c r="BQ220" s="58"/>
      <c r="BR220" s="58"/>
      <c r="BS220" s="58"/>
      <c r="BT220" s="58"/>
      <c r="BU220" s="58"/>
      <c r="BV220" s="58"/>
      <c r="BW220" s="58"/>
      <c r="BX220" s="58"/>
      <c r="BY220" s="58"/>
      <c r="BZ220" s="58"/>
      <c r="CA220" s="58"/>
      <c r="CB220" s="263">
        <f>258.7+8</f>
        <v>266.7</v>
      </c>
      <c r="CC220" s="1">
        <f t="shared" si="567"/>
        <v>6050</v>
      </c>
    </row>
    <row r="221" spans="1:83" s="3" customFormat="1" ht="15.75" thickBot="1" x14ac:dyDescent="0.3">
      <c r="A221" s="503"/>
      <c r="B221"/>
      <c r="C221" s="222">
        <v>6100</v>
      </c>
      <c r="D221" s="365">
        <f t="shared" ref="D221" si="707">SUM(AH221:AX221)</f>
        <v>1100.7501</v>
      </c>
      <c r="E221" s="365">
        <f t="shared" ref="E221" si="708">SUM(AY221:BG221)</f>
        <v>0</v>
      </c>
      <c r="F221" s="223">
        <f t="shared" ref="F221" si="709">SUM(BJ221:BK221)</f>
        <v>6346.7181</v>
      </c>
      <c r="G221" s="223">
        <f t="shared" ref="G221" si="710">SUM(BL221:BN221)</f>
        <v>0</v>
      </c>
      <c r="H221" s="223">
        <f t="shared" ref="H221" si="711">SUM(BO221:BQ221)</f>
        <v>0</v>
      </c>
      <c r="I221" s="223">
        <f t="shared" ref="I221" si="712">SUM(BR221:BT221)</f>
        <v>0</v>
      </c>
      <c r="J221" s="223">
        <f t="shared" ref="J221" si="713">SUM(BU221:BV221)</f>
        <v>0</v>
      </c>
      <c r="K221" s="224">
        <f t="shared" ref="K221" si="714">BW221+BX221</f>
        <v>0</v>
      </c>
      <c r="L221" s="378">
        <f t="shared" ref="L221" si="715">SUM(BY221:CB221)</f>
        <v>246.5</v>
      </c>
      <c r="M221" s="390">
        <f>ROUNDUP(((D219+D221)*0.5)*(C221-C219)/27,0)</f>
        <v>3108</v>
      </c>
      <c r="N221" s="223">
        <f>ROUNDUP(((E219+E221)*0.5)*(C221-C219)/27,0)</f>
        <v>0</v>
      </c>
      <c r="O221" s="223">
        <f>ROUNDUP(((F220+F221)*0.5)*(C221-C220)/27,0)</f>
        <v>13249</v>
      </c>
      <c r="P221" s="223">
        <f>ROUNDUP(((G219+G221)*0.5)*(C221-C219)/27,0)</f>
        <v>0</v>
      </c>
      <c r="Q221" s="223">
        <f>ROUNDUP(((H221+H219)*0.5)*(C221-C219)/27,0)</f>
        <v>0</v>
      </c>
      <c r="R221" s="223">
        <f>ROUNDUP(((I221+I219)*0.5)*(C221-C219)/27,0)</f>
        <v>0</v>
      </c>
      <c r="S221" s="223">
        <f>ROUNDUP(((J221+J219)*0.5)*(C221-C219)/9,0)</f>
        <v>0</v>
      </c>
      <c r="T221" s="223">
        <f>ROUNDUP(((K221+K219)*0.5)*(C221-C219)/9,0)</f>
        <v>0</v>
      </c>
      <c r="U221" s="365">
        <f>ROUNDUP(((L221+L219)*0.5)*(C221-C219)/9,0)</f>
        <v>3040</v>
      </c>
      <c r="V221"/>
      <c r="W221" s="225"/>
      <c r="X221" s="225"/>
      <c r="Y221" s="225"/>
      <c r="Z221" s="225"/>
      <c r="AA221" s="225"/>
      <c r="AB221" s="225"/>
      <c r="AC221" s="225"/>
      <c r="AD221" s="225"/>
      <c r="AE221" s="225"/>
      <c r="AG221" s="158">
        <f t="shared" ref="AG221" si="716">C221</f>
        <v>6100</v>
      </c>
      <c r="AH221" s="247">
        <v>80.706100000000006</v>
      </c>
      <c r="AI221" s="247">
        <v>31.409500000000001</v>
      </c>
      <c r="AJ221" s="247">
        <v>78.819900000000004</v>
      </c>
      <c r="AK221" s="247">
        <v>357.48910000000001</v>
      </c>
      <c r="AL221" s="247">
        <v>216.72210000000001</v>
      </c>
      <c r="AM221" s="247">
        <v>329.29199999999997</v>
      </c>
      <c r="AN221" s="144">
        <v>6.3113999999999999</v>
      </c>
      <c r="AO221" s="144"/>
      <c r="AP221" s="144"/>
      <c r="AQ221" s="144"/>
      <c r="AR221" s="144"/>
      <c r="AS221" s="144"/>
      <c r="AT221" s="144"/>
      <c r="AU221" s="144"/>
      <c r="AV221" s="144"/>
      <c r="AW221" s="144"/>
      <c r="AX221" s="144"/>
      <c r="AY221" s="247"/>
      <c r="AZ221" s="247"/>
      <c r="BA221" s="247"/>
      <c r="BB221" s="247"/>
      <c r="BC221" s="247"/>
      <c r="BD221" s="247"/>
      <c r="BE221" s="144"/>
      <c r="BF221" s="144"/>
      <c r="BG221" s="144"/>
      <c r="BH221" s="144"/>
      <c r="BI221" s="144"/>
      <c r="BJ221" s="144">
        <f>AH221+AI221+AJ221+AK221+AL221+AM221</f>
        <v>1094.4386999999999</v>
      </c>
      <c r="BK221" s="144">
        <v>5252.2794000000004</v>
      </c>
      <c r="BL221" s="144"/>
      <c r="BM221" s="144"/>
      <c r="BN221" s="144"/>
      <c r="BO221" s="144"/>
      <c r="BP221" s="144"/>
      <c r="BQ221" s="144"/>
      <c r="BR221" s="144"/>
      <c r="BS221" s="144"/>
      <c r="BT221" s="144"/>
      <c r="BU221" s="144"/>
      <c r="BV221" s="144"/>
      <c r="BW221" s="144"/>
      <c r="BX221" s="144"/>
      <c r="BY221" s="144"/>
      <c r="BZ221" s="144"/>
      <c r="CA221" s="144"/>
      <c r="CB221" s="265">
        <f>238.5+8</f>
        <v>246.5</v>
      </c>
      <c r="CC221" s="1">
        <f t="shared" ref="CC221" si="717">C221</f>
        <v>6100</v>
      </c>
      <c r="CD221"/>
      <c r="CE221"/>
    </row>
    <row r="222" spans="1:83" s="3" customFormat="1" ht="15.75" thickBot="1" x14ac:dyDescent="0.3">
      <c r="A222" s="503"/>
      <c r="B222" s="305"/>
      <c r="C222" s="212">
        <v>6125</v>
      </c>
      <c r="D222" s="348"/>
      <c r="E222" s="348"/>
      <c r="F222" s="144">
        <v>0</v>
      </c>
      <c r="G222" s="144"/>
      <c r="H222" s="144"/>
      <c r="I222" s="144"/>
      <c r="J222" s="144"/>
      <c r="K222" s="159"/>
      <c r="L222" s="351"/>
      <c r="M222" s="354"/>
      <c r="N222" s="144"/>
      <c r="O222" s="144">
        <f>ROUNDUP(((F221+F222)*0.5)*(C222-C221)/27,0)</f>
        <v>2939</v>
      </c>
      <c r="P222" s="144"/>
      <c r="Q222" s="144"/>
      <c r="R222" s="144"/>
      <c r="S222" s="144"/>
      <c r="T222" s="144"/>
      <c r="U222" s="348"/>
      <c r="V222" s="305"/>
      <c r="W222" s="255">
        <f>M219+M220+M222+M221</f>
        <v>5303</v>
      </c>
      <c r="X222" s="255">
        <f t="shared" ref="X222:AD222" si="718">N219+N220+N222+N221</f>
        <v>0</v>
      </c>
      <c r="Y222" s="255">
        <f t="shared" si="718"/>
        <v>52142</v>
      </c>
      <c r="Z222" s="255">
        <f t="shared" si="718"/>
        <v>0</v>
      </c>
      <c r="AA222" s="255">
        <f t="shared" si="718"/>
        <v>0</v>
      </c>
      <c r="AB222" s="255">
        <f t="shared" si="718"/>
        <v>0</v>
      </c>
      <c r="AC222" s="255">
        <f t="shared" si="718"/>
        <v>0</v>
      </c>
      <c r="AD222" s="255">
        <f t="shared" si="718"/>
        <v>0</v>
      </c>
      <c r="AE222" s="255">
        <f>U219+U220+U222+U221</f>
        <v>6386</v>
      </c>
      <c r="AG222" s="158">
        <f t="shared" si="706"/>
        <v>6125</v>
      </c>
      <c r="AH222" s="247">
        <v>80.706100000000006</v>
      </c>
      <c r="AI222" s="247">
        <v>31.409500000000001</v>
      </c>
      <c r="AJ222" s="247">
        <v>78.819900000000004</v>
      </c>
      <c r="AK222" s="247">
        <v>357.48910000000001</v>
      </c>
      <c r="AL222" s="247">
        <v>216.72210000000001</v>
      </c>
      <c r="AM222" s="247">
        <v>329.29199999999997</v>
      </c>
      <c r="AN222" s="144">
        <v>6.3113999999999999</v>
      </c>
      <c r="AO222" s="144"/>
      <c r="AP222" s="144"/>
      <c r="AQ222" s="144"/>
      <c r="AR222" s="144"/>
      <c r="AS222" s="144"/>
      <c r="AT222" s="144"/>
      <c r="AU222" s="144"/>
      <c r="AV222" s="144"/>
      <c r="AW222" s="144"/>
      <c r="AX222" s="144"/>
      <c r="AY222" s="247"/>
      <c r="AZ222" s="247"/>
      <c r="BA222" s="247"/>
      <c r="BB222" s="247"/>
      <c r="BC222" s="247"/>
      <c r="BD222" s="247"/>
      <c r="BE222" s="144"/>
      <c r="BF222" s="144"/>
      <c r="BG222" s="144"/>
      <c r="BH222" s="144"/>
      <c r="BI222" s="144"/>
      <c r="BJ222" s="144">
        <f>AH222+AI222+AJ222+AK222+AL222+AM222</f>
        <v>1094.4386999999999</v>
      </c>
      <c r="BK222" s="144">
        <v>5252.2794000000004</v>
      </c>
      <c r="BL222" s="144"/>
      <c r="BM222" s="144"/>
      <c r="BN222" s="144"/>
      <c r="BO222" s="144"/>
      <c r="BP222" s="144"/>
      <c r="BQ222" s="144"/>
      <c r="BR222" s="144"/>
      <c r="BS222" s="144"/>
      <c r="BT222" s="144"/>
      <c r="BU222" s="144"/>
      <c r="BV222" s="144"/>
      <c r="BW222" s="144"/>
      <c r="BX222" s="144"/>
      <c r="BY222" s="144"/>
      <c r="BZ222" s="144"/>
      <c r="CA222" s="144"/>
      <c r="CB222" s="265">
        <f>238.5+8</f>
        <v>246.5</v>
      </c>
      <c r="CC222" s="1">
        <f t="shared" si="567"/>
        <v>6125</v>
      </c>
      <c r="CD222"/>
      <c r="CE222"/>
    </row>
    <row r="223" spans="1:83" x14ac:dyDescent="0.25">
      <c r="A223" s="503"/>
      <c r="C223" s="210">
        <v>6150</v>
      </c>
      <c r="D223" s="349">
        <f t="shared" si="687"/>
        <v>1147.4077999999997</v>
      </c>
      <c r="E223" s="349">
        <f t="shared" si="688"/>
        <v>7933.5612999999994</v>
      </c>
      <c r="F223" s="147">
        <f t="shared" si="559"/>
        <v>0</v>
      </c>
      <c r="G223" s="147">
        <f t="shared" si="689"/>
        <v>0</v>
      </c>
      <c r="H223" s="147">
        <f t="shared" si="560"/>
        <v>0</v>
      </c>
      <c r="I223" s="147">
        <f t="shared" si="561"/>
        <v>0</v>
      </c>
      <c r="J223" s="147">
        <f t="shared" si="562"/>
        <v>0</v>
      </c>
      <c r="K223" s="156">
        <f t="shared" si="563"/>
        <v>0</v>
      </c>
      <c r="L223" s="352">
        <f t="shared" si="690"/>
        <v>317.89999999999998</v>
      </c>
      <c r="M223" s="355">
        <f>ROUNDUP(((D222+D223)*0.5)*(C223-C222)/27,0)</f>
        <v>532</v>
      </c>
      <c r="N223" s="147">
        <f>ROUNDUP(((E222+E223)*0.5)*(C223-C222)/27,0)</f>
        <v>3673</v>
      </c>
      <c r="O223" s="147"/>
      <c r="P223" s="147">
        <f>ROUNDUP(((G222+G223)*0.5)*(C223-C222)/27,0)</f>
        <v>0</v>
      </c>
      <c r="Q223" s="147">
        <f>ROUNDUP(((H223+H222)*0.5)*(C223-C222)/27,0)</f>
        <v>0</v>
      </c>
      <c r="R223" s="147">
        <f>ROUNDUP(((I223+I222)*0.5)*(C223-C222)/27,0)</f>
        <v>0</v>
      </c>
      <c r="S223" s="147">
        <f>ROUNDUP(((J223+J222)*0.5)*(C223-C222)/9,0)</f>
        <v>0</v>
      </c>
      <c r="T223" s="147">
        <f>ROUNDUP(((K223+K222)*0.5)*(C223-C222)/9,0)</f>
        <v>0</v>
      </c>
      <c r="U223" s="349">
        <f>ROUNDUP(((L223+L222)*0.5)*(C223-C222)/9,0)</f>
        <v>442</v>
      </c>
      <c r="W223" s="151"/>
      <c r="X223" s="147"/>
      <c r="Y223" s="147"/>
      <c r="Z223" s="147"/>
      <c r="AA223" s="147"/>
      <c r="AB223" s="147"/>
      <c r="AC223" s="147"/>
      <c r="AD223" s="147"/>
      <c r="AE223" s="148"/>
      <c r="AG223" s="155">
        <f t="shared" si="706"/>
        <v>6150</v>
      </c>
      <c r="AH223" s="246">
        <v>74.898200000000003</v>
      </c>
      <c r="AI223" s="246">
        <v>364.20710000000003</v>
      </c>
      <c r="AJ223" s="246">
        <v>89.097800000000007</v>
      </c>
      <c r="AK223" s="246">
        <v>164.60210000000001</v>
      </c>
      <c r="AL223" s="246">
        <v>147.3475</v>
      </c>
      <c r="AM223" s="246">
        <v>165.54239999999999</v>
      </c>
      <c r="AN223" s="246">
        <v>134.78659999999999</v>
      </c>
      <c r="AO223" s="147">
        <v>6.9260999999999999</v>
      </c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246">
        <v>74.898200000000003</v>
      </c>
      <c r="AZ223" s="246">
        <v>364.20710000000003</v>
      </c>
      <c r="BA223" s="246">
        <v>89.097800000000007</v>
      </c>
      <c r="BB223" s="246">
        <v>164.60210000000001</v>
      </c>
      <c r="BC223" s="246">
        <v>147.3475</v>
      </c>
      <c r="BD223" s="246">
        <v>165.54239999999999</v>
      </c>
      <c r="BE223" s="246">
        <v>134.78659999999999</v>
      </c>
      <c r="BF223" s="147">
        <v>6793.0796</v>
      </c>
      <c r="BG223" s="147"/>
      <c r="BH223" s="147"/>
      <c r="BI223" s="147"/>
      <c r="BJ223" s="147"/>
      <c r="BK223" s="147"/>
      <c r="BL223" s="147"/>
      <c r="BM223" s="147"/>
      <c r="BN223" s="147"/>
      <c r="BO223" s="147"/>
      <c r="BP223" s="147"/>
      <c r="BQ223" s="147"/>
      <c r="BR223" s="147"/>
      <c r="BS223" s="147"/>
      <c r="BT223" s="147"/>
      <c r="BU223" s="147"/>
      <c r="BV223" s="147"/>
      <c r="BW223" s="147"/>
      <c r="BX223" s="147"/>
      <c r="BY223" s="147"/>
      <c r="BZ223" s="147"/>
      <c r="CA223" s="147"/>
      <c r="CB223" s="266">
        <f>309.9+8</f>
        <v>317.89999999999998</v>
      </c>
      <c r="CC223" s="1">
        <f t="shared" si="567"/>
        <v>6150</v>
      </c>
    </row>
    <row r="224" spans="1:83" s="62" customFormat="1" x14ac:dyDescent="0.25">
      <c r="A224" s="503"/>
      <c r="B224" s="130" t="s">
        <v>53</v>
      </c>
      <c r="C224" s="451">
        <v>6192.99</v>
      </c>
      <c r="D224" s="362">
        <f t="shared" si="687"/>
        <v>558.6869999999999</v>
      </c>
      <c r="E224" s="362">
        <f>SUM(AY224:BG224)</f>
        <v>6630.3894999999993</v>
      </c>
      <c r="F224" s="59">
        <f t="shared" si="559"/>
        <v>0</v>
      </c>
      <c r="G224" s="59">
        <f t="shared" si="689"/>
        <v>0</v>
      </c>
      <c r="H224" s="59">
        <f t="shared" si="560"/>
        <v>0</v>
      </c>
      <c r="I224" s="59">
        <f t="shared" si="561"/>
        <v>0</v>
      </c>
      <c r="J224" s="59">
        <f t="shared" si="562"/>
        <v>0</v>
      </c>
      <c r="K224" s="60">
        <f t="shared" si="563"/>
        <v>0</v>
      </c>
      <c r="L224" s="375">
        <f t="shared" si="690"/>
        <v>226.0394</v>
      </c>
      <c r="M224" s="387">
        <f t="shared" si="691"/>
        <v>1359</v>
      </c>
      <c r="N224" s="59">
        <f t="shared" si="692"/>
        <v>11595</v>
      </c>
      <c r="O224" s="59"/>
      <c r="P224" s="59">
        <f t="shared" si="693"/>
        <v>0</v>
      </c>
      <c r="Q224" s="59">
        <f t="shared" si="694"/>
        <v>0</v>
      </c>
      <c r="R224" s="59">
        <f t="shared" si="695"/>
        <v>0</v>
      </c>
      <c r="S224" s="59">
        <f t="shared" si="696"/>
        <v>0</v>
      </c>
      <c r="T224" s="59">
        <f t="shared" si="697"/>
        <v>0</v>
      </c>
      <c r="U224" s="362">
        <f t="shared" si="698"/>
        <v>1300</v>
      </c>
      <c r="W224" s="106"/>
      <c r="X224" s="59"/>
      <c r="Y224" s="59"/>
      <c r="Z224" s="59"/>
      <c r="AA224" s="59"/>
      <c r="AB224" s="59"/>
      <c r="AC224" s="59"/>
      <c r="AD224" s="59"/>
      <c r="AE224" s="140"/>
      <c r="AF224" s="64" t="str">
        <f>B224</f>
        <v>back</v>
      </c>
      <c r="AG224" s="451">
        <f t="shared" si="706"/>
        <v>6192.99</v>
      </c>
      <c r="AH224" s="119">
        <v>103.77679999999999</v>
      </c>
      <c r="AI224" s="119">
        <v>115.3758</v>
      </c>
      <c r="AJ224" s="119">
        <v>88.593400000000003</v>
      </c>
      <c r="AK224" s="119">
        <v>102.27719999999999</v>
      </c>
      <c r="AL224" s="119">
        <v>134.22569999999999</v>
      </c>
      <c r="AM224" s="59">
        <v>14.4381</v>
      </c>
      <c r="AN224" s="59"/>
      <c r="AO224" s="59"/>
      <c r="AP224" s="59"/>
      <c r="AQ224" s="59"/>
      <c r="AR224" s="59"/>
      <c r="AS224" s="59"/>
      <c r="AT224" s="59"/>
      <c r="AU224" s="59"/>
      <c r="AV224" s="59"/>
      <c r="AW224" s="59"/>
      <c r="AX224" s="59"/>
      <c r="AY224" s="119">
        <v>103.77679999999999</v>
      </c>
      <c r="AZ224" s="119">
        <v>115.3758</v>
      </c>
      <c r="BA224" s="119">
        <v>88.593400000000003</v>
      </c>
      <c r="BB224" s="119">
        <v>102.27719999999999</v>
      </c>
      <c r="BC224" s="119">
        <v>134.22569999999999</v>
      </c>
      <c r="BD224" s="59">
        <v>5786.6912000000002</v>
      </c>
      <c r="BE224" s="59">
        <v>282.36689999999999</v>
      </c>
      <c r="BF224" s="59">
        <v>4.8339999999999996</v>
      </c>
      <c r="BG224" s="59">
        <v>12.2485</v>
      </c>
      <c r="BH224" s="59"/>
      <c r="BI224" s="59"/>
      <c r="BJ224" s="59"/>
      <c r="BK224" s="59"/>
      <c r="BL224" s="59"/>
      <c r="BM224" s="59"/>
      <c r="BN224" s="59"/>
      <c r="BO224" s="59"/>
      <c r="BP224" s="59"/>
      <c r="BQ224" s="59"/>
      <c r="BR224" s="59"/>
      <c r="BS224" s="59"/>
      <c r="BT224" s="59"/>
      <c r="BU224" s="59"/>
      <c r="BV224" s="59"/>
      <c r="BW224" s="59"/>
      <c r="BX224" s="59"/>
      <c r="BY224" s="59"/>
      <c r="BZ224" s="59"/>
      <c r="CA224" s="59">
        <f>164.9326+4</f>
        <v>168.93260000000001</v>
      </c>
      <c r="CB224" s="268">
        <f>53.1068+4</f>
        <v>57.1068</v>
      </c>
      <c r="CC224" s="522">
        <f t="shared" si="567"/>
        <v>6192.99</v>
      </c>
      <c r="CD224"/>
      <c r="CE224"/>
    </row>
    <row r="225" spans="1:83" s="62" customFormat="1" x14ac:dyDescent="0.25">
      <c r="A225" s="503"/>
      <c r="B225" s="130" t="s">
        <v>54</v>
      </c>
      <c r="C225" s="452"/>
      <c r="D225" s="362">
        <f t="shared" si="687"/>
        <v>412.16999999999996</v>
      </c>
      <c r="E225" s="362">
        <f t="shared" si="688"/>
        <v>6196.7143999999998</v>
      </c>
      <c r="F225" s="59">
        <f t="shared" si="559"/>
        <v>0</v>
      </c>
      <c r="G225" s="59">
        <f t="shared" si="689"/>
        <v>0</v>
      </c>
      <c r="H225" s="59">
        <f t="shared" si="560"/>
        <v>0</v>
      </c>
      <c r="I225" s="59">
        <f t="shared" si="561"/>
        <v>0</v>
      </c>
      <c r="J225" s="59">
        <f t="shared" si="562"/>
        <v>0</v>
      </c>
      <c r="K225" s="60">
        <f t="shared" si="563"/>
        <v>0</v>
      </c>
      <c r="L225" s="375">
        <f t="shared" si="690"/>
        <v>168.93260000000001</v>
      </c>
      <c r="M225" s="387"/>
      <c r="N225" s="59"/>
      <c r="O225" s="59"/>
      <c r="P225" s="59"/>
      <c r="Q225" s="59"/>
      <c r="R225" s="59"/>
      <c r="S225" s="59"/>
      <c r="T225" s="59"/>
      <c r="U225" s="362"/>
      <c r="W225" s="106"/>
      <c r="X225" s="59"/>
      <c r="Y225" s="59"/>
      <c r="Z225" s="59"/>
      <c r="AA225" s="59"/>
      <c r="AB225" s="59"/>
      <c r="AC225" s="59"/>
      <c r="AD225" s="59"/>
      <c r="AE225" s="140"/>
      <c r="AF225" s="64" t="str">
        <f>B225</f>
        <v>ahead</v>
      </c>
      <c r="AG225" s="452"/>
      <c r="AH225" s="119">
        <v>103.77679999999999</v>
      </c>
      <c r="AI225" s="119">
        <v>115.3758</v>
      </c>
      <c r="AJ225" s="119">
        <v>88.593400000000003</v>
      </c>
      <c r="AK225" s="119">
        <v>102.27719999999999</v>
      </c>
      <c r="AL225" s="119">
        <v>2.1467999999999998</v>
      </c>
      <c r="AM225" s="59"/>
      <c r="AN225" s="59"/>
      <c r="AO225" s="59"/>
      <c r="AP225" s="59"/>
      <c r="AQ225" s="59"/>
      <c r="AR225" s="59"/>
      <c r="AS225" s="59"/>
      <c r="AT225" s="59"/>
      <c r="AU225" s="59"/>
      <c r="AV225" s="59"/>
      <c r="AW225" s="59"/>
      <c r="AX225" s="59"/>
      <c r="AY225" s="119">
        <v>103.77679999999999</v>
      </c>
      <c r="AZ225" s="119">
        <v>115.3758</v>
      </c>
      <c r="BA225" s="119">
        <v>88.593400000000003</v>
      </c>
      <c r="BB225" s="119">
        <v>102.27719999999999</v>
      </c>
      <c r="BC225" s="119"/>
      <c r="BD225" s="59">
        <v>5786.6912000000002</v>
      </c>
      <c r="BE225" s="59"/>
      <c r="BF225" s="59"/>
      <c r="BG225" s="59"/>
      <c r="BH225" s="59"/>
      <c r="BI225" s="59"/>
      <c r="BJ225" s="59"/>
      <c r="BK225" s="59"/>
      <c r="BL225" s="59"/>
      <c r="BM225" s="59"/>
      <c r="BN225" s="59"/>
      <c r="BO225" s="59"/>
      <c r="BP225" s="59"/>
      <c r="BQ225" s="59"/>
      <c r="BR225" s="59"/>
      <c r="BS225" s="59"/>
      <c r="BT225" s="59"/>
      <c r="BU225" s="59"/>
      <c r="BV225" s="59"/>
      <c r="BW225" s="59"/>
      <c r="BX225" s="59"/>
      <c r="BY225" s="59"/>
      <c r="BZ225" s="59"/>
      <c r="CA225" s="59">
        <f>164.9326+4</f>
        <v>168.93260000000001</v>
      </c>
      <c r="CB225" s="268"/>
      <c r="CC225" s="522"/>
      <c r="CD225"/>
      <c r="CE225"/>
    </row>
    <row r="226" spans="1:83" s="3" customFormat="1" ht="15.75" thickBot="1" x14ac:dyDescent="0.3">
      <c r="A226" s="503"/>
      <c r="C226" s="212">
        <v>6200</v>
      </c>
      <c r="D226" s="348">
        <f t="shared" si="687"/>
        <v>564.97820000000002</v>
      </c>
      <c r="E226" s="348">
        <f t="shared" si="688"/>
        <v>6315.3055000000004</v>
      </c>
      <c r="F226" s="144">
        <f t="shared" si="559"/>
        <v>0</v>
      </c>
      <c r="G226" s="144">
        <f t="shared" si="689"/>
        <v>0</v>
      </c>
      <c r="H226" s="144">
        <f t="shared" si="560"/>
        <v>0</v>
      </c>
      <c r="I226" s="144">
        <f t="shared" si="561"/>
        <v>0</v>
      </c>
      <c r="J226" s="144">
        <f t="shared" si="562"/>
        <v>0</v>
      </c>
      <c r="K226" s="159">
        <f t="shared" si="563"/>
        <v>0</v>
      </c>
      <c r="L226" s="351">
        <f t="shared" si="690"/>
        <v>167.00200000000001</v>
      </c>
      <c r="M226" s="354">
        <f>ROUNDUP(((D225+D226)*0.5)*(C226-C224)/27,0)</f>
        <v>127</v>
      </c>
      <c r="N226" s="144">
        <f>ROUNDUP(((E225+E226)*0.5)*(C226-C224)/27,0)</f>
        <v>1625</v>
      </c>
      <c r="O226" s="144"/>
      <c r="P226" s="144">
        <f>ROUNDUP(((G225+G226)*0.5)*(C226-C224)/27,0)</f>
        <v>0</v>
      </c>
      <c r="Q226" s="144">
        <f>ROUNDUP(((H226+H225)*0.5)*(C226-C224)/27,0)</f>
        <v>0</v>
      </c>
      <c r="R226" s="144">
        <f>ROUNDUP(((I226+I225)*0.5)*(C226-C224)/27,0)</f>
        <v>0</v>
      </c>
      <c r="S226" s="144">
        <f>ROUNDUP(((J226+J225)*0.5)*(C226-C224)/9,0)</f>
        <v>0</v>
      </c>
      <c r="T226" s="144">
        <f>ROUNDUP(((K226+K225)*0.5)*(C226-C224)/9,0)</f>
        <v>0</v>
      </c>
      <c r="U226" s="348">
        <f>ROUNDUP(((L226+L225)*0.5)*(C226-C224)/9,0)</f>
        <v>131</v>
      </c>
      <c r="W226" s="255">
        <f>M223+M224+M225+M226</f>
        <v>2018</v>
      </c>
      <c r="X226" s="255">
        <f>N223+N224+N225+N226</f>
        <v>16893</v>
      </c>
      <c r="Y226" s="255"/>
      <c r="Z226" s="255">
        <f t="shared" ref="Z226" si="719">P223+P224+P225+P226</f>
        <v>0</v>
      </c>
      <c r="AA226" s="255">
        <f t="shared" ref="AA226" si="720">Q223+Q224+Q225+Q226</f>
        <v>0</v>
      </c>
      <c r="AB226" s="255">
        <f t="shared" ref="AB226" si="721">R223+R224+R225+R226</f>
        <v>0</v>
      </c>
      <c r="AC226" s="255">
        <f t="shared" ref="AC226" si="722">S223+S224+S225+S226</f>
        <v>0</v>
      </c>
      <c r="AD226" s="255">
        <f t="shared" ref="AD226" si="723">T223+T224+T225+T226</f>
        <v>0</v>
      </c>
      <c r="AE226" s="255">
        <f t="shared" ref="AE226" si="724">U223+U224+U225+U226</f>
        <v>1873</v>
      </c>
      <c r="AG226" s="158">
        <f t="shared" si="706"/>
        <v>6200</v>
      </c>
      <c r="AH226" s="247">
        <v>157.613</v>
      </c>
      <c r="AI226" s="247">
        <v>100.97539999999999</v>
      </c>
      <c r="AJ226" s="247">
        <v>71.192099999999996</v>
      </c>
      <c r="AK226" s="247">
        <v>90.6755</v>
      </c>
      <c r="AL226" s="247">
        <v>144.5222</v>
      </c>
      <c r="AM226" s="144"/>
      <c r="AN226" s="144"/>
      <c r="AO226" s="144"/>
      <c r="AP226" s="144"/>
      <c r="AQ226" s="144"/>
      <c r="AR226" s="144"/>
      <c r="AS226" s="144"/>
      <c r="AT226" s="144"/>
      <c r="AU226" s="144"/>
      <c r="AV226" s="144"/>
      <c r="AW226" s="144"/>
      <c r="AX226" s="144"/>
      <c r="AY226" s="247">
        <v>157.613</v>
      </c>
      <c r="AZ226" s="247">
        <v>100.97539999999999</v>
      </c>
      <c r="BA226" s="247">
        <v>71.192099999999996</v>
      </c>
      <c r="BB226" s="247">
        <v>90.6755</v>
      </c>
      <c r="BC226" s="247">
        <v>144.5222</v>
      </c>
      <c r="BD226" s="144">
        <v>5750.3272999999999</v>
      </c>
      <c r="BE226" s="144"/>
      <c r="BF226" s="144"/>
      <c r="BG226" s="144"/>
      <c r="BH226" s="144"/>
      <c r="BI226" s="144"/>
      <c r="BJ226" s="144"/>
      <c r="BK226" s="144"/>
      <c r="BL226" s="144"/>
      <c r="BM226" s="144"/>
      <c r="BN226" s="144"/>
      <c r="BO226" s="144"/>
      <c r="BP226" s="144"/>
      <c r="BQ226" s="144"/>
      <c r="BR226" s="144"/>
      <c r="BS226" s="144"/>
      <c r="BT226" s="144"/>
      <c r="BU226" s="144"/>
      <c r="BV226" s="144"/>
      <c r="BW226" s="144"/>
      <c r="BX226" s="144"/>
      <c r="BY226" s="144"/>
      <c r="BZ226" s="144"/>
      <c r="CA226" s="144"/>
      <c r="CB226" s="265">
        <f>163.002+4</f>
        <v>167.00200000000001</v>
      </c>
      <c r="CC226" s="1">
        <f t="shared" si="567"/>
        <v>6200</v>
      </c>
      <c r="CD226"/>
      <c r="CE226"/>
    </row>
    <row r="227" spans="1:83" x14ac:dyDescent="0.25">
      <c r="A227" s="503"/>
      <c r="C227" s="210">
        <v>6250</v>
      </c>
      <c r="D227" s="349">
        <f t="shared" si="687"/>
        <v>347.22080000000005</v>
      </c>
      <c r="E227" s="349">
        <f t="shared" si="688"/>
        <v>4317.5544</v>
      </c>
      <c r="F227" s="147">
        <f t="shared" si="559"/>
        <v>0</v>
      </c>
      <c r="G227" s="147">
        <f t="shared" si="689"/>
        <v>0</v>
      </c>
      <c r="H227" s="147">
        <f t="shared" si="560"/>
        <v>0</v>
      </c>
      <c r="I227" s="147">
        <f t="shared" si="561"/>
        <v>0</v>
      </c>
      <c r="J227" s="147">
        <f t="shared" si="562"/>
        <v>0</v>
      </c>
      <c r="K227" s="156">
        <f t="shared" si="563"/>
        <v>0</v>
      </c>
      <c r="L227" s="352">
        <f t="shared" si="690"/>
        <v>165.5</v>
      </c>
      <c r="M227" s="355">
        <f t="shared" si="691"/>
        <v>845</v>
      </c>
      <c r="N227" s="147">
        <f t="shared" si="692"/>
        <v>9846</v>
      </c>
      <c r="O227" s="147"/>
      <c r="P227" s="147">
        <f t="shared" si="693"/>
        <v>0</v>
      </c>
      <c r="Q227" s="147">
        <f t="shared" si="694"/>
        <v>0</v>
      </c>
      <c r="R227" s="147">
        <f t="shared" si="695"/>
        <v>0</v>
      </c>
      <c r="S227" s="147">
        <f t="shared" si="696"/>
        <v>0</v>
      </c>
      <c r="T227" s="147">
        <f t="shared" si="697"/>
        <v>0</v>
      </c>
      <c r="U227" s="349">
        <f t="shared" si="698"/>
        <v>924</v>
      </c>
      <c r="W227" s="151"/>
      <c r="X227" s="147"/>
      <c r="Y227" s="147"/>
      <c r="Z227" s="147"/>
      <c r="AA227" s="147"/>
      <c r="AB227" s="147"/>
      <c r="AC227" s="147"/>
      <c r="AD227" s="147"/>
      <c r="AE227" s="148"/>
      <c r="AG227" s="155">
        <f t="shared" si="706"/>
        <v>6250</v>
      </c>
      <c r="AH227" s="246">
        <v>54.665599999999998</v>
      </c>
      <c r="AI227" s="246">
        <v>129.18510000000001</v>
      </c>
      <c r="AJ227" s="246">
        <v>64.677000000000007</v>
      </c>
      <c r="AK227" s="246">
        <v>98.693100000000001</v>
      </c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246">
        <v>54.665599999999998</v>
      </c>
      <c r="AZ227" s="246">
        <v>129.18510000000001</v>
      </c>
      <c r="BA227" s="246">
        <v>64.677000000000007</v>
      </c>
      <c r="BB227" s="246">
        <v>98.693100000000001</v>
      </c>
      <c r="BC227" s="147">
        <v>3970.3335999999999</v>
      </c>
      <c r="BD227" s="147"/>
      <c r="BE227" s="147"/>
      <c r="BF227" s="147"/>
      <c r="BG227" s="147"/>
      <c r="BH227" s="147"/>
      <c r="BI227" s="147"/>
      <c r="BJ227" s="147"/>
      <c r="BK227" s="147"/>
      <c r="BL227" s="147"/>
      <c r="BM227" s="147"/>
      <c r="BN227" s="147"/>
      <c r="BO227" s="147"/>
      <c r="BP227" s="147"/>
      <c r="BQ227" s="147"/>
      <c r="BR227" s="147"/>
      <c r="BS227" s="147"/>
      <c r="BT227" s="147"/>
      <c r="BU227" s="147"/>
      <c r="BV227" s="147"/>
      <c r="BW227" s="147"/>
      <c r="BX227" s="147"/>
      <c r="BY227" s="147"/>
      <c r="BZ227" s="147"/>
      <c r="CA227" s="147"/>
      <c r="CB227" s="266">
        <f>161.5+4</f>
        <v>165.5</v>
      </c>
      <c r="CC227" s="1">
        <f t="shared" si="567"/>
        <v>6250</v>
      </c>
    </row>
    <row r="228" spans="1:83" x14ac:dyDescent="0.25">
      <c r="A228" s="503"/>
      <c r="C228" s="121">
        <v>6300</v>
      </c>
      <c r="D228" s="347">
        <f t="shared" si="687"/>
        <v>371.81209999999999</v>
      </c>
      <c r="E228" s="347">
        <f t="shared" si="688"/>
        <v>2696.9250999999999</v>
      </c>
      <c r="F228" s="58">
        <f t="shared" si="559"/>
        <v>0</v>
      </c>
      <c r="G228" s="58">
        <f t="shared" si="689"/>
        <v>0</v>
      </c>
      <c r="H228" s="58">
        <f t="shared" si="560"/>
        <v>0</v>
      </c>
      <c r="I228" s="58">
        <f t="shared" si="561"/>
        <v>0</v>
      </c>
      <c r="J228" s="58">
        <f t="shared" si="562"/>
        <v>0</v>
      </c>
      <c r="K228" s="51">
        <f t="shared" si="563"/>
        <v>0</v>
      </c>
      <c r="L228" s="350">
        <f t="shared" si="690"/>
        <v>125.9</v>
      </c>
      <c r="M228" s="353">
        <f t="shared" si="691"/>
        <v>666</v>
      </c>
      <c r="N228" s="58">
        <f t="shared" si="692"/>
        <v>6495</v>
      </c>
      <c r="O228" s="58"/>
      <c r="P228" s="58">
        <f t="shared" si="693"/>
        <v>0</v>
      </c>
      <c r="Q228" s="58">
        <f t="shared" si="694"/>
        <v>0</v>
      </c>
      <c r="R228" s="58">
        <f t="shared" si="695"/>
        <v>0</v>
      </c>
      <c r="S228" s="58">
        <f t="shared" si="696"/>
        <v>0</v>
      </c>
      <c r="T228" s="58">
        <f t="shared" si="697"/>
        <v>0</v>
      </c>
      <c r="U228" s="347">
        <f t="shared" si="698"/>
        <v>810</v>
      </c>
      <c r="W228" s="105"/>
      <c r="X228" s="58"/>
      <c r="Y228" s="58"/>
      <c r="Z228" s="58"/>
      <c r="AA228" s="58"/>
      <c r="AB228" s="58"/>
      <c r="AC228" s="58"/>
      <c r="AD228" s="58"/>
      <c r="AE228" s="138"/>
      <c r="AG228" s="57">
        <f t="shared" si="706"/>
        <v>6300</v>
      </c>
      <c r="AH228" s="58">
        <v>11.0541</v>
      </c>
      <c r="AI228" s="119">
        <v>50.313400000000001</v>
      </c>
      <c r="AJ228" s="119">
        <v>231.16390000000001</v>
      </c>
      <c r="AK228" s="119">
        <v>79.280699999999996</v>
      </c>
      <c r="AL228" s="58"/>
      <c r="AM228" s="58"/>
      <c r="AN228" s="58"/>
      <c r="AO228" s="58"/>
      <c r="AP228" s="58"/>
      <c r="AQ228" s="58"/>
      <c r="AR228" s="58"/>
      <c r="AS228" s="58"/>
      <c r="AT228" s="58"/>
      <c r="AU228" s="58"/>
      <c r="AV228" s="58"/>
      <c r="AW228" s="58"/>
      <c r="AX228" s="58"/>
      <c r="AY228" s="119">
        <v>50.313400000000001</v>
      </c>
      <c r="AZ228" s="119">
        <v>231.16390000000001</v>
      </c>
      <c r="BA228" s="119">
        <v>79.280699999999996</v>
      </c>
      <c r="BB228" s="58">
        <v>2334.0171</v>
      </c>
      <c r="BC228" s="58">
        <v>2.15</v>
      </c>
      <c r="BD228" s="58"/>
      <c r="BE228" s="58"/>
      <c r="BF228" s="58"/>
      <c r="BG228" s="58"/>
      <c r="BH228" s="58"/>
      <c r="BI228" s="58"/>
      <c r="BJ228" s="58"/>
      <c r="BK228" s="58"/>
      <c r="BL228" s="58"/>
      <c r="BM228" s="58"/>
      <c r="BN228" s="58"/>
      <c r="BO228" s="58"/>
      <c r="BP228" s="58"/>
      <c r="BQ228" s="58"/>
      <c r="BR228" s="58"/>
      <c r="BS228" s="58"/>
      <c r="BT228" s="58"/>
      <c r="BU228" s="58"/>
      <c r="BV228" s="58"/>
      <c r="BW228" s="58"/>
      <c r="BX228" s="58"/>
      <c r="BY228" s="58"/>
      <c r="BZ228" s="58"/>
      <c r="CA228" s="58"/>
      <c r="CB228" s="263">
        <f>121.9+4</f>
        <v>125.9</v>
      </c>
      <c r="CC228" s="1">
        <f t="shared" si="567"/>
        <v>6300</v>
      </c>
    </row>
    <row r="229" spans="1:83" s="3" customFormat="1" ht="15.75" thickBot="1" x14ac:dyDescent="0.3">
      <c r="A229" s="503"/>
      <c r="C229" s="212">
        <v>6350</v>
      </c>
      <c r="D229" s="348">
        <f t="shared" si="687"/>
        <v>293.68359999999996</v>
      </c>
      <c r="E229" s="348">
        <f t="shared" si="688"/>
        <v>1761.7864999999999</v>
      </c>
      <c r="F229" s="144">
        <f t="shared" si="559"/>
        <v>0</v>
      </c>
      <c r="G229" s="144">
        <f t="shared" si="689"/>
        <v>0</v>
      </c>
      <c r="H229" s="144">
        <f t="shared" si="560"/>
        <v>0</v>
      </c>
      <c r="I229" s="144">
        <f t="shared" si="561"/>
        <v>0</v>
      </c>
      <c r="J229" s="144">
        <f t="shared" si="562"/>
        <v>0</v>
      </c>
      <c r="K229" s="159">
        <f t="shared" si="563"/>
        <v>0</v>
      </c>
      <c r="L229" s="351">
        <f t="shared" si="690"/>
        <v>89.1</v>
      </c>
      <c r="M229" s="354">
        <f t="shared" si="691"/>
        <v>617</v>
      </c>
      <c r="N229" s="144">
        <f t="shared" si="692"/>
        <v>4129</v>
      </c>
      <c r="O229" s="144"/>
      <c r="P229" s="144">
        <f t="shared" si="693"/>
        <v>0</v>
      </c>
      <c r="Q229" s="144">
        <f t="shared" si="694"/>
        <v>0</v>
      </c>
      <c r="R229" s="144">
        <f t="shared" si="695"/>
        <v>0</v>
      </c>
      <c r="S229" s="144">
        <f t="shared" si="696"/>
        <v>0</v>
      </c>
      <c r="T229" s="144">
        <f t="shared" si="697"/>
        <v>0</v>
      </c>
      <c r="U229" s="348">
        <f t="shared" si="698"/>
        <v>598</v>
      </c>
      <c r="W229" s="255">
        <f>M227+M228+M229</f>
        <v>2128</v>
      </c>
      <c r="X229" s="255">
        <f t="shared" ref="X229" si="725">N227+N228+N229</f>
        <v>20470</v>
      </c>
      <c r="Y229" s="255"/>
      <c r="Z229" s="255">
        <f t="shared" ref="Z229" si="726">P227+P228+P229</f>
        <v>0</v>
      </c>
      <c r="AA229" s="255">
        <f t="shared" ref="AA229" si="727">Q227+Q228+Q229</f>
        <v>0</v>
      </c>
      <c r="AB229" s="255">
        <f t="shared" ref="AB229" si="728">R227+R228+R229</f>
        <v>0</v>
      </c>
      <c r="AC229" s="255">
        <f t="shared" ref="AC229" si="729">S227+S228+S229</f>
        <v>0</v>
      </c>
      <c r="AD229" s="255">
        <f t="shared" ref="AD229" si="730">T227+T228+T229</f>
        <v>0</v>
      </c>
      <c r="AE229" s="255">
        <f t="shared" ref="AE229" si="731">U227+U228+U229</f>
        <v>2332</v>
      </c>
      <c r="AG229" s="158">
        <f t="shared" si="706"/>
        <v>6350</v>
      </c>
      <c r="AH229" s="247">
        <v>256.02609999999999</v>
      </c>
      <c r="AI229" s="247">
        <v>37.657499999999999</v>
      </c>
      <c r="AJ229" s="144"/>
      <c r="AK229" s="144"/>
      <c r="AL229" s="144"/>
      <c r="AM229" s="144"/>
      <c r="AN229" s="144"/>
      <c r="AO229" s="144"/>
      <c r="AP229" s="144"/>
      <c r="AQ229" s="144"/>
      <c r="AR229" s="144"/>
      <c r="AS229" s="144"/>
      <c r="AT229" s="144"/>
      <c r="AU229" s="144"/>
      <c r="AV229" s="144"/>
      <c r="AW229" s="144"/>
      <c r="AX229" s="144"/>
      <c r="AY229" s="247">
        <v>256.02609999999999</v>
      </c>
      <c r="AZ229" s="247">
        <v>37.657499999999999</v>
      </c>
      <c r="BA229" s="144">
        <v>1454.2885000000001</v>
      </c>
      <c r="BB229" s="144">
        <v>13.814399999999999</v>
      </c>
      <c r="BC229" s="144"/>
      <c r="BD229" s="144"/>
      <c r="BE229" s="144"/>
      <c r="BF229" s="144"/>
      <c r="BG229" s="144"/>
      <c r="BH229" s="144"/>
      <c r="BI229" s="144"/>
      <c r="BJ229" s="144"/>
      <c r="BK229" s="144"/>
      <c r="BL229" s="144"/>
      <c r="BM229" s="144"/>
      <c r="BN229" s="144"/>
      <c r="BO229" s="144"/>
      <c r="BP229" s="144"/>
      <c r="BQ229" s="144"/>
      <c r="BR229" s="144"/>
      <c r="BS229" s="144"/>
      <c r="BT229" s="144"/>
      <c r="BU229" s="144"/>
      <c r="BV229" s="144"/>
      <c r="BW229" s="144"/>
      <c r="BX229" s="144"/>
      <c r="BY229" s="144"/>
      <c r="BZ229" s="144"/>
      <c r="CA229" s="144"/>
      <c r="CB229" s="265">
        <f>85.1+4</f>
        <v>89.1</v>
      </c>
      <c r="CC229" s="1">
        <f t="shared" si="567"/>
        <v>6350</v>
      </c>
      <c r="CD229"/>
      <c r="CE229"/>
    </row>
    <row r="230" spans="1:83" x14ac:dyDescent="0.25">
      <c r="A230" s="503"/>
      <c r="C230" s="210">
        <v>6386.52</v>
      </c>
      <c r="D230" s="349">
        <f t="shared" si="687"/>
        <v>181.61789999999999</v>
      </c>
      <c r="E230" s="349">
        <f t="shared" si="688"/>
        <v>1167.4524000000001</v>
      </c>
      <c r="F230" s="147">
        <f t="shared" si="559"/>
        <v>0</v>
      </c>
      <c r="G230" s="147">
        <f t="shared" si="689"/>
        <v>0</v>
      </c>
      <c r="H230" s="147">
        <f t="shared" si="560"/>
        <v>0</v>
      </c>
      <c r="I230" s="147">
        <f t="shared" si="561"/>
        <v>0</v>
      </c>
      <c r="J230" s="147">
        <f t="shared" si="562"/>
        <v>0</v>
      </c>
      <c r="K230" s="156">
        <f t="shared" si="563"/>
        <v>0</v>
      </c>
      <c r="L230" s="352">
        <f t="shared" si="690"/>
        <v>66.400000000000006</v>
      </c>
      <c r="M230" s="355">
        <f t="shared" si="691"/>
        <v>322</v>
      </c>
      <c r="N230" s="147">
        <f t="shared" si="692"/>
        <v>1982</v>
      </c>
      <c r="O230" s="147"/>
      <c r="P230" s="147">
        <f t="shared" si="693"/>
        <v>0</v>
      </c>
      <c r="Q230" s="147">
        <f t="shared" si="694"/>
        <v>0</v>
      </c>
      <c r="R230" s="147">
        <f t="shared" si="695"/>
        <v>0</v>
      </c>
      <c r="S230" s="147">
        <f t="shared" si="696"/>
        <v>0</v>
      </c>
      <c r="T230" s="147">
        <f t="shared" si="697"/>
        <v>0</v>
      </c>
      <c r="U230" s="349">
        <f>ROUNDUP(((L230+L229)*0.5)*(C230-C229)/9,0)</f>
        <v>316</v>
      </c>
      <c r="W230" s="151"/>
      <c r="X230" s="147"/>
      <c r="Y230" s="147"/>
      <c r="Z230" s="147"/>
      <c r="AA230" s="147"/>
      <c r="AB230" s="147"/>
      <c r="AC230" s="147"/>
      <c r="AD230" s="147"/>
      <c r="AE230" s="148"/>
      <c r="AG230" s="155">
        <f t="shared" si="706"/>
        <v>6386.52</v>
      </c>
      <c r="AH230" s="246">
        <v>142.2088</v>
      </c>
      <c r="AI230" s="246">
        <v>39.409100000000002</v>
      </c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246">
        <v>142.2088</v>
      </c>
      <c r="AZ230" s="246">
        <v>39.409100000000002</v>
      </c>
      <c r="BA230" s="147">
        <v>966.36749999999995</v>
      </c>
      <c r="BB230" s="147">
        <v>19.466999999999999</v>
      </c>
      <c r="BC230" s="147"/>
      <c r="BD230" s="147"/>
      <c r="BE230" s="147"/>
      <c r="BF230" s="147"/>
      <c r="BG230" s="147"/>
      <c r="BH230" s="147"/>
      <c r="BI230" s="147"/>
      <c r="BJ230" s="147"/>
      <c r="BK230" s="147"/>
      <c r="BL230" s="147"/>
      <c r="BM230" s="147"/>
      <c r="BN230" s="147"/>
      <c r="BO230" s="147"/>
      <c r="BP230" s="147"/>
      <c r="BQ230" s="147"/>
      <c r="BR230" s="147"/>
      <c r="BS230" s="147"/>
      <c r="BT230" s="147"/>
      <c r="BU230" s="147"/>
      <c r="BV230" s="147"/>
      <c r="BW230" s="147"/>
      <c r="BX230" s="147"/>
      <c r="BY230" s="147"/>
      <c r="BZ230" s="147"/>
      <c r="CA230" s="147"/>
      <c r="CB230" s="266">
        <f>62.4+4</f>
        <v>66.400000000000006</v>
      </c>
      <c r="CC230" s="1">
        <f t="shared" si="567"/>
        <v>6386.52</v>
      </c>
    </row>
    <row r="231" spans="1:83" x14ac:dyDescent="0.25">
      <c r="A231" s="503"/>
      <c r="C231" s="121">
        <v>6398.1</v>
      </c>
      <c r="D231" s="347">
        <f t="shared" si="687"/>
        <v>195.81359999999998</v>
      </c>
      <c r="E231" s="347">
        <f t="shared" si="688"/>
        <v>960.53019999999992</v>
      </c>
      <c r="F231" s="58">
        <f t="shared" si="559"/>
        <v>0</v>
      </c>
      <c r="G231" s="58">
        <f t="shared" si="689"/>
        <v>0</v>
      </c>
      <c r="H231" s="58">
        <f t="shared" si="560"/>
        <v>0</v>
      </c>
      <c r="I231" s="58">
        <f t="shared" si="561"/>
        <v>0</v>
      </c>
      <c r="J231" s="58">
        <f t="shared" si="562"/>
        <v>0</v>
      </c>
      <c r="K231" s="51">
        <f t="shared" si="563"/>
        <v>0</v>
      </c>
      <c r="L231" s="350">
        <f t="shared" si="690"/>
        <v>58.2</v>
      </c>
      <c r="M231" s="353">
        <f t="shared" si="691"/>
        <v>81</v>
      </c>
      <c r="N231" s="58">
        <f t="shared" si="692"/>
        <v>457</v>
      </c>
      <c r="O231" s="58"/>
      <c r="P231" s="58">
        <f t="shared" si="693"/>
        <v>0</v>
      </c>
      <c r="Q231" s="58">
        <f t="shared" si="694"/>
        <v>0</v>
      </c>
      <c r="R231" s="58">
        <f t="shared" si="695"/>
        <v>0</v>
      </c>
      <c r="S231" s="58">
        <f t="shared" si="696"/>
        <v>0</v>
      </c>
      <c r="T231" s="58">
        <f t="shared" si="697"/>
        <v>0</v>
      </c>
      <c r="U231" s="347">
        <f t="shared" si="698"/>
        <v>81</v>
      </c>
      <c r="W231" s="105"/>
      <c r="X231" s="58"/>
      <c r="Y231" s="58"/>
      <c r="Z231" s="58"/>
      <c r="AA231" s="58"/>
      <c r="AB231" s="58"/>
      <c r="AC231" s="58"/>
      <c r="AD231" s="58"/>
      <c r="AE231" s="138"/>
      <c r="AG231" s="57">
        <f t="shared" si="706"/>
        <v>6398.1</v>
      </c>
      <c r="AH231" s="119">
        <v>135.52529999999999</v>
      </c>
      <c r="AI231" s="119">
        <v>60.2883</v>
      </c>
      <c r="AJ231" s="58"/>
      <c r="AK231" s="58"/>
      <c r="AL231" s="58"/>
      <c r="AM231" s="58"/>
      <c r="AN231" s="58"/>
      <c r="AO231" s="58"/>
      <c r="AP231" s="58"/>
      <c r="AQ231" s="58"/>
      <c r="AR231" s="58"/>
      <c r="AS231" s="58"/>
      <c r="AT231" s="58"/>
      <c r="AU231" s="58"/>
      <c r="AV231" s="58"/>
      <c r="AW231" s="58"/>
      <c r="AX231" s="58"/>
      <c r="AY231" s="119">
        <v>135.52529999999999</v>
      </c>
      <c r="AZ231" s="119">
        <v>60.2883</v>
      </c>
      <c r="BA231" s="58">
        <v>744.24519999999995</v>
      </c>
      <c r="BB231" s="58">
        <v>20.471399999999999</v>
      </c>
      <c r="BC231" s="58"/>
      <c r="BD231" s="58"/>
      <c r="BE231" s="58"/>
      <c r="BF231" s="58"/>
      <c r="BG231" s="58"/>
      <c r="BH231" s="58"/>
      <c r="BI231" s="58"/>
      <c r="BJ231" s="58"/>
      <c r="BK231" s="58"/>
      <c r="BL231" s="58"/>
      <c r="BM231" s="58"/>
      <c r="BN231" s="58"/>
      <c r="BO231" s="58"/>
      <c r="BP231" s="58"/>
      <c r="BQ231" s="58"/>
      <c r="BR231" s="58"/>
      <c r="BS231" s="58"/>
      <c r="BT231" s="58"/>
      <c r="BU231" s="58"/>
      <c r="BV231" s="58"/>
      <c r="BW231" s="58"/>
      <c r="BX231" s="58"/>
      <c r="BY231" s="58"/>
      <c r="BZ231" s="58"/>
      <c r="CA231" s="58"/>
      <c r="CB231" s="263">
        <f>54.2+4</f>
        <v>58.2</v>
      </c>
      <c r="CC231" s="1">
        <f t="shared" si="567"/>
        <v>6398.1</v>
      </c>
    </row>
    <row r="232" spans="1:83" s="3" customFormat="1" ht="15.75" thickBot="1" x14ac:dyDescent="0.3">
      <c r="A232" s="503"/>
      <c r="C232" s="212">
        <v>6400</v>
      </c>
      <c r="D232" s="348">
        <f t="shared" ref="D232" si="732">SUM(AH232:AX232)</f>
        <v>200.50320000000002</v>
      </c>
      <c r="E232" s="348">
        <f t="shared" ref="E232" si="733">SUM(AY232:BG232)</f>
        <v>915.5326</v>
      </c>
      <c r="F232" s="144">
        <f t="shared" si="559"/>
        <v>0</v>
      </c>
      <c r="G232" s="144">
        <f t="shared" ref="G232" si="734">SUM(BL232:BN232)</f>
        <v>0</v>
      </c>
      <c r="H232" s="144">
        <f t="shared" si="560"/>
        <v>0</v>
      </c>
      <c r="I232" s="144">
        <f t="shared" si="561"/>
        <v>0</v>
      </c>
      <c r="J232" s="144">
        <f t="shared" si="562"/>
        <v>0</v>
      </c>
      <c r="K232" s="159">
        <f t="shared" si="563"/>
        <v>0</v>
      </c>
      <c r="L232" s="351">
        <f t="shared" ref="L232" si="735">SUM(BY232:CB232)</f>
        <v>56.5</v>
      </c>
      <c r="M232" s="354">
        <f t="shared" ref="M232:M233" si="736">ROUNDUP(((D231+D232)*0.5)*(C232-C231)/27,0)</f>
        <v>14</v>
      </c>
      <c r="N232" s="144">
        <f t="shared" ref="N232:N234" si="737">ROUNDUP(((E231+E232)*0.5)*(C232-C231)/27,0)</f>
        <v>67</v>
      </c>
      <c r="O232" s="144"/>
      <c r="P232" s="144">
        <f t="shared" ref="P232:P234" si="738">ROUNDUP(((G231+G232)*0.5)*(C232-C231)/27,0)</f>
        <v>0</v>
      </c>
      <c r="Q232" s="144">
        <f t="shared" ref="Q232:Q234" si="739">ROUNDUP(((H232+H231)*0.5)*(C232-C231)/27,0)</f>
        <v>0</v>
      </c>
      <c r="R232" s="144">
        <f t="shared" ref="R232:R234" si="740">ROUNDUP(((I232+I231)*0.5)*(C232-C231)/27,0)</f>
        <v>0</v>
      </c>
      <c r="S232" s="144">
        <f t="shared" ref="S232:S234" si="741">ROUNDUP(((J232+J231)*0.5)*(C232-C231)/9,0)</f>
        <v>0</v>
      </c>
      <c r="T232" s="144">
        <f t="shared" ref="T232:T234" si="742">ROUNDUP(((K232+K231)*0.5)*(C232-C231)/9,0)</f>
        <v>0</v>
      </c>
      <c r="U232" s="348">
        <f t="shared" ref="U232:U234" si="743">ROUNDUP(((L232+L231)*0.5)*(C232-C231)/9,0)</f>
        <v>13</v>
      </c>
      <c r="W232" s="255">
        <f>M230+M231+M232</f>
        <v>417</v>
      </c>
      <c r="X232" s="255">
        <f t="shared" ref="X232" si="744">N230+N231+N232</f>
        <v>2506</v>
      </c>
      <c r="Y232" s="255"/>
      <c r="Z232" s="255">
        <f t="shared" ref="Z232" si="745">P230+P231+P232</f>
        <v>0</v>
      </c>
      <c r="AA232" s="255">
        <f t="shared" ref="AA232" si="746">Q230+Q231+Q232</f>
        <v>0</v>
      </c>
      <c r="AB232" s="255">
        <f t="shared" ref="AB232" si="747">R230+R231+R232</f>
        <v>0</v>
      </c>
      <c r="AC232" s="255">
        <f t="shared" ref="AC232" si="748">S230+S231+S232</f>
        <v>0</v>
      </c>
      <c r="AD232" s="255">
        <f t="shared" ref="AD232" si="749">T230+T231+T232</f>
        <v>0</v>
      </c>
      <c r="AE232" s="255">
        <f t="shared" ref="AE232" si="750">U230+U231+U232</f>
        <v>410</v>
      </c>
      <c r="AG232" s="158">
        <f t="shared" ref="AG232" si="751">C232</f>
        <v>6400</v>
      </c>
      <c r="AH232" s="247">
        <v>144.45070000000001</v>
      </c>
      <c r="AI232" s="247">
        <v>56.052500000000002</v>
      </c>
      <c r="AJ232" s="144"/>
      <c r="AK232" s="144"/>
      <c r="AL232" s="144"/>
      <c r="AM232" s="144"/>
      <c r="AN232" s="144"/>
      <c r="AO232" s="144"/>
      <c r="AP232" s="144"/>
      <c r="AQ232" s="144"/>
      <c r="AR232" s="144"/>
      <c r="AS232" s="144"/>
      <c r="AT232" s="144"/>
      <c r="AU232" s="144"/>
      <c r="AV232" s="144"/>
      <c r="AW232" s="144"/>
      <c r="AX232" s="144"/>
      <c r="AY232" s="247">
        <v>144.45070000000001</v>
      </c>
      <c r="AZ232" s="247">
        <v>56.052500000000002</v>
      </c>
      <c r="BA232" s="144">
        <v>693.94309999999996</v>
      </c>
      <c r="BB232" s="144">
        <v>21.086300000000001</v>
      </c>
      <c r="BC232" s="144"/>
      <c r="BD232" s="144"/>
      <c r="BE232" s="144"/>
      <c r="BF232" s="144"/>
      <c r="BG232" s="144"/>
      <c r="BH232" s="144"/>
      <c r="BI232" s="144"/>
      <c r="BJ232" s="144"/>
      <c r="BK232" s="144"/>
      <c r="BL232" s="144"/>
      <c r="BM232" s="144"/>
      <c r="BN232" s="144"/>
      <c r="BO232" s="144"/>
      <c r="BP232" s="144"/>
      <c r="BQ232" s="144"/>
      <c r="BR232" s="144"/>
      <c r="BS232" s="144"/>
      <c r="BT232" s="144"/>
      <c r="BU232" s="144"/>
      <c r="BV232" s="144"/>
      <c r="BW232" s="144"/>
      <c r="BX232" s="144"/>
      <c r="BY232" s="144"/>
      <c r="BZ232" s="144"/>
      <c r="CA232" s="144"/>
      <c r="CB232" s="265">
        <f>52.5+4</f>
        <v>56.5</v>
      </c>
      <c r="CC232" s="1">
        <f t="shared" si="567"/>
        <v>6400</v>
      </c>
      <c r="CD232"/>
      <c r="CE232"/>
    </row>
    <row r="233" spans="1:83" x14ac:dyDescent="0.25">
      <c r="A233" s="503"/>
      <c r="C233" s="210">
        <v>6450</v>
      </c>
      <c r="D233" s="349">
        <f t="shared" ref="D233" si="752">SUM(AH233:AX233)</f>
        <v>1.591</v>
      </c>
      <c r="E233" s="349">
        <f t="shared" ref="E233" si="753">SUM(AY233:BG233)</f>
        <v>212.45519999999999</v>
      </c>
      <c r="F233" s="147">
        <f t="shared" si="559"/>
        <v>0</v>
      </c>
      <c r="G233" s="147">
        <f t="shared" ref="G233" si="754">SUM(BL233:BN233)</f>
        <v>0</v>
      </c>
      <c r="H233" s="147">
        <f t="shared" si="560"/>
        <v>0</v>
      </c>
      <c r="I233" s="147">
        <f t="shared" si="561"/>
        <v>0</v>
      </c>
      <c r="J233" s="147">
        <f t="shared" si="562"/>
        <v>0</v>
      </c>
      <c r="K233" s="156">
        <f t="shared" si="563"/>
        <v>0</v>
      </c>
      <c r="L233" s="352">
        <f t="shared" ref="L233" si="755">SUM(BY233:CB233)</f>
        <v>51.1</v>
      </c>
      <c r="M233" s="355">
        <f t="shared" si="736"/>
        <v>188</v>
      </c>
      <c r="N233" s="147">
        <f t="shared" si="737"/>
        <v>1045</v>
      </c>
      <c r="O233" s="147"/>
      <c r="P233" s="147">
        <f t="shared" si="738"/>
        <v>0</v>
      </c>
      <c r="Q233" s="147">
        <f t="shared" si="739"/>
        <v>0</v>
      </c>
      <c r="R233" s="147">
        <f t="shared" si="740"/>
        <v>0</v>
      </c>
      <c r="S233" s="147">
        <f t="shared" si="741"/>
        <v>0</v>
      </c>
      <c r="T233" s="147">
        <f t="shared" si="742"/>
        <v>0</v>
      </c>
      <c r="U233" s="349">
        <f t="shared" si="743"/>
        <v>299</v>
      </c>
      <c r="W233" s="151"/>
      <c r="X233" s="147"/>
      <c r="Y233" s="147"/>
      <c r="Z233" s="147"/>
      <c r="AA233" s="147"/>
      <c r="AB233" s="147"/>
      <c r="AC233" s="147"/>
      <c r="AD233" s="147"/>
      <c r="AE233" s="148"/>
      <c r="AG233" s="155">
        <f t="shared" ref="AG233" si="756">C233</f>
        <v>6450</v>
      </c>
      <c r="AH233" s="147">
        <v>1.591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>
        <v>194.34719999999999</v>
      </c>
      <c r="AZ233" s="147">
        <v>0.92810000000000004</v>
      </c>
      <c r="BA233" s="147">
        <v>17.1799</v>
      </c>
      <c r="BB233" s="147"/>
      <c r="BC233" s="147"/>
      <c r="BD233" s="147"/>
      <c r="BE233" s="147"/>
      <c r="BF233" s="147"/>
      <c r="BG233" s="147"/>
      <c r="BH233" s="147"/>
      <c r="BI233" s="147"/>
      <c r="BJ233" s="147"/>
      <c r="BK233" s="147"/>
      <c r="BL233" s="147"/>
      <c r="BM233" s="147"/>
      <c r="BN233" s="147"/>
      <c r="BO233" s="147"/>
      <c r="BP233" s="147"/>
      <c r="BQ233" s="147"/>
      <c r="BR233" s="147"/>
      <c r="BS233" s="147"/>
      <c r="BT233" s="147"/>
      <c r="BU233" s="147"/>
      <c r="BV233" s="147"/>
      <c r="BW233" s="147"/>
      <c r="BX233" s="147"/>
      <c r="BY233" s="147"/>
      <c r="BZ233" s="147"/>
      <c r="CA233" s="147"/>
      <c r="CB233" s="266">
        <f>47.1+4</f>
        <v>51.1</v>
      </c>
      <c r="CC233" s="1">
        <f t="shared" si="567"/>
        <v>6450</v>
      </c>
    </row>
    <row r="234" spans="1:83" s="62" customFormat="1" x14ac:dyDescent="0.25">
      <c r="A234" s="503"/>
      <c r="B234" s="130" t="s">
        <v>53</v>
      </c>
      <c r="C234" s="451">
        <v>6473.78</v>
      </c>
      <c r="D234" s="362">
        <f t="shared" si="687"/>
        <v>3.6048</v>
      </c>
      <c r="E234" s="362">
        <f t="shared" si="688"/>
        <v>166.7234</v>
      </c>
      <c r="F234" s="59">
        <f t="shared" si="559"/>
        <v>0</v>
      </c>
      <c r="G234" s="59">
        <f t="shared" si="689"/>
        <v>0</v>
      </c>
      <c r="H234" s="59">
        <f t="shared" si="560"/>
        <v>0</v>
      </c>
      <c r="I234" s="59">
        <f t="shared" si="561"/>
        <v>0</v>
      </c>
      <c r="J234" s="59">
        <f t="shared" si="562"/>
        <v>0</v>
      </c>
      <c r="K234" s="60">
        <f t="shared" si="563"/>
        <v>0</v>
      </c>
      <c r="L234" s="375">
        <f t="shared" si="690"/>
        <v>45.3902</v>
      </c>
      <c r="M234" s="387">
        <f>ROUNDUP(((D233+D234)*0.5)*(C234-C233)/27,0)</f>
        <v>3</v>
      </c>
      <c r="N234" s="59">
        <f t="shared" si="737"/>
        <v>167</v>
      </c>
      <c r="O234" s="59"/>
      <c r="P234" s="59">
        <f t="shared" si="738"/>
        <v>0</v>
      </c>
      <c r="Q234" s="59">
        <f t="shared" si="739"/>
        <v>0</v>
      </c>
      <c r="R234" s="59">
        <f t="shared" si="740"/>
        <v>0</v>
      </c>
      <c r="S234" s="59">
        <f t="shared" si="741"/>
        <v>0</v>
      </c>
      <c r="T234" s="59">
        <f t="shared" si="742"/>
        <v>0</v>
      </c>
      <c r="U234" s="362">
        <f t="shared" si="743"/>
        <v>128</v>
      </c>
      <c r="W234" s="106"/>
      <c r="X234" s="59"/>
      <c r="Y234" s="59"/>
      <c r="Z234" s="59"/>
      <c r="AA234" s="59"/>
      <c r="AB234" s="59"/>
      <c r="AC234" s="59"/>
      <c r="AD234" s="59"/>
      <c r="AE234" s="140"/>
      <c r="AF234" s="64" t="str">
        <f>B234</f>
        <v>back</v>
      </c>
      <c r="AG234" s="451">
        <f t="shared" si="706"/>
        <v>6473.78</v>
      </c>
      <c r="AH234" s="59">
        <v>2.9931999999999999</v>
      </c>
      <c r="AI234" s="59">
        <v>0.61160000000000003</v>
      </c>
      <c r="AJ234" s="59"/>
      <c r="AK234" s="59"/>
      <c r="AL234" s="59"/>
      <c r="AM234" s="59"/>
      <c r="AN234" s="59"/>
      <c r="AO234" s="59"/>
      <c r="AP234" s="59"/>
      <c r="AQ234" s="59"/>
      <c r="AR234" s="59"/>
      <c r="AS234" s="59"/>
      <c r="AT234" s="59"/>
      <c r="AU234" s="59"/>
      <c r="AV234" s="59"/>
      <c r="AW234" s="59"/>
      <c r="AX234" s="59"/>
      <c r="AY234" s="59">
        <v>161.5086</v>
      </c>
      <c r="AZ234" s="59">
        <v>5.2148000000000003</v>
      </c>
      <c r="BA234" s="59"/>
      <c r="BB234" s="59"/>
      <c r="BC234" s="59"/>
      <c r="BD234" s="59"/>
      <c r="BE234" s="59"/>
      <c r="BF234" s="59"/>
      <c r="BG234" s="59"/>
      <c r="BH234" s="59"/>
      <c r="BI234" s="59"/>
      <c r="BJ234" s="59"/>
      <c r="BK234" s="59"/>
      <c r="BL234" s="59"/>
      <c r="BM234" s="59"/>
      <c r="BN234" s="59"/>
      <c r="BO234" s="59"/>
      <c r="BP234" s="59"/>
      <c r="BQ234" s="59"/>
      <c r="BR234" s="59"/>
      <c r="BS234" s="59"/>
      <c r="BT234" s="59"/>
      <c r="BU234" s="59"/>
      <c r="BV234" s="59"/>
      <c r="BW234" s="59"/>
      <c r="BX234" s="59"/>
      <c r="BY234" s="59"/>
      <c r="BZ234" s="59"/>
      <c r="CA234" s="59">
        <f>41.3902+4</f>
        <v>45.3902</v>
      </c>
      <c r="CB234" s="268"/>
      <c r="CC234" s="522">
        <f t="shared" si="567"/>
        <v>6473.78</v>
      </c>
      <c r="CD234"/>
      <c r="CE234"/>
    </row>
    <row r="235" spans="1:83" s="62" customFormat="1" x14ac:dyDescent="0.25">
      <c r="A235" s="503"/>
      <c r="B235" s="130" t="s">
        <v>54</v>
      </c>
      <c r="C235" s="452"/>
      <c r="D235" s="362">
        <f t="shared" si="687"/>
        <v>639.94310000000007</v>
      </c>
      <c r="E235" s="362">
        <f t="shared" si="688"/>
        <v>167.0635</v>
      </c>
      <c r="F235" s="59">
        <f t="shared" si="559"/>
        <v>0</v>
      </c>
      <c r="G235" s="59">
        <f t="shared" si="689"/>
        <v>0</v>
      </c>
      <c r="H235" s="59">
        <f t="shared" si="560"/>
        <v>0</v>
      </c>
      <c r="I235" s="59">
        <f t="shared" si="561"/>
        <v>0</v>
      </c>
      <c r="J235" s="59">
        <f t="shared" si="562"/>
        <v>0</v>
      </c>
      <c r="K235" s="60">
        <f t="shared" si="563"/>
        <v>0</v>
      </c>
      <c r="L235" s="375">
        <f t="shared" si="690"/>
        <v>150.6919</v>
      </c>
      <c r="M235" s="387"/>
      <c r="N235" s="59"/>
      <c r="O235" s="59"/>
      <c r="P235" s="59"/>
      <c r="Q235" s="59"/>
      <c r="R235" s="59"/>
      <c r="S235" s="59"/>
      <c r="T235" s="59"/>
      <c r="U235" s="362"/>
      <c r="W235" s="106"/>
      <c r="X235" s="59"/>
      <c r="Y235" s="59"/>
      <c r="Z235" s="59"/>
      <c r="AA235" s="59"/>
      <c r="AB235" s="59"/>
      <c r="AC235" s="59"/>
      <c r="AD235" s="59"/>
      <c r="AE235" s="140"/>
      <c r="AF235" s="64" t="str">
        <f>B235</f>
        <v>ahead</v>
      </c>
      <c r="AG235" s="452"/>
      <c r="AH235" s="59">
        <v>2.9931999999999999</v>
      </c>
      <c r="AI235" s="59">
        <v>0.61160000000000003</v>
      </c>
      <c r="AJ235" s="59">
        <v>0.75560000000000005</v>
      </c>
      <c r="AK235" s="59">
        <v>635.58270000000005</v>
      </c>
      <c r="AL235" s="59"/>
      <c r="AM235" s="59"/>
      <c r="AN235" s="59"/>
      <c r="AO235" s="59"/>
      <c r="AP235" s="59"/>
      <c r="AQ235" s="59"/>
      <c r="AR235" s="59"/>
      <c r="AS235" s="59"/>
      <c r="AT235" s="59"/>
      <c r="AU235" s="59"/>
      <c r="AV235" s="59"/>
      <c r="AW235" s="59"/>
      <c r="AX235" s="59"/>
      <c r="AY235" s="59">
        <v>161.5086</v>
      </c>
      <c r="AZ235" s="59">
        <v>0.34010000000000001</v>
      </c>
      <c r="BA235" s="59">
        <v>5.2148000000000003</v>
      </c>
      <c r="BB235" s="59"/>
      <c r="BC235" s="59"/>
      <c r="BD235" s="59"/>
      <c r="BE235" s="59"/>
      <c r="BF235" s="59"/>
      <c r="BG235" s="59"/>
      <c r="BH235" s="59"/>
      <c r="BI235" s="59"/>
      <c r="BJ235" s="59"/>
      <c r="BK235" s="59"/>
      <c r="BL235" s="59"/>
      <c r="BM235" s="59"/>
      <c r="BN235" s="59"/>
      <c r="BO235" s="59"/>
      <c r="BP235" s="59"/>
      <c r="BQ235" s="59"/>
      <c r="BR235" s="59"/>
      <c r="BS235" s="59"/>
      <c r="BT235" s="59"/>
      <c r="BU235" s="59"/>
      <c r="BV235" s="59"/>
      <c r="BW235" s="59"/>
      <c r="BX235" s="59"/>
      <c r="BY235" s="59"/>
      <c r="BZ235" s="59"/>
      <c r="CA235" s="59">
        <f>41.3902+4</f>
        <v>45.3902</v>
      </c>
      <c r="CB235" s="268">
        <v>105.3017</v>
      </c>
      <c r="CC235" s="522"/>
      <c r="CD235"/>
      <c r="CE235"/>
    </row>
    <row r="236" spans="1:83" s="3" customFormat="1" ht="15.75" thickBot="1" x14ac:dyDescent="0.3">
      <c r="A236" s="503"/>
      <c r="C236" s="212">
        <v>6500</v>
      </c>
      <c r="D236" s="348">
        <f t="shared" si="687"/>
        <v>1021.2203</v>
      </c>
      <c r="E236" s="348">
        <f t="shared" si="688"/>
        <v>72.560599999999994</v>
      </c>
      <c r="F236" s="144">
        <f t="shared" si="559"/>
        <v>0</v>
      </c>
      <c r="G236" s="144">
        <f t="shared" si="689"/>
        <v>0</v>
      </c>
      <c r="H236" s="144">
        <f t="shared" si="560"/>
        <v>0</v>
      </c>
      <c r="I236" s="144">
        <f t="shared" si="561"/>
        <v>0</v>
      </c>
      <c r="J236" s="144">
        <f t="shared" si="562"/>
        <v>0</v>
      </c>
      <c r="K236" s="159">
        <f t="shared" si="563"/>
        <v>0</v>
      </c>
      <c r="L236" s="351">
        <f t="shared" si="690"/>
        <v>173</v>
      </c>
      <c r="M236" s="354">
        <f>ROUNDUP(((D235+D236)*0.5)*(C236-C234)/27,0)</f>
        <v>807</v>
      </c>
      <c r="N236" s="144">
        <f>ROUNDUP(((E235+E236)*0.5)*(C236-C234)/27,0)</f>
        <v>117</v>
      </c>
      <c r="O236" s="144"/>
      <c r="P236" s="144">
        <f>ROUNDUP(((G235+G236)*0.5)*(C236-C234)/27,0)</f>
        <v>0</v>
      </c>
      <c r="Q236" s="144">
        <f>ROUNDUP(((H236+H235)*0.5)*(C236-C234)/27,0)</f>
        <v>0</v>
      </c>
      <c r="R236" s="144">
        <f>ROUNDUP(((I236+I235)*0.5)*(C236-C234)/27,0)</f>
        <v>0</v>
      </c>
      <c r="S236" s="144">
        <f>ROUNDUP(((J236+J235)*0.5)*(C236-C234)/9,0)</f>
        <v>0</v>
      </c>
      <c r="T236" s="144">
        <f>ROUNDUP(((K236+K235)*0.5)*(C236-C234)/9,0)</f>
        <v>0</v>
      </c>
      <c r="U236" s="348">
        <f>ROUNDUP(((L236+L235)*0.5)*(C236-C234)/9,0)</f>
        <v>472</v>
      </c>
      <c r="W236" s="255">
        <f>M233+M234+M235+M236</f>
        <v>998</v>
      </c>
      <c r="X236" s="255">
        <f>N233+N234+N235+N236</f>
        <v>1329</v>
      </c>
      <c r="Y236" s="255"/>
      <c r="Z236" s="255">
        <f t="shared" ref="Z236" si="757">P233+P234+P235+P236</f>
        <v>0</v>
      </c>
      <c r="AA236" s="255">
        <f t="shared" ref="AA236" si="758">Q233+Q234+Q235+Q236</f>
        <v>0</v>
      </c>
      <c r="AB236" s="255">
        <f t="shared" ref="AB236" si="759">R233+R234+R235+R236</f>
        <v>0</v>
      </c>
      <c r="AC236" s="255">
        <f t="shared" ref="AC236" si="760">S233+S234+S235+S236</f>
        <v>0</v>
      </c>
      <c r="AD236" s="255">
        <f t="shared" ref="AD236" si="761">T233+T234+T235+T236</f>
        <v>0</v>
      </c>
      <c r="AE236" s="255">
        <f t="shared" ref="AE236" si="762">U233+U234+U235+U236</f>
        <v>899</v>
      </c>
      <c r="AG236" s="158">
        <f t="shared" si="706"/>
        <v>6500</v>
      </c>
      <c r="AH236" s="144">
        <v>1.1955</v>
      </c>
      <c r="AI236" s="144">
        <v>0.35730000000000001</v>
      </c>
      <c r="AJ236" s="144">
        <v>5.5781999999999998</v>
      </c>
      <c r="AK236" s="144">
        <v>1014.0893</v>
      </c>
      <c r="AL236" s="144"/>
      <c r="AM236" s="144"/>
      <c r="AN236" s="144"/>
      <c r="AO236" s="144"/>
      <c r="AP236" s="144"/>
      <c r="AQ236" s="144"/>
      <c r="AR236" s="144"/>
      <c r="AS236" s="144"/>
      <c r="AT236" s="144"/>
      <c r="AU236" s="144"/>
      <c r="AV236" s="144"/>
      <c r="AW236" s="144"/>
      <c r="AX236" s="144"/>
      <c r="AY236" s="144">
        <v>70.184899999999999</v>
      </c>
      <c r="AZ236" s="144">
        <v>2.3757000000000001</v>
      </c>
      <c r="BA236" s="144"/>
      <c r="BB236" s="144"/>
      <c r="BC236" s="144"/>
      <c r="BD236" s="144"/>
      <c r="BE236" s="144"/>
      <c r="BF236" s="144"/>
      <c r="BG236" s="144"/>
      <c r="BH236" s="144"/>
      <c r="BI236" s="144"/>
      <c r="BJ236" s="144"/>
      <c r="BK236" s="144"/>
      <c r="BL236" s="144"/>
      <c r="BM236" s="144"/>
      <c r="BN236" s="144"/>
      <c r="BO236" s="144"/>
      <c r="BP236" s="144"/>
      <c r="BQ236" s="144"/>
      <c r="BR236" s="144"/>
      <c r="BS236" s="144"/>
      <c r="BT236" s="144"/>
      <c r="BU236" s="144"/>
      <c r="BV236" s="144"/>
      <c r="BW236" s="144"/>
      <c r="BX236" s="144"/>
      <c r="BY236" s="144"/>
      <c r="BZ236" s="144"/>
      <c r="CA236" s="144"/>
      <c r="CB236" s="265">
        <f>169+4</f>
        <v>173</v>
      </c>
      <c r="CC236" s="1">
        <f t="shared" si="567"/>
        <v>6500</v>
      </c>
      <c r="CD236"/>
      <c r="CE236"/>
    </row>
    <row r="237" spans="1:83" x14ac:dyDescent="0.25">
      <c r="A237" s="503"/>
      <c r="C237" s="210">
        <v>6550</v>
      </c>
      <c r="D237" s="349">
        <f t="shared" si="687"/>
        <v>1693.7375000000002</v>
      </c>
      <c r="E237" s="349">
        <f>SUM(AY237:BG237)</f>
        <v>51.701099999999997</v>
      </c>
      <c r="F237" s="147">
        <f t="shared" si="559"/>
        <v>0</v>
      </c>
      <c r="G237" s="147">
        <f t="shared" si="689"/>
        <v>0</v>
      </c>
      <c r="H237" s="147">
        <f t="shared" si="560"/>
        <v>0</v>
      </c>
      <c r="I237" s="147">
        <f t="shared" si="561"/>
        <v>0</v>
      </c>
      <c r="J237" s="147">
        <f t="shared" si="562"/>
        <v>0</v>
      </c>
      <c r="K237" s="156">
        <f t="shared" si="563"/>
        <v>0</v>
      </c>
      <c r="L237" s="352">
        <f t="shared" si="690"/>
        <v>205</v>
      </c>
      <c r="M237" s="355">
        <f t="shared" si="691"/>
        <v>2514</v>
      </c>
      <c r="N237" s="147">
        <f t="shared" si="692"/>
        <v>116</v>
      </c>
      <c r="O237" s="147"/>
      <c r="P237" s="147">
        <f t="shared" si="693"/>
        <v>0</v>
      </c>
      <c r="Q237" s="147">
        <f t="shared" si="694"/>
        <v>0</v>
      </c>
      <c r="R237" s="147">
        <f t="shared" si="695"/>
        <v>0</v>
      </c>
      <c r="S237" s="147">
        <f t="shared" si="696"/>
        <v>0</v>
      </c>
      <c r="T237" s="147">
        <f t="shared" si="697"/>
        <v>0</v>
      </c>
      <c r="U237" s="349">
        <f t="shared" si="698"/>
        <v>1050</v>
      </c>
      <c r="W237" s="151"/>
      <c r="X237" s="147"/>
      <c r="Y237" s="147"/>
      <c r="Z237" s="147"/>
      <c r="AA237" s="147"/>
      <c r="AB237" s="147"/>
      <c r="AC237" s="147"/>
      <c r="AD237" s="147"/>
      <c r="AE237" s="148"/>
      <c r="AG237" s="155">
        <f t="shared" si="706"/>
        <v>6550</v>
      </c>
      <c r="AH237" s="147">
        <v>3.6836000000000002</v>
      </c>
      <c r="AI237" s="147">
        <v>1.4829000000000001</v>
      </c>
      <c r="AJ237" s="147">
        <v>0.48630000000000001</v>
      </c>
      <c r="AK237" s="147">
        <v>1688.0847000000001</v>
      </c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>
        <v>47.194299999999998</v>
      </c>
      <c r="AZ237" s="147">
        <v>0.4073</v>
      </c>
      <c r="BA237" s="147">
        <v>2.6551</v>
      </c>
      <c r="BB237" s="147">
        <v>1.4443999999999999</v>
      </c>
      <c r="BC237" s="147"/>
      <c r="BD237" s="147"/>
      <c r="BE237" s="147"/>
      <c r="BF237" s="147"/>
      <c r="BG237" s="147"/>
      <c r="BH237" s="147"/>
      <c r="BI237" s="147"/>
      <c r="BJ237" s="147"/>
      <c r="BK237" s="147"/>
      <c r="BL237" s="147"/>
      <c r="BM237" s="147"/>
      <c r="BN237" s="147"/>
      <c r="BO237" s="147"/>
      <c r="BP237" s="147"/>
      <c r="BQ237" s="147"/>
      <c r="BR237" s="147"/>
      <c r="BS237" s="147"/>
      <c r="BT237" s="147"/>
      <c r="BU237" s="147"/>
      <c r="BV237" s="147"/>
      <c r="BW237" s="147"/>
      <c r="BX237" s="147"/>
      <c r="BY237" s="147"/>
      <c r="BZ237" s="147"/>
      <c r="CA237" s="147"/>
      <c r="CB237" s="266">
        <f>201+4</f>
        <v>205</v>
      </c>
      <c r="CC237" s="1">
        <f t="shared" si="567"/>
        <v>6550</v>
      </c>
    </row>
    <row r="238" spans="1:83" x14ac:dyDescent="0.25">
      <c r="A238" s="503"/>
      <c r="C238" s="121">
        <v>6600</v>
      </c>
      <c r="D238" s="347">
        <f t="shared" si="687"/>
        <v>3594.2401999999997</v>
      </c>
      <c r="E238" s="347">
        <f t="shared" si="688"/>
        <v>5.8920999999999992</v>
      </c>
      <c r="F238" s="58">
        <f t="shared" si="559"/>
        <v>0</v>
      </c>
      <c r="G238" s="58">
        <f t="shared" si="689"/>
        <v>0</v>
      </c>
      <c r="H238" s="58">
        <f t="shared" si="560"/>
        <v>0</v>
      </c>
      <c r="I238" s="58">
        <f t="shared" si="561"/>
        <v>0</v>
      </c>
      <c r="J238" s="58">
        <f t="shared" si="562"/>
        <v>0</v>
      </c>
      <c r="K238" s="51">
        <f t="shared" si="563"/>
        <v>0</v>
      </c>
      <c r="L238" s="350">
        <f t="shared" si="690"/>
        <v>247.2</v>
      </c>
      <c r="M238" s="353">
        <f t="shared" si="691"/>
        <v>4897</v>
      </c>
      <c r="N238" s="58">
        <f t="shared" si="692"/>
        <v>54</v>
      </c>
      <c r="O238" s="58"/>
      <c r="P238" s="58">
        <f t="shared" si="693"/>
        <v>0</v>
      </c>
      <c r="Q238" s="58">
        <f t="shared" si="694"/>
        <v>0</v>
      </c>
      <c r="R238" s="58">
        <f t="shared" si="695"/>
        <v>0</v>
      </c>
      <c r="S238" s="58">
        <f t="shared" si="696"/>
        <v>0</v>
      </c>
      <c r="T238" s="58">
        <f t="shared" si="697"/>
        <v>0</v>
      </c>
      <c r="U238" s="347">
        <f t="shared" si="698"/>
        <v>1257</v>
      </c>
      <c r="W238" s="105"/>
      <c r="X238" s="58"/>
      <c r="Y238" s="58"/>
      <c r="Z238" s="58"/>
      <c r="AA238" s="58"/>
      <c r="AB238" s="58"/>
      <c r="AC238" s="58"/>
      <c r="AD238" s="58"/>
      <c r="AE238" s="138"/>
      <c r="AG238" s="57">
        <f t="shared" si="706"/>
        <v>6600</v>
      </c>
      <c r="AH238" s="58">
        <v>28.381599999999999</v>
      </c>
      <c r="AI238" s="58">
        <v>3.1615000000000002</v>
      </c>
      <c r="AJ238" s="58">
        <v>3.5625</v>
      </c>
      <c r="AK238" s="58">
        <v>3559.1345999999999</v>
      </c>
      <c r="AL238" s="58"/>
      <c r="AM238" s="58"/>
      <c r="AN238" s="58"/>
      <c r="AO238" s="58"/>
      <c r="AP238" s="58"/>
      <c r="AQ238" s="58"/>
      <c r="AR238" s="58"/>
      <c r="AS238" s="58"/>
      <c r="AT238" s="58"/>
      <c r="AU238" s="58"/>
      <c r="AV238" s="58"/>
      <c r="AW238" s="58"/>
      <c r="AX238" s="58"/>
      <c r="AY238" s="58">
        <v>5.7619999999999996</v>
      </c>
      <c r="AZ238" s="58">
        <v>0.13009999999999999</v>
      </c>
      <c r="BA238" s="58"/>
      <c r="BB238" s="58"/>
      <c r="BC238" s="58"/>
      <c r="BD238" s="58"/>
      <c r="BE238" s="58"/>
      <c r="BF238" s="58"/>
      <c r="BG238" s="58"/>
      <c r="BH238" s="58"/>
      <c r="BI238" s="58"/>
      <c r="BJ238" s="58"/>
      <c r="BK238" s="58"/>
      <c r="BL238" s="58"/>
      <c r="BM238" s="58"/>
      <c r="BN238" s="58"/>
      <c r="BO238" s="58"/>
      <c r="BP238" s="58"/>
      <c r="BQ238" s="58"/>
      <c r="BR238" s="58"/>
      <c r="BS238" s="58"/>
      <c r="BT238" s="58"/>
      <c r="BU238" s="58"/>
      <c r="BV238" s="58"/>
      <c r="BW238" s="58"/>
      <c r="BX238" s="58"/>
      <c r="BY238" s="58"/>
      <c r="BZ238" s="58"/>
      <c r="CA238" s="58"/>
      <c r="CB238" s="263">
        <f>243.2+4</f>
        <v>247.2</v>
      </c>
      <c r="CC238" s="1">
        <f t="shared" si="567"/>
        <v>6600</v>
      </c>
    </row>
    <row r="239" spans="1:83" s="3" customFormat="1" ht="15.75" thickBot="1" x14ac:dyDescent="0.3">
      <c r="A239" s="503"/>
      <c r="C239" s="212">
        <v>6650</v>
      </c>
      <c r="D239" s="348">
        <f t="shared" si="687"/>
        <v>5831.991</v>
      </c>
      <c r="E239" s="348">
        <f t="shared" si="688"/>
        <v>0</v>
      </c>
      <c r="F239" s="144">
        <f t="shared" si="559"/>
        <v>0</v>
      </c>
      <c r="G239" s="144">
        <f t="shared" si="689"/>
        <v>0</v>
      </c>
      <c r="H239" s="144">
        <f t="shared" si="560"/>
        <v>0</v>
      </c>
      <c r="I239" s="144">
        <f t="shared" si="561"/>
        <v>0</v>
      </c>
      <c r="J239" s="144">
        <f t="shared" si="562"/>
        <v>0</v>
      </c>
      <c r="K239" s="159">
        <f t="shared" si="563"/>
        <v>0</v>
      </c>
      <c r="L239" s="351">
        <f t="shared" si="690"/>
        <v>301.60000000000002</v>
      </c>
      <c r="M239" s="354">
        <f t="shared" si="691"/>
        <v>8728</v>
      </c>
      <c r="N239" s="144">
        <f t="shared" si="692"/>
        <v>6</v>
      </c>
      <c r="O239" s="144"/>
      <c r="P239" s="144">
        <f t="shared" si="693"/>
        <v>0</v>
      </c>
      <c r="Q239" s="144">
        <f t="shared" si="694"/>
        <v>0</v>
      </c>
      <c r="R239" s="144">
        <f t="shared" si="695"/>
        <v>0</v>
      </c>
      <c r="S239" s="144">
        <f t="shared" si="696"/>
        <v>0</v>
      </c>
      <c r="T239" s="144">
        <f t="shared" si="697"/>
        <v>0</v>
      </c>
      <c r="U239" s="348">
        <f t="shared" si="698"/>
        <v>1525</v>
      </c>
      <c r="W239" s="255">
        <f>M237+M238+M239</f>
        <v>16139</v>
      </c>
      <c r="X239" s="255">
        <f t="shared" ref="X239" si="763">N237+N238+N239</f>
        <v>176</v>
      </c>
      <c r="Y239" s="255"/>
      <c r="Z239" s="255">
        <f t="shared" ref="Z239" si="764">P237+P238+P239</f>
        <v>0</v>
      </c>
      <c r="AA239" s="255">
        <f t="shared" ref="AA239" si="765">Q237+Q238+Q239</f>
        <v>0</v>
      </c>
      <c r="AB239" s="255">
        <f t="shared" ref="AB239" si="766">R237+R238+R239</f>
        <v>0</v>
      </c>
      <c r="AC239" s="255">
        <f t="shared" ref="AC239" si="767">S237+S238+S239</f>
        <v>0</v>
      </c>
      <c r="AD239" s="255">
        <f t="shared" ref="AD239" si="768">T237+T238+T239</f>
        <v>0</v>
      </c>
      <c r="AE239" s="255">
        <f t="shared" ref="AE239" si="769">U237+U238+U239</f>
        <v>3832</v>
      </c>
      <c r="AG239" s="158">
        <f t="shared" si="706"/>
        <v>6650</v>
      </c>
      <c r="AH239" s="144">
        <v>18.901</v>
      </c>
      <c r="AI239" s="144">
        <v>17.145399999999999</v>
      </c>
      <c r="AJ239" s="144">
        <v>14.014200000000001</v>
      </c>
      <c r="AK239" s="144">
        <v>5781.9304000000002</v>
      </c>
      <c r="AL239" s="144"/>
      <c r="AM239" s="144"/>
      <c r="AN239" s="144"/>
      <c r="AO239" s="144"/>
      <c r="AP239" s="144"/>
      <c r="AQ239" s="144"/>
      <c r="AR239" s="144"/>
      <c r="AS239" s="144"/>
      <c r="AT239" s="144"/>
      <c r="AU239" s="144"/>
      <c r="AV239" s="144"/>
      <c r="AW239" s="144"/>
      <c r="AX239" s="144"/>
      <c r="AY239" s="144"/>
      <c r="AZ239" s="144"/>
      <c r="BA239" s="144"/>
      <c r="BB239" s="144"/>
      <c r="BC239" s="144"/>
      <c r="BD239" s="144"/>
      <c r="BE239" s="144"/>
      <c r="BF239" s="144"/>
      <c r="BG239" s="144"/>
      <c r="BH239" s="144"/>
      <c r="BI239" s="144"/>
      <c r="BJ239" s="144"/>
      <c r="BK239" s="144"/>
      <c r="BL239" s="144"/>
      <c r="BM239" s="144"/>
      <c r="BN239" s="144"/>
      <c r="BO239" s="144"/>
      <c r="BP239" s="144"/>
      <c r="BQ239" s="144"/>
      <c r="BR239" s="144"/>
      <c r="BS239" s="144"/>
      <c r="BT239" s="144"/>
      <c r="BU239" s="144"/>
      <c r="BV239" s="144"/>
      <c r="BW239" s="144"/>
      <c r="BX239" s="144"/>
      <c r="BY239" s="144"/>
      <c r="BZ239" s="144"/>
      <c r="CA239" s="144"/>
      <c r="CB239" s="265">
        <f>297.6+4</f>
        <v>301.60000000000002</v>
      </c>
      <c r="CC239" s="1">
        <f t="shared" si="567"/>
        <v>6650</v>
      </c>
      <c r="CD239"/>
      <c r="CE239"/>
    </row>
    <row r="240" spans="1:83" x14ac:dyDescent="0.25">
      <c r="A240" s="503"/>
      <c r="C240" s="210">
        <v>6700</v>
      </c>
      <c r="D240" s="349">
        <f t="shared" si="687"/>
        <v>7098.4088000000002</v>
      </c>
      <c r="E240" s="349">
        <f t="shared" si="688"/>
        <v>0</v>
      </c>
      <c r="F240" s="147">
        <f t="shared" si="559"/>
        <v>0</v>
      </c>
      <c r="G240" s="147">
        <f t="shared" si="689"/>
        <v>0</v>
      </c>
      <c r="H240" s="147">
        <f t="shared" si="560"/>
        <v>0</v>
      </c>
      <c r="I240" s="147">
        <f t="shared" si="561"/>
        <v>0</v>
      </c>
      <c r="J240" s="147">
        <f t="shared" si="562"/>
        <v>0</v>
      </c>
      <c r="K240" s="156">
        <f t="shared" si="563"/>
        <v>0</v>
      </c>
      <c r="L240" s="352">
        <f t="shared" si="690"/>
        <v>345.8</v>
      </c>
      <c r="M240" s="355">
        <f t="shared" si="691"/>
        <v>11973</v>
      </c>
      <c r="N240" s="147">
        <f t="shared" si="692"/>
        <v>0</v>
      </c>
      <c r="O240" s="147"/>
      <c r="P240" s="147">
        <f t="shared" si="693"/>
        <v>0</v>
      </c>
      <c r="Q240" s="147">
        <f t="shared" si="694"/>
        <v>0</v>
      </c>
      <c r="R240" s="147">
        <f t="shared" si="695"/>
        <v>0</v>
      </c>
      <c r="S240" s="147">
        <f t="shared" si="696"/>
        <v>0</v>
      </c>
      <c r="T240" s="147">
        <f t="shared" si="697"/>
        <v>0</v>
      </c>
      <c r="U240" s="349">
        <f t="shared" si="698"/>
        <v>1799</v>
      </c>
      <c r="W240" s="151"/>
      <c r="X240" s="147"/>
      <c r="Y240" s="147"/>
      <c r="Z240" s="147"/>
      <c r="AA240" s="147"/>
      <c r="AB240" s="147"/>
      <c r="AC240" s="147"/>
      <c r="AD240" s="147"/>
      <c r="AE240" s="148"/>
      <c r="AG240" s="155">
        <f t="shared" si="706"/>
        <v>6700</v>
      </c>
      <c r="AH240" s="147">
        <v>52.546300000000002</v>
      </c>
      <c r="AI240" s="147">
        <v>1.0952999999999999</v>
      </c>
      <c r="AJ240" s="147">
        <v>0.1444</v>
      </c>
      <c r="AK240" s="147">
        <v>2.9689000000000001</v>
      </c>
      <c r="AL240" s="147">
        <v>7041.6539000000002</v>
      </c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  <c r="BI240" s="147"/>
      <c r="BJ240" s="147"/>
      <c r="BK240" s="147"/>
      <c r="BL240" s="147"/>
      <c r="BM240" s="147"/>
      <c r="BN240" s="147"/>
      <c r="BO240" s="147"/>
      <c r="BP240" s="147"/>
      <c r="BQ240" s="147"/>
      <c r="BR240" s="147"/>
      <c r="BS240" s="147"/>
      <c r="BT240" s="147"/>
      <c r="BU240" s="147"/>
      <c r="BV240" s="147"/>
      <c r="BW240" s="147"/>
      <c r="BX240" s="147"/>
      <c r="BY240" s="147"/>
      <c r="BZ240" s="147"/>
      <c r="CA240" s="147"/>
      <c r="CB240" s="266">
        <f>341.8+4</f>
        <v>345.8</v>
      </c>
      <c r="CC240" s="1">
        <f t="shared" si="567"/>
        <v>6700</v>
      </c>
    </row>
    <row r="241" spans="1:83" x14ac:dyDescent="0.25">
      <c r="A241" s="503"/>
      <c r="C241" s="121">
        <v>6750</v>
      </c>
      <c r="D241" s="347">
        <f t="shared" si="687"/>
        <v>6987.3208999999997</v>
      </c>
      <c r="E241" s="347">
        <f t="shared" si="688"/>
        <v>7.5201000000000002</v>
      </c>
      <c r="F241" s="58">
        <f t="shared" si="559"/>
        <v>0</v>
      </c>
      <c r="G241" s="58">
        <f t="shared" si="689"/>
        <v>0</v>
      </c>
      <c r="H241" s="58">
        <f t="shared" si="560"/>
        <v>0</v>
      </c>
      <c r="I241" s="58">
        <f t="shared" si="561"/>
        <v>0</v>
      </c>
      <c r="J241" s="58">
        <f t="shared" si="562"/>
        <v>0</v>
      </c>
      <c r="K241" s="51">
        <f t="shared" si="563"/>
        <v>0</v>
      </c>
      <c r="L241" s="350">
        <f t="shared" si="690"/>
        <v>390.4</v>
      </c>
      <c r="M241" s="353">
        <f t="shared" si="691"/>
        <v>13043</v>
      </c>
      <c r="N241" s="58">
        <f t="shared" si="692"/>
        <v>7</v>
      </c>
      <c r="O241" s="58"/>
      <c r="P241" s="58">
        <f t="shared" si="693"/>
        <v>0</v>
      </c>
      <c r="Q241" s="58">
        <f t="shared" si="694"/>
        <v>0</v>
      </c>
      <c r="R241" s="58">
        <f t="shared" si="695"/>
        <v>0</v>
      </c>
      <c r="S241" s="58">
        <f t="shared" si="696"/>
        <v>0</v>
      </c>
      <c r="T241" s="58">
        <f t="shared" si="697"/>
        <v>0</v>
      </c>
      <c r="U241" s="347">
        <f t="shared" si="698"/>
        <v>2045</v>
      </c>
      <c r="W241" s="105"/>
      <c r="X241" s="58"/>
      <c r="Y241" s="58"/>
      <c r="Z241" s="58"/>
      <c r="AA241" s="58"/>
      <c r="AB241" s="58"/>
      <c r="AC241" s="58"/>
      <c r="AD241" s="58"/>
      <c r="AE241" s="138"/>
      <c r="AG241" s="57">
        <f t="shared" si="706"/>
        <v>6750</v>
      </c>
      <c r="AH241" s="58">
        <v>10.8728</v>
      </c>
      <c r="AI241" s="58">
        <v>5.6313000000000004</v>
      </c>
      <c r="AJ241" s="58">
        <v>1.2425999999999999</v>
      </c>
      <c r="AK241" s="58">
        <v>1.9360999999999999</v>
      </c>
      <c r="AL241" s="58">
        <v>6967.6381000000001</v>
      </c>
      <c r="AM241" s="58"/>
      <c r="AN241" s="58"/>
      <c r="AO241" s="58"/>
      <c r="AP241" s="58"/>
      <c r="AQ241" s="58"/>
      <c r="AR241" s="58"/>
      <c r="AS241" s="58"/>
      <c r="AT241" s="58"/>
      <c r="AU241" s="58"/>
      <c r="AV241" s="58"/>
      <c r="AW241" s="58"/>
      <c r="AX241" s="58"/>
      <c r="AY241" s="58">
        <v>1.6960999999999999</v>
      </c>
      <c r="AZ241" s="58">
        <v>0.86829999999999996</v>
      </c>
      <c r="BA241" s="58">
        <v>0.5161</v>
      </c>
      <c r="BB241" s="58">
        <v>4.4396000000000004</v>
      </c>
      <c r="BC241" s="58"/>
      <c r="BD241" s="58"/>
      <c r="BE241" s="58"/>
      <c r="BF241" s="58"/>
      <c r="BG241" s="58"/>
      <c r="BH241" s="58"/>
      <c r="BI241" s="58"/>
      <c r="BJ241" s="58"/>
      <c r="BK241" s="58"/>
      <c r="BL241" s="58"/>
      <c r="BM241" s="58"/>
      <c r="BN241" s="58"/>
      <c r="BO241" s="58"/>
      <c r="BP241" s="58"/>
      <c r="BQ241" s="58"/>
      <c r="BR241" s="58"/>
      <c r="BS241" s="58"/>
      <c r="BT241" s="58"/>
      <c r="BU241" s="58"/>
      <c r="BV241" s="58"/>
      <c r="BW241" s="58"/>
      <c r="BX241" s="58"/>
      <c r="BY241" s="58"/>
      <c r="BZ241" s="58"/>
      <c r="CA241" s="58"/>
      <c r="CB241" s="263">
        <f>386.4+4</f>
        <v>390.4</v>
      </c>
      <c r="CC241" s="1">
        <f t="shared" si="567"/>
        <v>6750</v>
      </c>
    </row>
    <row r="242" spans="1:83" s="3" customFormat="1" ht="15.75" thickBot="1" x14ac:dyDescent="0.3">
      <c r="A242" s="503"/>
      <c r="C242" s="212">
        <v>6800</v>
      </c>
      <c r="D242" s="348">
        <f t="shared" si="687"/>
        <v>6907.6439</v>
      </c>
      <c r="E242" s="348">
        <f t="shared" si="688"/>
        <v>8.5502000000000002</v>
      </c>
      <c r="F242" s="144">
        <f t="shared" si="559"/>
        <v>0</v>
      </c>
      <c r="G242" s="144">
        <f t="shared" si="689"/>
        <v>0</v>
      </c>
      <c r="H242" s="144">
        <f t="shared" si="560"/>
        <v>0</v>
      </c>
      <c r="I242" s="144">
        <f t="shared" si="561"/>
        <v>0</v>
      </c>
      <c r="J242" s="144">
        <f t="shared" si="562"/>
        <v>0</v>
      </c>
      <c r="K242" s="159">
        <f t="shared" si="563"/>
        <v>0</v>
      </c>
      <c r="L242" s="351">
        <f t="shared" si="690"/>
        <v>446.2</v>
      </c>
      <c r="M242" s="354">
        <f t="shared" si="691"/>
        <v>12866</v>
      </c>
      <c r="N242" s="144">
        <f t="shared" si="692"/>
        <v>15</v>
      </c>
      <c r="O242" s="144"/>
      <c r="P242" s="144">
        <f t="shared" si="693"/>
        <v>0</v>
      </c>
      <c r="Q242" s="144">
        <f t="shared" si="694"/>
        <v>0</v>
      </c>
      <c r="R242" s="144">
        <f t="shared" si="695"/>
        <v>0</v>
      </c>
      <c r="S242" s="144">
        <f t="shared" si="696"/>
        <v>0</v>
      </c>
      <c r="T242" s="144">
        <f t="shared" si="697"/>
        <v>0</v>
      </c>
      <c r="U242" s="348">
        <f t="shared" si="698"/>
        <v>2324</v>
      </c>
      <c r="W242" s="255">
        <f>M240+M241+M242</f>
        <v>37882</v>
      </c>
      <c r="X242" s="255">
        <f t="shared" ref="X242" si="770">N240+N241+N242</f>
        <v>22</v>
      </c>
      <c r="Y242" s="255"/>
      <c r="Z242" s="255">
        <f t="shared" ref="Z242" si="771">P240+P241+P242</f>
        <v>0</v>
      </c>
      <c r="AA242" s="255">
        <f t="shared" ref="AA242" si="772">Q240+Q241+Q242</f>
        <v>0</v>
      </c>
      <c r="AB242" s="255">
        <f t="shared" ref="AB242" si="773">R240+R241+R242</f>
        <v>0</v>
      </c>
      <c r="AC242" s="255">
        <f t="shared" ref="AC242" si="774">S240+S241+S242</f>
        <v>0</v>
      </c>
      <c r="AD242" s="255">
        <f t="shared" ref="AD242" si="775">T240+T241+T242</f>
        <v>0</v>
      </c>
      <c r="AE242" s="255">
        <f t="shared" ref="AE242" si="776">U240+U241+U242</f>
        <v>6168</v>
      </c>
      <c r="AG242" s="158">
        <f t="shared" si="706"/>
        <v>6800</v>
      </c>
      <c r="AH242" s="144">
        <v>22.814800000000002</v>
      </c>
      <c r="AI242" s="144">
        <v>2.3633999999999999</v>
      </c>
      <c r="AJ242" s="144">
        <v>0.47339999999999999</v>
      </c>
      <c r="AK242" s="144">
        <v>6881.9922999999999</v>
      </c>
      <c r="AL242" s="144"/>
      <c r="AM242" s="144"/>
      <c r="AN242" s="144"/>
      <c r="AO242" s="144"/>
      <c r="AP242" s="144"/>
      <c r="AQ242" s="144"/>
      <c r="AR242" s="144"/>
      <c r="AS242" s="144"/>
      <c r="AT242" s="144"/>
      <c r="AU242" s="144"/>
      <c r="AV242" s="144"/>
      <c r="AW242" s="144"/>
      <c r="AX242" s="144"/>
      <c r="AY242" s="144">
        <v>2.1156000000000001</v>
      </c>
      <c r="AZ242" s="144">
        <v>1.7644</v>
      </c>
      <c r="BA242" s="144"/>
      <c r="BB242" s="144">
        <v>4.6702000000000004</v>
      </c>
      <c r="BC242" s="144"/>
      <c r="BD242" s="144"/>
      <c r="BE242" s="144"/>
      <c r="BF242" s="144"/>
      <c r="BG242" s="144"/>
      <c r="BH242" s="144"/>
      <c r="BI242" s="144"/>
      <c r="BJ242" s="144"/>
      <c r="BK242" s="144"/>
      <c r="BL242" s="144"/>
      <c r="BM242" s="144"/>
      <c r="BN242" s="144"/>
      <c r="BO242" s="144"/>
      <c r="BP242" s="144"/>
      <c r="BQ242" s="144"/>
      <c r="BR242" s="144"/>
      <c r="BS242" s="144"/>
      <c r="BT242" s="144"/>
      <c r="BU242" s="144"/>
      <c r="BV242" s="144"/>
      <c r="BW242" s="144"/>
      <c r="BX242" s="144"/>
      <c r="BY242" s="144"/>
      <c r="BZ242" s="144"/>
      <c r="CA242" s="144"/>
      <c r="CB242" s="265">
        <f>442.2+4</f>
        <v>446.2</v>
      </c>
      <c r="CC242" s="1">
        <f t="shared" si="567"/>
        <v>6800</v>
      </c>
      <c r="CD242"/>
      <c r="CE242"/>
    </row>
    <row r="243" spans="1:83" x14ac:dyDescent="0.25">
      <c r="A243" s="503"/>
      <c r="C243" s="210">
        <v>6850</v>
      </c>
      <c r="D243" s="349">
        <f t="shared" si="687"/>
        <v>7576.8149999999996</v>
      </c>
      <c r="E243" s="349">
        <f>SUM(AY243:BG243)</f>
        <v>13.3584</v>
      </c>
      <c r="F243" s="147">
        <f t="shared" si="559"/>
        <v>0</v>
      </c>
      <c r="G243" s="147">
        <f t="shared" si="689"/>
        <v>0</v>
      </c>
      <c r="H243" s="147">
        <f t="shared" si="560"/>
        <v>0</v>
      </c>
      <c r="I243" s="147">
        <f t="shared" si="561"/>
        <v>0</v>
      </c>
      <c r="J243" s="147">
        <f t="shared" si="562"/>
        <v>0</v>
      </c>
      <c r="K243" s="156">
        <f t="shared" si="563"/>
        <v>0</v>
      </c>
      <c r="L243" s="352">
        <f t="shared" si="690"/>
        <v>506.3</v>
      </c>
      <c r="M243" s="355">
        <f t="shared" si="691"/>
        <v>13412</v>
      </c>
      <c r="N243" s="147">
        <f t="shared" si="692"/>
        <v>21</v>
      </c>
      <c r="O243" s="147"/>
      <c r="P243" s="147">
        <f t="shared" si="693"/>
        <v>0</v>
      </c>
      <c r="Q243" s="147">
        <f t="shared" si="694"/>
        <v>0</v>
      </c>
      <c r="R243" s="147">
        <f t="shared" si="695"/>
        <v>0</v>
      </c>
      <c r="S243" s="147">
        <f t="shared" si="696"/>
        <v>0</v>
      </c>
      <c r="T243" s="147">
        <f t="shared" si="697"/>
        <v>0</v>
      </c>
      <c r="U243" s="349">
        <f t="shared" si="698"/>
        <v>2646</v>
      </c>
      <c r="W243" s="151"/>
      <c r="X243" s="147"/>
      <c r="Y243" s="147"/>
      <c r="Z243" s="147"/>
      <c r="AA243" s="147"/>
      <c r="AB243" s="147"/>
      <c r="AC243" s="147"/>
      <c r="AD243" s="147"/>
      <c r="AE243" s="148"/>
      <c r="AG243" s="155">
        <f t="shared" si="706"/>
        <v>6850</v>
      </c>
      <c r="AH243" s="147">
        <v>89.296099999999996</v>
      </c>
      <c r="AI243" s="147">
        <v>3.1048</v>
      </c>
      <c r="AJ243" s="147">
        <v>0.69979999999999998</v>
      </c>
      <c r="AK243" s="147">
        <v>7483.7142999999996</v>
      </c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>
        <v>0.65329999999999999</v>
      </c>
      <c r="AZ243" s="147">
        <v>4.3642000000000003</v>
      </c>
      <c r="BA243" s="147">
        <v>1.2304999999999999</v>
      </c>
      <c r="BB243" s="147">
        <v>7.1104000000000003</v>
      </c>
      <c r="BC243" s="147"/>
      <c r="BD243" s="147"/>
      <c r="BE243" s="147"/>
      <c r="BF243" s="147"/>
      <c r="BG243" s="147"/>
      <c r="BH243" s="147"/>
      <c r="BI243" s="147"/>
      <c r="BJ243" s="147"/>
      <c r="BK243" s="147"/>
      <c r="BL243" s="147"/>
      <c r="BM243" s="147"/>
      <c r="BN243" s="147"/>
      <c r="BO243" s="147"/>
      <c r="BP243" s="147"/>
      <c r="BQ243" s="147"/>
      <c r="BR243" s="147"/>
      <c r="BS243" s="147"/>
      <c r="BT243" s="147"/>
      <c r="BU243" s="147"/>
      <c r="BV243" s="147"/>
      <c r="BW243" s="147"/>
      <c r="BX243" s="147"/>
      <c r="BY243" s="147"/>
      <c r="BZ243" s="147"/>
      <c r="CA243" s="147"/>
      <c r="CB243" s="266">
        <f>502.3+4</f>
        <v>506.3</v>
      </c>
      <c r="CC243" s="1">
        <f t="shared" si="567"/>
        <v>6850</v>
      </c>
    </row>
    <row r="244" spans="1:83" x14ac:dyDescent="0.25">
      <c r="A244" s="503"/>
      <c r="C244" s="121">
        <v>6900</v>
      </c>
      <c r="D244" s="347">
        <f t="shared" si="687"/>
        <v>159.5291</v>
      </c>
      <c r="E244" s="347">
        <f t="shared" si="688"/>
        <v>31.950600000000001</v>
      </c>
      <c r="F244" s="58">
        <f t="shared" si="559"/>
        <v>0</v>
      </c>
      <c r="G244" s="58">
        <f t="shared" si="689"/>
        <v>0</v>
      </c>
      <c r="H244" s="58">
        <f t="shared" si="560"/>
        <v>0</v>
      </c>
      <c r="I244" s="58">
        <f t="shared" si="561"/>
        <v>0</v>
      </c>
      <c r="J244" s="58">
        <f t="shared" si="562"/>
        <v>0</v>
      </c>
      <c r="K244" s="51">
        <f t="shared" si="563"/>
        <v>0</v>
      </c>
      <c r="L244" s="350">
        <f t="shared" si="690"/>
        <v>83.4</v>
      </c>
      <c r="M244" s="353">
        <f t="shared" si="691"/>
        <v>7164</v>
      </c>
      <c r="N244" s="58">
        <f t="shared" si="692"/>
        <v>42</v>
      </c>
      <c r="O244" s="58"/>
      <c r="P244" s="58">
        <f t="shared" si="693"/>
        <v>0</v>
      </c>
      <c r="Q244" s="58">
        <f t="shared" si="694"/>
        <v>0</v>
      </c>
      <c r="R244" s="58">
        <f t="shared" si="695"/>
        <v>0</v>
      </c>
      <c r="S244" s="58">
        <f t="shared" si="696"/>
        <v>0</v>
      </c>
      <c r="T244" s="58">
        <f t="shared" si="697"/>
        <v>0</v>
      </c>
      <c r="U244" s="347">
        <f t="shared" si="698"/>
        <v>1639</v>
      </c>
      <c r="W244" s="105"/>
      <c r="X244" s="58"/>
      <c r="Y244" s="58"/>
      <c r="Z244" s="58"/>
      <c r="AA244" s="58"/>
      <c r="AB244" s="58"/>
      <c r="AC244" s="58"/>
      <c r="AD244" s="58"/>
      <c r="AE244" s="138"/>
      <c r="AG244" s="57">
        <f t="shared" si="706"/>
        <v>6900</v>
      </c>
      <c r="AH244" s="58">
        <v>8.7021999999999995</v>
      </c>
      <c r="AI244" s="58">
        <v>0.48430000000000001</v>
      </c>
      <c r="AJ244" s="58">
        <v>1.4085000000000001</v>
      </c>
      <c r="AK244" s="58">
        <v>148.9341</v>
      </c>
      <c r="AL244" s="58"/>
      <c r="AM244" s="58"/>
      <c r="AN244" s="58"/>
      <c r="AO244" s="58"/>
      <c r="AP244" s="58"/>
      <c r="AQ244" s="58"/>
      <c r="AR244" s="58"/>
      <c r="AS244" s="58"/>
      <c r="AT244" s="58"/>
      <c r="AU244" s="58"/>
      <c r="AV244" s="58"/>
      <c r="AW244" s="58"/>
      <c r="AX244" s="58"/>
      <c r="AY244" s="58">
        <v>7.0998999999999999</v>
      </c>
      <c r="AZ244" s="58">
        <v>16.932500000000001</v>
      </c>
      <c r="BA244" s="58">
        <v>7.9181999999999997</v>
      </c>
      <c r="BB244" s="58"/>
      <c r="BC244" s="58"/>
      <c r="BD244" s="58"/>
      <c r="BE244" s="58"/>
      <c r="BF244" s="58"/>
      <c r="BG244" s="58"/>
      <c r="BH244" s="58"/>
      <c r="BI244" s="58"/>
      <c r="BJ244" s="58"/>
      <c r="BK244" s="58"/>
      <c r="BL244" s="58"/>
      <c r="BM244" s="58"/>
      <c r="BN244" s="58"/>
      <c r="BO244" s="58"/>
      <c r="BP244" s="58"/>
      <c r="BQ244" s="58"/>
      <c r="BR244" s="58"/>
      <c r="BS244" s="58"/>
      <c r="BT244" s="58"/>
      <c r="BU244" s="58"/>
      <c r="BV244" s="58"/>
      <c r="BW244" s="58"/>
      <c r="BX244" s="58"/>
      <c r="BY244" s="58"/>
      <c r="BZ244" s="58"/>
      <c r="CA244" s="58"/>
      <c r="CB244" s="263">
        <f>75.4+8</f>
        <v>83.4</v>
      </c>
      <c r="CC244" s="1">
        <f t="shared" si="567"/>
        <v>6900</v>
      </c>
    </row>
    <row r="245" spans="1:83" s="3" customFormat="1" ht="15.75" thickBot="1" x14ac:dyDescent="0.3">
      <c r="A245" s="503"/>
      <c r="C245" s="212">
        <v>6950</v>
      </c>
      <c r="D245" s="348">
        <f t="shared" si="687"/>
        <v>10.870899999999999</v>
      </c>
      <c r="E245" s="348">
        <f t="shared" si="688"/>
        <v>24.750799999999998</v>
      </c>
      <c r="F245" s="144">
        <f t="shared" si="559"/>
        <v>0</v>
      </c>
      <c r="G245" s="144">
        <f t="shared" si="689"/>
        <v>0</v>
      </c>
      <c r="H245" s="144">
        <f t="shared" si="560"/>
        <v>0</v>
      </c>
      <c r="I245" s="144">
        <f t="shared" si="561"/>
        <v>0</v>
      </c>
      <c r="J245" s="144">
        <f t="shared" si="562"/>
        <v>0</v>
      </c>
      <c r="K245" s="159">
        <f t="shared" si="563"/>
        <v>0</v>
      </c>
      <c r="L245" s="351">
        <f t="shared" si="690"/>
        <v>38.299999999999997</v>
      </c>
      <c r="M245" s="354">
        <f t="shared" si="691"/>
        <v>158</v>
      </c>
      <c r="N245" s="144">
        <f>ROUNDUP(((E244+E245)*0.5)*(C245-C244)/27,0)</f>
        <v>53</v>
      </c>
      <c r="O245" s="144"/>
      <c r="P245" s="144">
        <f t="shared" si="693"/>
        <v>0</v>
      </c>
      <c r="Q245" s="144">
        <f t="shared" si="694"/>
        <v>0</v>
      </c>
      <c r="R245" s="144">
        <f t="shared" si="695"/>
        <v>0</v>
      </c>
      <c r="S245" s="144">
        <f t="shared" si="696"/>
        <v>0</v>
      </c>
      <c r="T245" s="144">
        <f t="shared" si="697"/>
        <v>0</v>
      </c>
      <c r="U245" s="348">
        <f t="shared" si="698"/>
        <v>339</v>
      </c>
      <c r="W245" s="255">
        <f>M243+M244+M245</f>
        <v>20734</v>
      </c>
      <c r="X245" s="255">
        <f t="shared" ref="X245" si="777">N243+N244+N245</f>
        <v>116</v>
      </c>
      <c r="Y245" s="255"/>
      <c r="Z245" s="255">
        <f t="shared" ref="Z245" si="778">P243+P244+P245</f>
        <v>0</v>
      </c>
      <c r="AA245" s="255">
        <f t="shared" ref="AA245" si="779">Q243+Q244+Q245</f>
        <v>0</v>
      </c>
      <c r="AB245" s="255">
        <f t="shared" ref="AB245" si="780">R243+R244+R245</f>
        <v>0</v>
      </c>
      <c r="AC245" s="255">
        <f t="shared" ref="AC245" si="781">S243+S244+S245</f>
        <v>0</v>
      </c>
      <c r="AD245" s="255">
        <f t="shared" ref="AD245" si="782">T243+T244+T245</f>
        <v>0</v>
      </c>
      <c r="AE245" s="255">
        <f t="shared" ref="AE245" si="783">U243+U244+U245</f>
        <v>4624</v>
      </c>
      <c r="AG245" s="158">
        <f t="shared" si="706"/>
        <v>6950</v>
      </c>
      <c r="AH245" s="144">
        <v>9.3834</v>
      </c>
      <c r="AI245" s="144">
        <v>0.43919999999999998</v>
      </c>
      <c r="AJ245" s="144">
        <v>1.0483</v>
      </c>
      <c r="AK245" s="144"/>
      <c r="AL245" s="144"/>
      <c r="AM245" s="144"/>
      <c r="AN245" s="144"/>
      <c r="AO245" s="144"/>
      <c r="AP245" s="144"/>
      <c r="AQ245" s="144"/>
      <c r="AR245" s="144"/>
      <c r="AS245" s="144"/>
      <c r="AT245" s="144"/>
      <c r="AU245" s="144"/>
      <c r="AV245" s="144"/>
      <c r="AW245" s="144"/>
      <c r="AX245" s="144"/>
      <c r="AY245" s="144">
        <v>4.3399000000000001</v>
      </c>
      <c r="AZ245" s="144">
        <v>4.0308000000000002</v>
      </c>
      <c r="BA245" s="144">
        <v>16.380099999999999</v>
      </c>
      <c r="BB245" s="144"/>
      <c r="BC245" s="144"/>
      <c r="BD245" s="144"/>
      <c r="BE245" s="144"/>
      <c r="BF245" s="144"/>
      <c r="BG245" s="144"/>
      <c r="BH245" s="144"/>
      <c r="BI245" s="144"/>
      <c r="BJ245" s="144"/>
      <c r="BK245" s="144"/>
      <c r="BL245" s="144"/>
      <c r="BM245" s="144"/>
      <c r="BN245" s="144"/>
      <c r="BO245" s="144"/>
      <c r="BP245" s="144"/>
      <c r="BQ245" s="144"/>
      <c r="BR245" s="144"/>
      <c r="BS245" s="144"/>
      <c r="BT245" s="144"/>
      <c r="BU245" s="144"/>
      <c r="BV245" s="144"/>
      <c r="BW245" s="144"/>
      <c r="BX245" s="144"/>
      <c r="BY245" s="144"/>
      <c r="BZ245" s="144"/>
      <c r="CA245" s="144"/>
      <c r="CB245" s="265">
        <f>30.3+8</f>
        <v>38.299999999999997</v>
      </c>
      <c r="CC245" s="1">
        <f t="shared" si="567"/>
        <v>6950</v>
      </c>
      <c r="CD245"/>
      <c r="CE245"/>
    </row>
    <row r="246" spans="1:83" x14ac:dyDescent="0.25">
      <c r="A246" s="503"/>
      <c r="C246" s="210">
        <v>7000</v>
      </c>
      <c r="D246" s="349">
        <f t="shared" si="687"/>
        <v>19.792599999999997</v>
      </c>
      <c r="E246" s="349">
        <f t="shared" si="688"/>
        <v>32.204599999999999</v>
      </c>
      <c r="F246" s="147">
        <f t="shared" si="559"/>
        <v>0</v>
      </c>
      <c r="G246" s="147">
        <f t="shared" si="689"/>
        <v>0</v>
      </c>
      <c r="H246" s="147">
        <f t="shared" si="560"/>
        <v>0</v>
      </c>
      <c r="I246" s="147">
        <f t="shared" si="561"/>
        <v>0</v>
      </c>
      <c r="J246" s="147">
        <f t="shared" si="562"/>
        <v>0</v>
      </c>
      <c r="K246" s="156">
        <f t="shared" si="563"/>
        <v>0</v>
      </c>
      <c r="L246" s="352">
        <f t="shared" si="690"/>
        <v>31.7</v>
      </c>
      <c r="M246" s="355">
        <f t="shared" si="691"/>
        <v>29</v>
      </c>
      <c r="N246" s="147">
        <f t="shared" si="692"/>
        <v>53</v>
      </c>
      <c r="O246" s="147"/>
      <c r="P246" s="147">
        <f t="shared" si="693"/>
        <v>0</v>
      </c>
      <c r="Q246" s="147">
        <f t="shared" si="694"/>
        <v>0</v>
      </c>
      <c r="R246" s="147">
        <f t="shared" si="695"/>
        <v>0</v>
      </c>
      <c r="S246" s="147">
        <f t="shared" si="696"/>
        <v>0</v>
      </c>
      <c r="T246" s="147">
        <f t="shared" si="697"/>
        <v>0</v>
      </c>
      <c r="U246" s="349">
        <f t="shared" si="698"/>
        <v>195</v>
      </c>
      <c r="W246" s="151"/>
      <c r="X246" s="147"/>
      <c r="Y246" s="147"/>
      <c r="Z246" s="147"/>
      <c r="AA246" s="147"/>
      <c r="AB246" s="147"/>
      <c r="AC246" s="147"/>
      <c r="AD246" s="147"/>
      <c r="AE246" s="148"/>
      <c r="AF246" s="239"/>
      <c r="AG246" s="155">
        <f t="shared" si="706"/>
        <v>7000</v>
      </c>
      <c r="AH246" s="246">
        <v>14.9156</v>
      </c>
      <c r="AI246" s="147">
        <v>2.8151999999999999</v>
      </c>
      <c r="AJ246" s="147">
        <v>0.76890000000000003</v>
      </c>
      <c r="AK246" s="147">
        <v>1.2928999999999999</v>
      </c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246">
        <v>14.9156</v>
      </c>
      <c r="AZ246" s="147">
        <v>12.525600000000001</v>
      </c>
      <c r="BA246" s="147">
        <v>2.9068999999999998</v>
      </c>
      <c r="BB246" s="147">
        <v>1.8565</v>
      </c>
      <c r="BC246" s="147"/>
      <c r="BD246" s="147"/>
      <c r="BE246" s="147"/>
      <c r="BF246" s="147"/>
      <c r="BG246" s="147"/>
      <c r="BH246" s="147"/>
      <c r="BI246" s="147"/>
      <c r="BJ246" s="147"/>
      <c r="BK246" s="147"/>
      <c r="BL246" s="147"/>
      <c r="BM246" s="147"/>
      <c r="BN246" s="147"/>
      <c r="BO246" s="147"/>
      <c r="BP246" s="147"/>
      <c r="BQ246" s="147"/>
      <c r="BR246" s="147"/>
      <c r="BS246" s="147"/>
      <c r="BT246" s="147"/>
      <c r="BU246" s="147"/>
      <c r="BV246" s="147"/>
      <c r="BW246" s="147"/>
      <c r="BX246" s="147"/>
      <c r="BY246" s="147"/>
      <c r="BZ246" s="147"/>
      <c r="CA246" s="147"/>
      <c r="CB246" s="266">
        <f>23.7+8</f>
        <v>31.7</v>
      </c>
      <c r="CC246" s="1">
        <f t="shared" si="567"/>
        <v>7000</v>
      </c>
    </row>
    <row r="247" spans="1:83" x14ac:dyDescent="0.25">
      <c r="A247" s="503"/>
      <c r="C247" s="121">
        <v>7050</v>
      </c>
      <c r="D247" s="347">
        <f t="shared" si="687"/>
        <v>19.015000000000001</v>
      </c>
      <c r="E247" s="347">
        <f t="shared" si="688"/>
        <v>4.0210999999999997</v>
      </c>
      <c r="F247" s="58">
        <f t="shared" si="559"/>
        <v>0</v>
      </c>
      <c r="G247" s="58">
        <f t="shared" si="689"/>
        <v>0</v>
      </c>
      <c r="H247" s="58">
        <f t="shared" si="560"/>
        <v>0</v>
      </c>
      <c r="I247" s="58">
        <f t="shared" si="561"/>
        <v>0</v>
      </c>
      <c r="J247" s="58">
        <f t="shared" si="562"/>
        <v>0</v>
      </c>
      <c r="K247" s="51">
        <f t="shared" si="563"/>
        <v>0</v>
      </c>
      <c r="L247" s="350">
        <f t="shared" si="690"/>
        <v>28.9</v>
      </c>
      <c r="M247" s="353">
        <f t="shared" si="691"/>
        <v>36</v>
      </c>
      <c r="N247" s="58">
        <f t="shared" si="692"/>
        <v>34</v>
      </c>
      <c r="O247" s="58"/>
      <c r="P247" s="58">
        <f t="shared" si="693"/>
        <v>0</v>
      </c>
      <c r="Q247" s="58">
        <f t="shared" si="694"/>
        <v>0</v>
      </c>
      <c r="R247" s="58">
        <f t="shared" si="695"/>
        <v>0</v>
      </c>
      <c r="S247" s="58">
        <f t="shared" si="696"/>
        <v>0</v>
      </c>
      <c r="T247" s="58">
        <f t="shared" si="697"/>
        <v>0</v>
      </c>
      <c r="U247" s="347">
        <f t="shared" si="698"/>
        <v>169</v>
      </c>
      <c r="W247" s="105"/>
      <c r="X247" s="58"/>
      <c r="Y247" s="58"/>
      <c r="Z247" s="58"/>
      <c r="AA247" s="58"/>
      <c r="AB247" s="58"/>
      <c r="AC247" s="58"/>
      <c r="AD247" s="58"/>
      <c r="AE247" s="138"/>
      <c r="AG247" s="57">
        <f t="shared" si="706"/>
        <v>7050</v>
      </c>
      <c r="AH247" s="58">
        <v>19.015000000000001</v>
      </c>
      <c r="AI247" s="58"/>
      <c r="AJ247" s="58"/>
      <c r="AK247" s="58"/>
      <c r="AL247" s="58"/>
      <c r="AM247" s="58"/>
      <c r="AN247" s="58"/>
      <c r="AO247" s="58"/>
      <c r="AP247" s="58"/>
      <c r="AQ247" s="58"/>
      <c r="AR247" s="58"/>
      <c r="AS247" s="58"/>
      <c r="AT247" s="58"/>
      <c r="AU247" s="58"/>
      <c r="AV247" s="58"/>
      <c r="AW247" s="58"/>
      <c r="AX247" s="58"/>
      <c r="AY247" s="58">
        <v>4.0210999999999997</v>
      </c>
      <c r="AZ247" s="58"/>
      <c r="BA247" s="58"/>
      <c r="BB247" s="58"/>
      <c r="BC247" s="58"/>
      <c r="BD247" s="58"/>
      <c r="BE247" s="58"/>
      <c r="BF247" s="58"/>
      <c r="BG247" s="58"/>
      <c r="BH247" s="58"/>
      <c r="BI247" s="58"/>
      <c r="BJ247" s="58"/>
      <c r="BK247" s="58"/>
      <c r="BL247" s="58"/>
      <c r="BM247" s="58"/>
      <c r="BN247" s="58"/>
      <c r="BO247" s="58"/>
      <c r="BP247" s="58"/>
      <c r="BQ247" s="58"/>
      <c r="BR247" s="58"/>
      <c r="BS247" s="58"/>
      <c r="BT247" s="58"/>
      <c r="BU247" s="58"/>
      <c r="BV247" s="58"/>
      <c r="BW247" s="58"/>
      <c r="BX247" s="58"/>
      <c r="BY247" s="58"/>
      <c r="BZ247" s="58"/>
      <c r="CA247" s="58"/>
      <c r="CB247" s="263">
        <f>20.9+8</f>
        <v>28.9</v>
      </c>
      <c r="CC247" s="1">
        <f t="shared" si="567"/>
        <v>7050</v>
      </c>
    </row>
    <row r="248" spans="1:83" ht="15.75" thickBot="1" x14ac:dyDescent="0.3">
      <c r="A248" s="503"/>
      <c r="C248" s="121">
        <v>7075</v>
      </c>
      <c r="D248" s="347">
        <f t="shared" si="687"/>
        <v>17.395</v>
      </c>
      <c r="E248" s="347">
        <f t="shared" si="688"/>
        <v>0</v>
      </c>
      <c r="F248" s="58">
        <f t="shared" si="559"/>
        <v>0</v>
      </c>
      <c r="G248" s="58">
        <f t="shared" si="689"/>
        <v>0</v>
      </c>
      <c r="H248" s="58">
        <f t="shared" si="560"/>
        <v>0</v>
      </c>
      <c r="I248" s="58">
        <f t="shared" si="561"/>
        <v>0</v>
      </c>
      <c r="J248" s="58">
        <f t="shared" si="562"/>
        <v>0</v>
      </c>
      <c r="K248" s="51">
        <f t="shared" si="563"/>
        <v>0</v>
      </c>
      <c r="L248" s="350">
        <f t="shared" si="690"/>
        <v>9.8000000000000007</v>
      </c>
      <c r="M248" s="353">
        <f t="shared" si="691"/>
        <v>17</v>
      </c>
      <c r="N248" s="58">
        <f t="shared" si="692"/>
        <v>2</v>
      </c>
      <c r="O248" s="58"/>
      <c r="P248" s="58">
        <f t="shared" si="693"/>
        <v>0</v>
      </c>
      <c r="Q248" s="58">
        <f t="shared" si="694"/>
        <v>0</v>
      </c>
      <c r="R248" s="58">
        <f t="shared" si="695"/>
        <v>0</v>
      </c>
      <c r="S248" s="58">
        <f t="shared" si="696"/>
        <v>0</v>
      </c>
      <c r="T248" s="58">
        <f t="shared" si="697"/>
        <v>0</v>
      </c>
      <c r="U248" s="347">
        <f t="shared" si="698"/>
        <v>54</v>
      </c>
      <c r="W248" s="255">
        <f>M246+M247+M248</f>
        <v>82</v>
      </c>
      <c r="X248" s="255">
        <f t="shared" ref="X248" si="784">N246+N247+N248</f>
        <v>89</v>
      </c>
      <c r="Y248" s="255"/>
      <c r="Z248" s="255">
        <f t="shared" ref="Z248" si="785">P246+P247+P248</f>
        <v>0</v>
      </c>
      <c r="AA248" s="255">
        <f t="shared" ref="AA248" si="786">Q246+Q247+Q248</f>
        <v>0</v>
      </c>
      <c r="AB248" s="255">
        <f t="shared" ref="AB248" si="787">R246+R247+R248</f>
        <v>0</v>
      </c>
      <c r="AC248" s="255">
        <f t="shared" ref="AC248" si="788">S246+S247+S248</f>
        <v>0</v>
      </c>
      <c r="AD248" s="255">
        <f t="shared" ref="AD248" si="789">T246+T247+T248</f>
        <v>0</v>
      </c>
      <c r="AE248" s="255">
        <f t="shared" ref="AE248" si="790">U246+U247+U248</f>
        <v>418</v>
      </c>
      <c r="AG248" s="57">
        <f t="shared" si="706"/>
        <v>7075</v>
      </c>
      <c r="AH248" s="58">
        <v>17.395</v>
      </c>
      <c r="AI248" s="58"/>
      <c r="AJ248" s="58"/>
      <c r="AK248" s="58"/>
      <c r="AL248" s="58"/>
      <c r="AM248" s="58"/>
      <c r="AN248" s="58"/>
      <c r="AO248" s="58"/>
      <c r="AP248" s="58"/>
      <c r="AQ248" s="58"/>
      <c r="AR248" s="58"/>
      <c r="AS248" s="58"/>
      <c r="AT248" s="58"/>
      <c r="AU248" s="58"/>
      <c r="AV248" s="58"/>
      <c r="AW248" s="58"/>
      <c r="AX248" s="58"/>
      <c r="AY248" s="58"/>
      <c r="AZ248" s="58"/>
      <c r="BA248" s="58"/>
      <c r="BB248" s="58"/>
      <c r="BC248" s="58"/>
      <c r="BD248" s="58"/>
      <c r="BE248" s="58"/>
      <c r="BF248" s="58"/>
      <c r="BG248" s="58"/>
      <c r="BH248" s="58"/>
      <c r="BI248" s="58"/>
      <c r="BJ248" s="58"/>
      <c r="BK248" s="58"/>
      <c r="BL248" s="58"/>
      <c r="BM248" s="58"/>
      <c r="BN248" s="58"/>
      <c r="BO248" s="58"/>
      <c r="BP248" s="58"/>
      <c r="BQ248" s="58"/>
      <c r="BR248" s="58"/>
      <c r="BS248" s="58"/>
      <c r="BT248" s="58"/>
      <c r="BU248" s="58"/>
      <c r="BV248" s="58"/>
      <c r="BW248" s="58"/>
      <c r="BX248" s="58"/>
      <c r="BY248" s="58"/>
      <c r="BZ248" s="58"/>
      <c r="CA248" s="58"/>
      <c r="CB248" s="263">
        <f>1.8+8</f>
        <v>9.8000000000000007</v>
      </c>
      <c r="CC248" s="1">
        <f t="shared" si="567"/>
        <v>7075</v>
      </c>
    </row>
    <row r="249" spans="1:83" x14ac:dyDescent="0.25">
      <c r="CC249" s="1"/>
    </row>
    <row r="250" spans="1:83" ht="21" x14ac:dyDescent="0.35">
      <c r="M250" s="385">
        <f t="shared" ref="M250:U250" si="791">SUM(M184:M248)</f>
        <v>97045</v>
      </c>
      <c r="N250" s="120">
        <f t="shared" si="791"/>
        <v>81378</v>
      </c>
      <c r="O250" s="120">
        <f t="shared" si="791"/>
        <v>133410</v>
      </c>
      <c r="P250" s="120">
        <f t="shared" si="791"/>
        <v>0</v>
      </c>
      <c r="Q250" s="120">
        <f t="shared" si="791"/>
        <v>435</v>
      </c>
      <c r="R250" s="120">
        <f t="shared" si="791"/>
        <v>435</v>
      </c>
      <c r="S250" s="120">
        <f t="shared" si="791"/>
        <v>1544</v>
      </c>
      <c r="T250" s="120">
        <f t="shared" si="791"/>
        <v>1544</v>
      </c>
      <c r="U250" s="385">
        <f t="shared" si="791"/>
        <v>42055</v>
      </c>
      <c r="W250" s="120">
        <f>SUM(W184:W248)</f>
        <v>97045</v>
      </c>
      <c r="X250" s="120">
        <f t="shared" ref="X250:AE250" si="792">SUM(X184:X248)</f>
        <v>81378</v>
      </c>
      <c r="Y250" s="120">
        <f t="shared" si="792"/>
        <v>133410</v>
      </c>
      <c r="Z250" s="120">
        <f t="shared" si="792"/>
        <v>0</v>
      </c>
      <c r="AA250" s="120">
        <f t="shared" si="792"/>
        <v>435</v>
      </c>
      <c r="AB250" s="120">
        <f t="shared" si="792"/>
        <v>435</v>
      </c>
      <c r="AC250" s="120">
        <f t="shared" si="792"/>
        <v>1544</v>
      </c>
      <c r="AD250" s="120">
        <f t="shared" si="792"/>
        <v>1544</v>
      </c>
      <c r="AE250" s="120">
        <f t="shared" si="792"/>
        <v>42055</v>
      </c>
      <c r="CC250" s="1"/>
    </row>
    <row r="251" spans="1:83" ht="15.75" thickBot="1" x14ac:dyDescent="0.3">
      <c r="CC251" s="1"/>
      <c r="CD251" s="3"/>
      <c r="CE251" s="3"/>
    </row>
    <row r="254" spans="1:83" ht="15.75" thickBot="1" x14ac:dyDescent="0.3">
      <c r="CD254" s="3"/>
      <c r="CE254" s="3"/>
    </row>
    <row r="257" spans="82:83" ht="15.75" thickBot="1" x14ac:dyDescent="0.3">
      <c r="CD257" s="3"/>
      <c r="CE257" s="3"/>
    </row>
  </sheetData>
  <mergeCells count="60">
    <mergeCell ref="CC173:CC174"/>
    <mergeCell ref="CC234:CC235"/>
    <mergeCell ref="CC224:CC225"/>
    <mergeCell ref="CC210:CC211"/>
    <mergeCell ref="CC208:CC209"/>
    <mergeCell ref="CC203:CC204"/>
    <mergeCell ref="CC201:CC202"/>
    <mergeCell ref="CC90:CC91"/>
    <mergeCell ref="CC154:CC155"/>
    <mergeCell ref="CC158:CC159"/>
    <mergeCell ref="CC163:CC164"/>
    <mergeCell ref="CC166:CC167"/>
    <mergeCell ref="A184:A248"/>
    <mergeCell ref="C208:C209"/>
    <mergeCell ref="C210:C211"/>
    <mergeCell ref="AG208:AG209"/>
    <mergeCell ref="AG210:AG211"/>
    <mergeCell ref="C203:C204"/>
    <mergeCell ref="AG203:AG204"/>
    <mergeCell ref="AG90:AG91"/>
    <mergeCell ref="AG154:AG155"/>
    <mergeCell ref="AG163:AG164"/>
    <mergeCell ref="C224:C225"/>
    <mergeCell ref="C234:C235"/>
    <mergeCell ref="AG224:AG225"/>
    <mergeCell ref="AG234:AG235"/>
    <mergeCell ref="AG158:AG159"/>
    <mergeCell ref="C166:C167"/>
    <mergeCell ref="AG166:AG167"/>
    <mergeCell ref="C201:C202"/>
    <mergeCell ref="C175:C176"/>
    <mergeCell ref="C173:C174"/>
    <mergeCell ref="AG173:AG174"/>
    <mergeCell ref="AG201:AG202"/>
    <mergeCell ref="AG175:AG176"/>
    <mergeCell ref="A9:A27"/>
    <mergeCell ref="A31:A45"/>
    <mergeCell ref="A49:A64"/>
    <mergeCell ref="D4:L4"/>
    <mergeCell ref="M4:U4"/>
    <mergeCell ref="B55:B60"/>
    <mergeCell ref="AG4:BY4"/>
    <mergeCell ref="D5:G5"/>
    <mergeCell ref="H5:K5"/>
    <mergeCell ref="M5:P5"/>
    <mergeCell ref="Q5:T5"/>
    <mergeCell ref="AH5:BD5"/>
    <mergeCell ref="BO5:BX5"/>
    <mergeCell ref="BY5:CB5"/>
    <mergeCell ref="W4:AE4"/>
    <mergeCell ref="W5:Z5"/>
    <mergeCell ref="AA5:AD5"/>
    <mergeCell ref="A118:A139"/>
    <mergeCell ref="A147:A181"/>
    <mergeCell ref="C154:C155"/>
    <mergeCell ref="C163:C164"/>
    <mergeCell ref="A68:A79"/>
    <mergeCell ref="C90:C91"/>
    <mergeCell ref="C158:C159"/>
    <mergeCell ref="A83:A113"/>
  </mergeCells>
  <pageMargins left="0.7" right="0.7" top="0.75" bottom="0.75" header="0.3" footer="0.3"/>
  <pageSetup paperSize="17" scale="24" orientation="landscape" r:id="rId1"/>
  <ignoredErrors>
    <ignoredError sqref="D9:D2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67822-1FCE-4F66-A4F0-15CCB0CD5D59}">
  <sheetPr>
    <pageSetUpPr fitToPage="1"/>
  </sheetPr>
  <dimension ref="A1:DC278"/>
  <sheetViews>
    <sheetView zoomScale="90" zoomScaleNormal="90" workbookViewId="0">
      <pane ySplit="7" topLeftCell="A120" activePane="bottomLeft" state="frozen"/>
      <selection pane="bottomLeft" activeCell="D99" sqref="D99"/>
    </sheetView>
  </sheetViews>
  <sheetFormatPr defaultRowHeight="15" x14ac:dyDescent="0.25"/>
  <cols>
    <col min="1" max="1" width="16.85546875" bestFit="1" customWidth="1"/>
    <col min="2" max="2" width="16.85546875" customWidth="1"/>
    <col min="3" max="3" width="13.5703125" style="1" bestFit="1" customWidth="1"/>
    <col min="4" max="5" width="10.7109375" style="31" customWidth="1"/>
    <col min="6" max="10" width="10.7109375" customWidth="1"/>
    <col min="11" max="11" width="10.7109375" style="31" customWidth="1"/>
    <col min="12" max="12" width="17.7109375" style="382" customWidth="1"/>
    <col min="13" max="13" width="16.7109375" style="31" customWidth="1"/>
    <col min="14" max="14" width="15" bestFit="1" customWidth="1"/>
    <col min="15" max="15" width="13.7109375" bestFit="1" customWidth="1"/>
    <col min="16" max="16" width="11.7109375" bestFit="1" customWidth="1"/>
    <col min="17" max="18" width="13.28515625" bestFit="1" customWidth="1"/>
    <col min="19" max="19" width="15" style="31" bestFit="1" customWidth="1"/>
    <col min="20" max="20" width="12.140625" customWidth="1"/>
    <col min="21" max="21" width="17.7109375" style="102" customWidth="1"/>
    <col min="22" max="22" width="16.7109375" customWidth="1"/>
    <col min="23" max="23" width="15" bestFit="1" customWidth="1"/>
    <col min="24" max="24" width="13.7109375" bestFit="1" customWidth="1"/>
    <col min="25" max="25" width="11.7109375" bestFit="1" customWidth="1"/>
    <col min="26" max="27" width="13.28515625" bestFit="1" customWidth="1"/>
    <col min="28" max="28" width="15" bestFit="1" customWidth="1"/>
    <col min="29" max="29" width="12.7109375" bestFit="1" customWidth="1"/>
    <col min="30" max="30" width="13.5703125" bestFit="1" customWidth="1"/>
    <col min="31" max="31" width="10.28515625" bestFit="1" customWidth="1"/>
    <col min="32" max="32" width="9.140625" customWidth="1"/>
    <col min="36" max="36" width="9.140625" customWidth="1"/>
    <col min="37" max="47" width="9.140625" hidden="1" customWidth="1"/>
    <col min="49" max="49" width="10" bestFit="1" customWidth="1"/>
    <col min="51" max="57" width="9.140625" customWidth="1"/>
    <col min="58" max="58" width="10" bestFit="1" customWidth="1"/>
    <col min="59" max="72" width="9.140625" customWidth="1"/>
    <col min="74" max="74" width="9.140625" style="262"/>
    <col min="75" max="75" width="10.85546875" bestFit="1" customWidth="1"/>
    <col min="77" max="77" width="10.28515625" bestFit="1" customWidth="1"/>
  </cols>
  <sheetData>
    <row r="1" spans="1:107" x14ac:dyDescent="0.25">
      <c r="A1" s="68"/>
      <c r="B1" s="122"/>
      <c r="C1" s="69"/>
      <c r="D1" s="356" t="s">
        <v>43</v>
      </c>
    </row>
    <row r="2" spans="1:107" x14ac:dyDescent="0.25">
      <c r="A2" s="71" t="s">
        <v>33</v>
      </c>
      <c r="B2" s="123"/>
      <c r="C2" s="67" t="s">
        <v>41</v>
      </c>
      <c r="D2" s="357"/>
    </row>
    <row r="3" spans="1:107" ht="15.75" thickBot="1" x14ac:dyDescent="0.3">
      <c r="A3" s="73" t="s">
        <v>34</v>
      </c>
      <c r="B3" s="124"/>
      <c r="C3" s="74" t="s">
        <v>42</v>
      </c>
      <c r="D3" s="358"/>
    </row>
    <row r="4" spans="1:107" x14ac:dyDescent="0.25">
      <c r="C4" s="86"/>
      <c r="D4" s="527" t="s">
        <v>51</v>
      </c>
      <c r="E4" s="528"/>
      <c r="F4" s="528"/>
      <c r="G4" s="528"/>
      <c r="H4" s="528"/>
      <c r="I4" s="528"/>
      <c r="J4" s="528"/>
      <c r="K4" s="528"/>
      <c r="L4" s="527" t="s">
        <v>50</v>
      </c>
      <c r="M4" s="528"/>
      <c r="N4" s="528"/>
      <c r="O4" s="528"/>
      <c r="P4" s="528"/>
      <c r="Q4" s="528"/>
      <c r="R4" s="528"/>
      <c r="S4" s="529"/>
      <c r="T4" s="4"/>
      <c r="U4" s="527" t="s">
        <v>50</v>
      </c>
      <c r="V4" s="528"/>
      <c r="W4" s="528"/>
      <c r="X4" s="528"/>
      <c r="Y4" s="528"/>
      <c r="Z4" s="528"/>
      <c r="AA4" s="528"/>
      <c r="AB4" s="529"/>
      <c r="AD4" s="530" t="s">
        <v>32</v>
      </c>
      <c r="AE4" s="531"/>
      <c r="AF4" s="531"/>
      <c r="AG4" s="531"/>
      <c r="AH4" s="531"/>
      <c r="AI4" s="531"/>
      <c r="AJ4" s="531"/>
      <c r="AK4" s="531"/>
      <c r="AL4" s="531"/>
      <c r="AM4" s="531"/>
      <c r="AN4" s="531"/>
      <c r="AO4" s="531"/>
      <c r="AP4" s="531"/>
      <c r="AQ4" s="531"/>
      <c r="AR4" s="531"/>
      <c r="AS4" s="531"/>
      <c r="AT4" s="531"/>
      <c r="AU4" s="531"/>
      <c r="AV4" s="531"/>
      <c r="AW4" s="531"/>
      <c r="AX4" s="531"/>
      <c r="AY4" s="531"/>
      <c r="AZ4" s="531"/>
      <c r="BA4" s="531"/>
      <c r="BB4" s="531"/>
      <c r="BC4" s="531"/>
      <c r="BD4" s="531"/>
      <c r="BE4" s="531"/>
      <c r="BF4" s="531"/>
      <c r="BG4" s="531"/>
      <c r="BH4" s="531"/>
      <c r="BI4" s="531"/>
      <c r="BJ4" s="531"/>
      <c r="BK4" s="531"/>
      <c r="BL4" s="531"/>
      <c r="BM4" s="531"/>
      <c r="BN4" s="531"/>
      <c r="BO4" s="531"/>
      <c r="BP4" s="531"/>
      <c r="BQ4" s="531"/>
      <c r="BR4" s="531"/>
      <c r="BS4" s="532"/>
      <c r="BT4" s="40"/>
      <c r="BU4" s="40"/>
    </row>
    <row r="5" spans="1:107" ht="15.75" thickBot="1" x14ac:dyDescent="0.3">
      <c r="C5" s="86"/>
      <c r="D5" s="481">
        <v>203</v>
      </c>
      <c r="E5" s="482"/>
      <c r="F5" s="483"/>
      <c r="G5" s="478">
        <v>204</v>
      </c>
      <c r="H5" s="479"/>
      <c r="I5" s="479"/>
      <c r="J5" s="480"/>
      <c r="K5" s="371">
        <v>659</v>
      </c>
      <c r="L5" s="481">
        <v>203</v>
      </c>
      <c r="M5" s="482"/>
      <c r="N5" s="483"/>
      <c r="O5" s="478">
        <v>204</v>
      </c>
      <c r="P5" s="479"/>
      <c r="Q5" s="479"/>
      <c r="R5" s="480"/>
      <c r="S5" s="395">
        <v>659</v>
      </c>
      <c r="T5" s="4"/>
      <c r="U5" s="481">
        <v>203</v>
      </c>
      <c r="V5" s="482"/>
      <c r="W5" s="483"/>
      <c r="X5" s="478">
        <v>204</v>
      </c>
      <c r="Y5" s="479"/>
      <c r="Z5" s="479"/>
      <c r="AA5" s="480"/>
      <c r="AB5" s="88">
        <v>659</v>
      </c>
      <c r="AD5" s="53"/>
      <c r="AE5" s="487" t="s">
        <v>48</v>
      </c>
      <c r="AF5" s="488"/>
      <c r="AG5" s="488"/>
      <c r="AH5" s="488"/>
      <c r="AI5" s="488"/>
      <c r="AJ5" s="488"/>
      <c r="AK5" s="488"/>
      <c r="AL5" s="488"/>
      <c r="AM5" s="488"/>
      <c r="AN5" s="488"/>
      <c r="AO5" s="488"/>
      <c r="AP5" s="488"/>
      <c r="AQ5" s="488"/>
      <c r="AR5" s="488"/>
      <c r="AS5" s="488"/>
      <c r="AT5" s="488"/>
      <c r="AU5" s="488"/>
      <c r="AV5" s="488"/>
      <c r="AW5" s="488"/>
      <c r="AX5" s="488"/>
      <c r="AY5" s="488"/>
      <c r="AZ5" s="488"/>
      <c r="BA5" s="489"/>
      <c r="BB5" s="77"/>
      <c r="BC5" s="77"/>
      <c r="BD5" s="77"/>
      <c r="BE5" s="77"/>
      <c r="BF5" s="77"/>
      <c r="BG5" s="77"/>
      <c r="BH5" s="77"/>
      <c r="BI5" s="487">
        <v>204</v>
      </c>
      <c r="BJ5" s="488"/>
      <c r="BK5" s="488"/>
      <c r="BL5" s="488"/>
      <c r="BM5" s="488"/>
      <c r="BN5" s="488"/>
      <c r="BO5" s="488"/>
      <c r="BP5" s="488"/>
      <c r="BQ5" s="488"/>
      <c r="BR5" s="489"/>
      <c r="BS5" s="476">
        <v>659</v>
      </c>
      <c r="BT5" s="477"/>
      <c r="BU5" s="477"/>
      <c r="BV5" s="514"/>
    </row>
    <row r="6" spans="1:107" ht="128.25" customHeight="1" thickBot="1" x14ac:dyDescent="0.3">
      <c r="C6" s="86"/>
      <c r="D6" s="359" t="s">
        <v>0</v>
      </c>
      <c r="E6" s="370" t="s">
        <v>1</v>
      </c>
      <c r="F6" s="91" t="s">
        <v>49</v>
      </c>
      <c r="G6" s="112" t="s">
        <v>36</v>
      </c>
      <c r="H6" s="113" t="s">
        <v>39</v>
      </c>
      <c r="I6" s="113" t="s">
        <v>98</v>
      </c>
      <c r="J6" s="114" t="s">
        <v>40</v>
      </c>
      <c r="K6" s="372" t="s">
        <v>2</v>
      </c>
      <c r="L6" s="383" t="s">
        <v>0</v>
      </c>
      <c r="M6" s="370" t="s">
        <v>1</v>
      </c>
      <c r="N6" s="96" t="s">
        <v>99</v>
      </c>
      <c r="O6" s="112" t="s">
        <v>36</v>
      </c>
      <c r="P6" s="113" t="s">
        <v>39</v>
      </c>
      <c r="Q6" s="113" t="s">
        <v>98</v>
      </c>
      <c r="R6" s="114" t="s">
        <v>40</v>
      </c>
      <c r="S6" s="396" t="s">
        <v>108</v>
      </c>
      <c r="T6" s="108"/>
      <c r="U6" s="103" t="s">
        <v>0</v>
      </c>
      <c r="V6" s="90" t="s">
        <v>1</v>
      </c>
      <c r="W6" s="96" t="s">
        <v>99</v>
      </c>
      <c r="X6" s="112" t="s">
        <v>36</v>
      </c>
      <c r="Y6" s="113" t="s">
        <v>39</v>
      </c>
      <c r="Z6" s="113" t="s">
        <v>98</v>
      </c>
      <c r="AA6" s="114" t="s">
        <v>40</v>
      </c>
      <c r="AB6" s="79" t="s">
        <v>108</v>
      </c>
      <c r="AD6" s="76"/>
      <c r="AE6" s="92" t="s">
        <v>0</v>
      </c>
      <c r="AF6" s="93" t="s">
        <v>0</v>
      </c>
      <c r="AG6" s="93" t="s">
        <v>0</v>
      </c>
      <c r="AH6" s="93" t="s">
        <v>0</v>
      </c>
      <c r="AI6" s="93" t="s">
        <v>0</v>
      </c>
      <c r="AJ6" s="93" t="s">
        <v>0</v>
      </c>
      <c r="AK6" s="93" t="s">
        <v>0</v>
      </c>
      <c r="AL6" s="93" t="s">
        <v>0</v>
      </c>
      <c r="AM6" s="93" t="s">
        <v>0</v>
      </c>
      <c r="AN6" s="93" t="s">
        <v>0</v>
      </c>
      <c r="AO6" s="93" t="s">
        <v>0</v>
      </c>
      <c r="AP6" s="93" t="s">
        <v>0</v>
      </c>
      <c r="AQ6" s="93" t="s">
        <v>0</v>
      </c>
      <c r="AR6" s="93" t="s">
        <v>0</v>
      </c>
      <c r="AS6" s="93" t="s">
        <v>0</v>
      </c>
      <c r="AT6" s="93" t="s">
        <v>0</v>
      </c>
      <c r="AU6" s="93" t="s">
        <v>0</v>
      </c>
      <c r="AV6" s="94" t="s">
        <v>1</v>
      </c>
      <c r="AW6" s="94" t="s">
        <v>1</v>
      </c>
      <c r="AX6" s="95" t="s">
        <v>1</v>
      </c>
      <c r="AY6" s="94" t="s">
        <v>1</v>
      </c>
      <c r="AZ6" s="94" t="s">
        <v>1</v>
      </c>
      <c r="BA6" s="95" t="s">
        <v>1</v>
      </c>
      <c r="BB6" s="95" t="s">
        <v>1</v>
      </c>
      <c r="BC6" s="95" t="s">
        <v>1</v>
      </c>
      <c r="BD6" s="95" t="s">
        <v>1</v>
      </c>
      <c r="BE6" s="95" t="s">
        <v>1</v>
      </c>
      <c r="BF6" s="96" t="s">
        <v>99</v>
      </c>
      <c r="BG6" s="96" t="s">
        <v>99</v>
      </c>
      <c r="BH6" s="96" t="s">
        <v>99</v>
      </c>
      <c r="BI6" s="110" t="s">
        <v>36</v>
      </c>
      <c r="BJ6" s="111" t="s">
        <v>36</v>
      </c>
      <c r="BK6" s="111" t="s">
        <v>36</v>
      </c>
      <c r="BL6" s="111" t="s">
        <v>39</v>
      </c>
      <c r="BM6" s="111" t="s">
        <v>39</v>
      </c>
      <c r="BN6" s="111" t="s">
        <v>39</v>
      </c>
      <c r="BO6" s="113" t="s">
        <v>98</v>
      </c>
      <c r="BP6" s="113" t="s">
        <v>98</v>
      </c>
      <c r="BQ6" s="114" t="s">
        <v>40</v>
      </c>
      <c r="BR6" s="114" t="s">
        <v>40</v>
      </c>
      <c r="BS6" s="79" t="s">
        <v>108</v>
      </c>
      <c r="BT6" s="79" t="s">
        <v>108</v>
      </c>
      <c r="BU6" s="79" t="s">
        <v>108</v>
      </c>
      <c r="BV6" s="79" t="s">
        <v>108</v>
      </c>
    </row>
    <row r="7" spans="1:107" x14ac:dyDescent="0.25">
      <c r="C7" s="57"/>
      <c r="D7" s="360" t="s">
        <v>35</v>
      </c>
      <c r="E7" s="360" t="s">
        <v>35</v>
      </c>
      <c r="F7" s="75" t="s">
        <v>35</v>
      </c>
      <c r="G7" s="75" t="s">
        <v>35</v>
      </c>
      <c r="H7" s="75" t="s">
        <v>35</v>
      </c>
      <c r="I7" s="75" t="s">
        <v>37</v>
      </c>
      <c r="J7" s="75" t="s">
        <v>37</v>
      </c>
      <c r="K7" s="373" t="s">
        <v>37</v>
      </c>
      <c r="L7" s="384" t="s">
        <v>3</v>
      </c>
      <c r="M7" s="360" t="s">
        <v>3</v>
      </c>
      <c r="N7" s="75" t="s">
        <v>3</v>
      </c>
      <c r="O7" s="75" t="s">
        <v>3</v>
      </c>
      <c r="P7" s="75" t="s">
        <v>3</v>
      </c>
      <c r="Q7" s="75" t="s">
        <v>27</v>
      </c>
      <c r="R7" s="75" t="s">
        <v>27</v>
      </c>
      <c r="S7" s="360" t="s">
        <v>27</v>
      </c>
      <c r="T7" s="4"/>
      <c r="U7" s="104" t="s">
        <v>3</v>
      </c>
      <c r="V7" s="75" t="s">
        <v>3</v>
      </c>
      <c r="W7" s="75" t="s">
        <v>3</v>
      </c>
      <c r="X7" s="75" t="s">
        <v>3</v>
      </c>
      <c r="Y7" s="75" t="s">
        <v>3</v>
      </c>
      <c r="Z7" s="75" t="s">
        <v>27</v>
      </c>
      <c r="AA7" s="75" t="s">
        <v>27</v>
      </c>
      <c r="AB7" s="75" t="s">
        <v>27</v>
      </c>
      <c r="AC7" s="55"/>
      <c r="AD7" s="49"/>
      <c r="AE7" s="78" t="s">
        <v>35</v>
      </c>
      <c r="AF7" s="78" t="s">
        <v>35</v>
      </c>
      <c r="AG7" s="78" t="s">
        <v>35</v>
      </c>
      <c r="AH7" s="78" t="s">
        <v>35</v>
      </c>
      <c r="AI7" s="78" t="s">
        <v>35</v>
      </c>
      <c r="AJ7" s="78" t="s">
        <v>35</v>
      </c>
      <c r="AK7" s="78" t="s">
        <v>35</v>
      </c>
      <c r="AL7" s="78" t="s">
        <v>35</v>
      </c>
      <c r="AM7" s="78" t="s">
        <v>35</v>
      </c>
      <c r="AN7" s="78" t="s">
        <v>35</v>
      </c>
      <c r="AO7" s="78" t="s">
        <v>35</v>
      </c>
      <c r="AP7" s="78" t="s">
        <v>35</v>
      </c>
      <c r="AQ7" s="78" t="s">
        <v>35</v>
      </c>
      <c r="AR7" s="78" t="s">
        <v>35</v>
      </c>
      <c r="AS7" s="78" t="s">
        <v>35</v>
      </c>
      <c r="AT7" s="78" t="s">
        <v>35</v>
      </c>
      <c r="AU7" s="78" t="s">
        <v>35</v>
      </c>
      <c r="AV7" s="78" t="s">
        <v>35</v>
      </c>
      <c r="AW7" s="78" t="s">
        <v>35</v>
      </c>
      <c r="AX7" s="78" t="s">
        <v>35</v>
      </c>
      <c r="AY7" s="78" t="s">
        <v>35</v>
      </c>
      <c r="AZ7" s="78" t="s">
        <v>35</v>
      </c>
      <c r="BA7" s="78" t="s">
        <v>35</v>
      </c>
      <c r="BB7" s="78" t="s">
        <v>35</v>
      </c>
      <c r="BC7" s="78" t="s">
        <v>35</v>
      </c>
      <c r="BD7" s="78" t="s">
        <v>35</v>
      </c>
      <c r="BE7" s="78" t="s">
        <v>35</v>
      </c>
      <c r="BF7" s="78" t="s">
        <v>35</v>
      </c>
      <c r="BG7" s="78" t="s">
        <v>35</v>
      </c>
      <c r="BH7" s="78" t="s">
        <v>35</v>
      </c>
      <c r="BI7" s="78" t="s">
        <v>35</v>
      </c>
      <c r="BJ7" s="78" t="s">
        <v>35</v>
      </c>
      <c r="BK7" s="78" t="s">
        <v>35</v>
      </c>
      <c r="BL7" s="78" t="s">
        <v>35</v>
      </c>
      <c r="BM7" s="78" t="s">
        <v>35</v>
      </c>
      <c r="BN7" s="78" t="s">
        <v>35</v>
      </c>
      <c r="BO7" s="78" t="s">
        <v>37</v>
      </c>
      <c r="BP7" s="78" t="s">
        <v>37</v>
      </c>
      <c r="BQ7" s="78" t="s">
        <v>37</v>
      </c>
      <c r="BR7" s="78" t="s">
        <v>37</v>
      </c>
      <c r="BS7" s="49" t="s">
        <v>37</v>
      </c>
      <c r="BT7" s="49" t="s">
        <v>37</v>
      </c>
      <c r="BU7" s="49" t="s">
        <v>37</v>
      </c>
      <c r="BV7" s="263" t="s">
        <v>37</v>
      </c>
    </row>
    <row r="8" spans="1:107" ht="15.75" thickBot="1" x14ac:dyDescent="0.3">
      <c r="C8" s="57"/>
      <c r="D8" s="360"/>
      <c r="E8" s="360"/>
      <c r="F8" s="75"/>
      <c r="G8" s="75"/>
      <c r="H8" s="75"/>
      <c r="I8" s="75"/>
      <c r="J8" s="75"/>
      <c r="K8" s="373"/>
      <c r="L8" s="384"/>
      <c r="M8" s="360"/>
      <c r="N8" s="75"/>
      <c r="O8" s="75"/>
      <c r="P8" s="75"/>
      <c r="Q8" s="75"/>
      <c r="R8" s="75"/>
      <c r="S8" s="360"/>
      <c r="T8" s="4"/>
      <c r="U8" s="104"/>
      <c r="V8" s="75"/>
      <c r="W8" s="75"/>
      <c r="X8" s="75"/>
      <c r="Y8" s="75"/>
      <c r="Z8" s="75"/>
      <c r="AA8" s="75"/>
      <c r="AB8" s="75"/>
      <c r="AC8" s="55"/>
      <c r="AD8" s="49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49"/>
      <c r="BT8" s="49"/>
      <c r="BU8" s="49"/>
      <c r="BV8" s="263"/>
      <c r="BW8" s="1"/>
    </row>
    <row r="9" spans="1:107" s="2" customFormat="1" ht="15.75" thickBot="1" x14ac:dyDescent="0.3">
      <c r="A9" s="523" t="s">
        <v>60</v>
      </c>
      <c r="B9" s="125"/>
      <c r="C9" s="121">
        <v>1340</v>
      </c>
      <c r="D9" s="347">
        <f>SUM(AE9:AU9)</f>
        <v>0</v>
      </c>
      <c r="E9" s="347">
        <f>SUM(AV9:BD9)</f>
        <v>400.649</v>
      </c>
      <c r="F9" s="58">
        <f>SUM(BF9:BH9)</f>
        <v>0</v>
      </c>
      <c r="G9" s="58">
        <f>SUM(BI9:BK9)</f>
        <v>0</v>
      </c>
      <c r="H9" s="58">
        <f>SUM(BL9:BN9)</f>
        <v>0</v>
      </c>
      <c r="I9" s="58">
        <f>SUM(BO9:BP9)</f>
        <v>0</v>
      </c>
      <c r="J9" s="51">
        <f>BQ9+BR9</f>
        <v>0</v>
      </c>
      <c r="K9" s="347">
        <f>SUM(BS9:BV9)</f>
        <v>0</v>
      </c>
      <c r="L9" s="353"/>
      <c r="M9" s="347"/>
      <c r="N9" s="58"/>
      <c r="O9" s="58"/>
      <c r="P9" s="58"/>
      <c r="Q9" s="58"/>
      <c r="R9" s="58"/>
      <c r="S9" s="347"/>
      <c r="T9" s="56"/>
      <c r="U9" s="105"/>
      <c r="V9" s="58"/>
      <c r="W9" s="58"/>
      <c r="X9" s="58"/>
      <c r="Y9" s="58"/>
      <c r="Z9" s="58"/>
      <c r="AA9" s="58"/>
      <c r="AB9" s="58"/>
      <c r="AC9" s="55"/>
      <c r="AD9" s="57">
        <f t="shared" ref="AD9:AD22" si="0">C9</f>
        <v>1340</v>
      </c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>
        <v>400.649</v>
      </c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3">
        <v>0</v>
      </c>
      <c r="BW9" s="1">
        <f t="shared" ref="BW9:BW22" si="1">C9</f>
        <v>1340</v>
      </c>
      <c r="BX9"/>
      <c r="BY9" s="3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 s="41"/>
    </row>
    <row r="10" spans="1:107" x14ac:dyDescent="0.25">
      <c r="A10" s="524"/>
      <c r="B10" s="125"/>
      <c r="C10" s="121">
        <v>1350</v>
      </c>
      <c r="D10" s="347">
        <f t="shared" ref="D10:D22" si="2">SUM(AE10:AU10)</f>
        <v>0</v>
      </c>
      <c r="E10" s="347">
        <f t="shared" ref="E10:E13" si="3">SUM(AV10:BD10)</f>
        <v>222.899</v>
      </c>
      <c r="F10" s="58">
        <f t="shared" ref="F10:F22" si="4">SUM(BF10:BH10)</f>
        <v>0</v>
      </c>
      <c r="G10" s="58">
        <f t="shared" ref="G10:G30" si="5">SUM(BI10:BK10)</f>
        <v>0</v>
      </c>
      <c r="H10" s="58">
        <f t="shared" ref="H10:H30" si="6">SUM(BL10:BN10)</f>
        <v>0</v>
      </c>
      <c r="I10" s="58">
        <f t="shared" ref="I10:I30" si="7">SUM(BO10:BP10)</f>
        <v>0</v>
      </c>
      <c r="J10" s="51">
        <f t="shared" ref="J10:J30" si="8">BQ10+BR10</f>
        <v>0</v>
      </c>
      <c r="K10" s="347">
        <f t="shared" ref="K10:K22" si="9">SUM(BS10:BV10)</f>
        <v>0</v>
      </c>
      <c r="L10" s="353">
        <f>ROUNDUP(((D9+D10)*0.5)*(C10-C9)/27,0)</f>
        <v>0</v>
      </c>
      <c r="M10" s="347">
        <f>ROUNDUP(((E9+E10)*0.5)*(C10-C9)/27,0)</f>
        <v>116</v>
      </c>
      <c r="N10" s="58">
        <f>ROUNDUP(((F9+F10)*0.5)*(C10-C9)/27,0)</f>
        <v>0</v>
      </c>
      <c r="O10" s="58">
        <f>ROUNDUP(((G10+G9)*0.5)*(C10-C9)/27,0)</f>
        <v>0</v>
      </c>
      <c r="P10" s="58">
        <f>ROUNDUP(((H10+H9)*0.5)*(C10-C9)/27,0)</f>
        <v>0</v>
      </c>
      <c r="Q10" s="58">
        <f>ROUNDUP(((I10+I9)*0.5)*(C10-C9)/9,0)</f>
        <v>0</v>
      </c>
      <c r="R10" s="58">
        <f>ROUNDUP(((J10+J9)*0.5)*(C10-C9)/9,0)</f>
        <v>0</v>
      </c>
      <c r="S10" s="347">
        <f>ROUNDUP(((K10+K9)*0.5)*(C10-C9)/9,0)</f>
        <v>0</v>
      </c>
      <c r="T10" s="56"/>
      <c r="U10" s="105"/>
      <c r="V10" s="58"/>
      <c r="W10" s="58"/>
      <c r="X10" s="58"/>
      <c r="Y10" s="58"/>
      <c r="Z10" s="58"/>
      <c r="AA10" s="58"/>
      <c r="AB10" s="58"/>
      <c r="AC10" s="55"/>
      <c r="AD10" s="57">
        <f t="shared" si="0"/>
        <v>1350</v>
      </c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>
        <v>222.899</v>
      </c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>
        <v>0</v>
      </c>
      <c r="BW10" s="1">
        <f t="shared" si="1"/>
        <v>1350</v>
      </c>
    </row>
    <row r="11" spans="1:107" s="3" customFormat="1" ht="15.75" thickBot="1" x14ac:dyDescent="0.3">
      <c r="A11" s="524"/>
      <c r="B11" s="125"/>
      <c r="C11" s="121">
        <v>1400</v>
      </c>
      <c r="D11" s="347">
        <f t="shared" si="2"/>
        <v>0</v>
      </c>
      <c r="E11" s="347">
        <f t="shared" si="3"/>
        <v>526.44500000000005</v>
      </c>
      <c r="F11" s="58">
        <f t="shared" si="4"/>
        <v>0</v>
      </c>
      <c r="G11" s="58">
        <f t="shared" si="5"/>
        <v>0</v>
      </c>
      <c r="H11" s="58">
        <f t="shared" si="6"/>
        <v>0</v>
      </c>
      <c r="I11" s="58">
        <f t="shared" si="7"/>
        <v>0</v>
      </c>
      <c r="J11" s="51">
        <f t="shared" si="8"/>
        <v>0</v>
      </c>
      <c r="K11" s="347">
        <f t="shared" si="9"/>
        <v>67.7</v>
      </c>
      <c r="L11" s="353">
        <f t="shared" ref="L11:L22" si="10">ROUNDUP(((D10+D11)*0.5)*(C11-C10)/27,0)</f>
        <v>0</v>
      </c>
      <c r="M11" s="347">
        <f t="shared" ref="M11:M22" si="11">ROUNDUP(((E10+E11)*0.5)*(C11-C10)/27,0)</f>
        <v>694</v>
      </c>
      <c r="N11" s="58">
        <f t="shared" ref="N11:N22" si="12">ROUNDUP(((F10+F11)*0.5)*(C11-C10)/27,0)</f>
        <v>0</v>
      </c>
      <c r="O11" s="58">
        <f t="shared" ref="O11:O22" si="13">ROUNDUP(((G11+G10)*0.5)*(C11-C10)/27,0)</f>
        <v>0</v>
      </c>
      <c r="P11" s="58">
        <f t="shared" ref="P11:P22" si="14">ROUNDUP(((H11+H10)*0.5)*(C11-C10)/27,0)</f>
        <v>0</v>
      </c>
      <c r="Q11" s="58">
        <f t="shared" ref="Q11:Q22" si="15">ROUNDUP(((I11+I10)*0.5)*(C11-C10)/9,0)</f>
        <v>0</v>
      </c>
      <c r="R11" s="58">
        <f t="shared" ref="R11:R22" si="16">ROUNDUP(((J11+J10)*0.5)*(C11-C10)/9,0)</f>
        <v>0</v>
      </c>
      <c r="S11" s="347">
        <f t="shared" ref="S11:S22" si="17">ROUNDUP(((K11+K10)*0.5)*(C11-C10)/9,0)</f>
        <v>189</v>
      </c>
      <c r="T11" s="56"/>
      <c r="U11" s="105"/>
      <c r="V11" s="58"/>
      <c r="W11" s="58"/>
      <c r="X11" s="58"/>
      <c r="Y11" s="58"/>
      <c r="Z11" s="58"/>
      <c r="AA11" s="58"/>
      <c r="AB11" s="58"/>
      <c r="AC11" s="55"/>
      <c r="AD11" s="57">
        <f t="shared" si="0"/>
        <v>1400</v>
      </c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>
        <v>526.44500000000005</v>
      </c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>
        <f>63.7+4</f>
        <v>67.7</v>
      </c>
      <c r="BW11" s="1">
        <f t="shared" si="1"/>
        <v>1400</v>
      </c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</row>
    <row r="12" spans="1:107" s="168" customFormat="1" ht="15.75" thickBot="1" x14ac:dyDescent="0.3">
      <c r="A12" s="524"/>
      <c r="B12" s="211"/>
      <c r="C12" s="212">
        <v>1450</v>
      </c>
      <c r="D12" s="348">
        <f t="shared" si="2"/>
        <v>0</v>
      </c>
      <c r="E12" s="348">
        <f t="shared" si="3"/>
        <v>387.45600000000002</v>
      </c>
      <c r="F12" s="144">
        <f t="shared" si="4"/>
        <v>0</v>
      </c>
      <c r="G12" s="144">
        <f t="shared" si="5"/>
        <v>0</v>
      </c>
      <c r="H12" s="144">
        <f t="shared" si="6"/>
        <v>0</v>
      </c>
      <c r="I12" s="144">
        <f t="shared" si="7"/>
        <v>0</v>
      </c>
      <c r="J12" s="159">
        <f t="shared" si="8"/>
        <v>0</v>
      </c>
      <c r="K12" s="348">
        <f t="shared" si="9"/>
        <v>57.6</v>
      </c>
      <c r="L12" s="354">
        <f t="shared" si="10"/>
        <v>0</v>
      </c>
      <c r="M12" s="348">
        <f t="shared" si="11"/>
        <v>847</v>
      </c>
      <c r="N12" s="144">
        <f t="shared" si="12"/>
        <v>0</v>
      </c>
      <c r="O12" s="144">
        <f t="shared" si="13"/>
        <v>0</v>
      </c>
      <c r="P12" s="144">
        <f t="shared" si="14"/>
        <v>0</v>
      </c>
      <c r="Q12" s="144">
        <f t="shared" si="15"/>
        <v>0</v>
      </c>
      <c r="R12" s="144">
        <f t="shared" si="16"/>
        <v>0</v>
      </c>
      <c r="S12" s="348">
        <f t="shared" si="17"/>
        <v>349</v>
      </c>
      <c r="T12" s="154"/>
      <c r="U12" s="255">
        <f>L9+L10+L11+L12</f>
        <v>0</v>
      </c>
      <c r="V12" s="255">
        <f>M9+M10+M11+M12</f>
        <v>1657</v>
      </c>
      <c r="W12" s="255">
        <f t="shared" ref="W12:AB12" si="18">N9+N10+N11+N12</f>
        <v>0</v>
      </c>
      <c r="X12" s="255">
        <f t="shared" si="18"/>
        <v>0</v>
      </c>
      <c r="Y12" s="255">
        <f t="shared" si="18"/>
        <v>0</v>
      </c>
      <c r="Z12" s="255">
        <f t="shared" si="18"/>
        <v>0</v>
      </c>
      <c r="AA12" s="255">
        <f t="shared" si="18"/>
        <v>0</v>
      </c>
      <c r="AB12" s="255">
        <f t="shared" si="18"/>
        <v>538</v>
      </c>
      <c r="AC12" s="153"/>
      <c r="AD12" s="158">
        <f t="shared" si="0"/>
        <v>1450</v>
      </c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>
        <v>387.45600000000002</v>
      </c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/>
      <c r="BK12" s="144"/>
      <c r="BL12" s="144"/>
      <c r="BM12" s="144"/>
      <c r="BN12" s="144"/>
      <c r="BO12" s="144"/>
      <c r="BP12" s="144"/>
      <c r="BQ12" s="144"/>
      <c r="BR12" s="144"/>
      <c r="BS12" s="144"/>
      <c r="BT12" s="144"/>
      <c r="BU12" s="144"/>
      <c r="BV12" s="3">
        <f>53.6+4</f>
        <v>57.6</v>
      </c>
      <c r="BW12" s="1">
        <f t="shared" si="1"/>
        <v>1450</v>
      </c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167"/>
    </row>
    <row r="13" spans="1:107" s="2" customFormat="1" x14ac:dyDescent="0.25">
      <c r="A13" s="524"/>
      <c r="B13" s="125"/>
      <c r="C13" s="210">
        <v>1500</v>
      </c>
      <c r="D13" s="349">
        <f t="shared" si="2"/>
        <v>0</v>
      </c>
      <c r="E13" s="349">
        <f t="shared" si="3"/>
        <v>603.62099999999998</v>
      </c>
      <c r="F13" s="147">
        <f>SUM(BF13:BH13)</f>
        <v>366.44099999999997</v>
      </c>
      <c r="G13" s="147">
        <f t="shared" si="5"/>
        <v>0</v>
      </c>
      <c r="H13" s="147">
        <f t="shared" si="6"/>
        <v>0</v>
      </c>
      <c r="I13" s="147">
        <f t="shared" si="7"/>
        <v>0</v>
      </c>
      <c r="J13" s="156">
        <f t="shared" si="8"/>
        <v>0</v>
      </c>
      <c r="K13" s="349">
        <f t="shared" si="9"/>
        <v>69.3</v>
      </c>
      <c r="L13" s="355">
        <f t="shared" si="10"/>
        <v>0</v>
      </c>
      <c r="M13" s="349">
        <f>ROUNDUP(((E12+E13)*0.5)*(C13-C12)/27,0)</f>
        <v>918</v>
      </c>
      <c r="N13" s="147">
        <f>ROUNDUP(((F12+F13)*0.5)*(C13-C12)/27,0)</f>
        <v>340</v>
      </c>
      <c r="O13" s="147">
        <f t="shared" si="13"/>
        <v>0</v>
      </c>
      <c r="P13" s="147">
        <f t="shared" si="14"/>
        <v>0</v>
      </c>
      <c r="Q13" s="147">
        <f t="shared" si="15"/>
        <v>0</v>
      </c>
      <c r="R13" s="147">
        <f t="shared" si="16"/>
        <v>0</v>
      </c>
      <c r="S13" s="349">
        <f>ROUNDUP(((K13+K12)*0.5)*(C13-C12)/9,0)</f>
        <v>353</v>
      </c>
      <c r="T13" s="56"/>
      <c r="U13" s="151"/>
      <c r="V13" s="147"/>
      <c r="W13" s="147"/>
      <c r="X13" s="147"/>
      <c r="Y13" s="147"/>
      <c r="Z13" s="147"/>
      <c r="AA13" s="147"/>
      <c r="AB13" s="147"/>
      <c r="AC13" s="55"/>
      <c r="AD13" s="155">
        <f t="shared" si="0"/>
        <v>1500</v>
      </c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>
        <v>603.62099999999998</v>
      </c>
      <c r="AW13" s="147"/>
      <c r="AX13" s="147"/>
      <c r="AY13" s="147"/>
      <c r="AZ13" s="147"/>
      <c r="BA13" s="147"/>
      <c r="BB13" s="147"/>
      <c r="BC13" s="147"/>
      <c r="BD13" s="147"/>
      <c r="BE13" s="147"/>
      <c r="BF13" s="147">
        <v>366.44099999999997</v>
      </c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  <c r="BR13" s="147"/>
      <c r="BS13" s="147"/>
      <c r="BT13" s="147"/>
      <c r="BU13" s="147"/>
      <c r="BV13">
        <f>65.3+4</f>
        <v>69.3</v>
      </c>
      <c r="BW13" s="1">
        <f t="shared" si="1"/>
        <v>1500</v>
      </c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 s="41"/>
    </row>
    <row r="14" spans="1:107" x14ac:dyDescent="0.25">
      <c r="A14" s="524"/>
      <c r="B14" s="125"/>
      <c r="C14" s="121">
        <v>1550</v>
      </c>
      <c r="D14" s="347">
        <f t="shared" si="2"/>
        <v>0</v>
      </c>
      <c r="E14" s="347">
        <f t="shared" ref="E14:E22" si="19">SUM(AV14:BD14)</f>
        <v>483.65600000000001</v>
      </c>
      <c r="F14" s="58">
        <f t="shared" si="4"/>
        <v>104.976</v>
      </c>
      <c r="G14" s="58">
        <f t="shared" si="5"/>
        <v>0</v>
      </c>
      <c r="H14" s="58">
        <f t="shared" si="6"/>
        <v>0</v>
      </c>
      <c r="I14" s="58">
        <f t="shared" si="7"/>
        <v>0</v>
      </c>
      <c r="J14" s="51">
        <f t="shared" si="8"/>
        <v>0</v>
      </c>
      <c r="K14" s="347">
        <f t="shared" si="9"/>
        <v>54.1</v>
      </c>
      <c r="L14" s="353">
        <f t="shared" si="10"/>
        <v>0</v>
      </c>
      <c r="M14" s="347">
        <f t="shared" si="11"/>
        <v>1007</v>
      </c>
      <c r="N14" s="58">
        <f t="shared" si="12"/>
        <v>437</v>
      </c>
      <c r="O14" s="58">
        <f t="shared" si="13"/>
        <v>0</v>
      </c>
      <c r="P14" s="58">
        <f t="shared" si="14"/>
        <v>0</v>
      </c>
      <c r="Q14" s="58">
        <f t="shared" si="15"/>
        <v>0</v>
      </c>
      <c r="R14" s="58">
        <f t="shared" si="16"/>
        <v>0</v>
      </c>
      <c r="S14" s="347">
        <f t="shared" si="17"/>
        <v>343</v>
      </c>
      <c r="U14" s="105"/>
      <c r="V14" s="58"/>
      <c r="W14" s="58"/>
      <c r="X14" s="58"/>
      <c r="Y14" s="58"/>
      <c r="Z14" s="58"/>
      <c r="AA14" s="58"/>
      <c r="AB14" s="58"/>
      <c r="AD14" s="57">
        <f t="shared" si="0"/>
        <v>1550</v>
      </c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>
        <v>483.65600000000001</v>
      </c>
      <c r="AW14" s="58"/>
      <c r="AX14" s="58"/>
      <c r="AY14" s="58"/>
      <c r="AZ14" s="58"/>
      <c r="BA14" s="58"/>
      <c r="BB14" s="58"/>
      <c r="BC14" s="58"/>
      <c r="BD14" s="58"/>
      <c r="BE14" s="58"/>
      <c r="BF14" s="58">
        <v>104.976</v>
      </c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>
        <f>50.1+4</f>
        <v>54.1</v>
      </c>
      <c r="BW14" s="1">
        <f t="shared" si="1"/>
        <v>1550</v>
      </c>
    </row>
    <row r="15" spans="1:107" s="3" customFormat="1" ht="15.75" thickBot="1" x14ac:dyDescent="0.3">
      <c r="A15" s="524"/>
      <c r="B15" s="211"/>
      <c r="C15" s="212">
        <v>1600</v>
      </c>
      <c r="D15" s="348">
        <f t="shared" si="2"/>
        <v>0</v>
      </c>
      <c r="E15" s="348">
        <f t="shared" si="19"/>
        <v>234.51400000000001</v>
      </c>
      <c r="F15" s="144">
        <f t="shared" si="4"/>
        <v>2.9689999999999999</v>
      </c>
      <c r="G15" s="144">
        <f t="shared" si="5"/>
        <v>0</v>
      </c>
      <c r="H15" s="144">
        <f t="shared" si="6"/>
        <v>0</v>
      </c>
      <c r="I15" s="144">
        <f t="shared" si="7"/>
        <v>0</v>
      </c>
      <c r="J15" s="159">
        <f t="shared" si="8"/>
        <v>0</v>
      </c>
      <c r="K15" s="348">
        <f t="shared" si="9"/>
        <v>39.9</v>
      </c>
      <c r="L15" s="354">
        <f t="shared" si="10"/>
        <v>0</v>
      </c>
      <c r="M15" s="348">
        <f t="shared" si="11"/>
        <v>665</v>
      </c>
      <c r="N15" s="144">
        <f t="shared" si="12"/>
        <v>100</v>
      </c>
      <c r="O15" s="144">
        <f t="shared" si="13"/>
        <v>0</v>
      </c>
      <c r="P15" s="144">
        <f t="shared" si="14"/>
        <v>0</v>
      </c>
      <c r="Q15" s="144">
        <f t="shared" si="15"/>
        <v>0</v>
      </c>
      <c r="R15" s="144">
        <f t="shared" si="16"/>
        <v>0</v>
      </c>
      <c r="S15" s="348">
        <f t="shared" si="17"/>
        <v>262</v>
      </c>
      <c r="U15" s="255">
        <f>L13+L14+L15</f>
        <v>0</v>
      </c>
      <c r="V15" s="255">
        <f t="shared" ref="V15:AB15" si="20">M13+M14+M15</f>
        <v>2590</v>
      </c>
      <c r="W15" s="255">
        <f t="shared" si="20"/>
        <v>877</v>
      </c>
      <c r="X15" s="255">
        <f t="shared" si="20"/>
        <v>0</v>
      </c>
      <c r="Y15" s="255">
        <f t="shared" si="20"/>
        <v>0</v>
      </c>
      <c r="Z15" s="255">
        <f t="shared" si="20"/>
        <v>0</v>
      </c>
      <c r="AA15" s="255">
        <f t="shared" si="20"/>
        <v>0</v>
      </c>
      <c r="AB15" s="255">
        <f t="shared" si="20"/>
        <v>958</v>
      </c>
      <c r="AD15" s="158">
        <f t="shared" si="0"/>
        <v>1600</v>
      </c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>
        <v>234.51400000000001</v>
      </c>
      <c r="AW15" s="144"/>
      <c r="AX15" s="144"/>
      <c r="AY15" s="144"/>
      <c r="AZ15" s="144"/>
      <c r="BA15" s="144"/>
      <c r="BB15" s="144"/>
      <c r="BC15" s="144"/>
      <c r="BD15" s="144"/>
      <c r="BE15" s="144"/>
      <c r="BF15" s="144">
        <v>2.9689999999999999</v>
      </c>
      <c r="BG15" s="144"/>
      <c r="BH15" s="144"/>
      <c r="BI15" s="144"/>
      <c r="BJ15" s="144"/>
      <c r="BK15" s="144"/>
      <c r="BL15" s="144"/>
      <c r="BM15" s="144"/>
      <c r="BN15" s="144"/>
      <c r="BO15" s="144"/>
      <c r="BP15" s="144"/>
      <c r="BQ15" s="144"/>
      <c r="BR15" s="144"/>
      <c r="BS15" s="144"/>
      <c r="BT15" s="144"/>
      <c r="BU15" s="144"/>
      <c r="BV15" s="3">
        <f>35.9+4</f>
        <v>39.9</v>
      </c>
      <c r="BW15" s="1">
        <f t="shared" si="1"/>
        <v>1600</v>
      </c>
    </row>
    <row r="16" spans="1:107" x14ac:dyDescent="0.25">
      <c r="A16" s="524"/>
      <c r="B16" s="125"/>
      <c r="C16" s="210">
        <v>1650</v>
      </c>
      <c r="D16" s="349">
        <f t="shared" si="2"/>
        <v>0</v>
      </c>
      <c r="E16" s="349">
        <f t="shared" si="19"/>
        <v>286.721</v>
      </c>
      <c r="F16" s="147">
        <f t="shared" si="4"/>
        <v>317.47800000000001</v>
      </c>
      <c r="G16" s="147">
        <f t="shared" si="5"/>
        <v>0</v>
      </c>
      <c r="H16" s="147">
        <f t="shared" si="6"/>
        <v>0</v>
      </c>
      <c r="I16" s="147">
        <f t="shared" si="7"/>
        <v>0</v>
      </c>
      <c r="J16" s="156">
        <f t="shared" si="8"/>
        <v>0</v>
      </c>
      <c r="K16" s="349">
        <f t="shared" si="9"/>
        <v>61.3</v>
      </c>
      <c r="L16" s="355">
        <f t="shared" si="10"/>
        <v>0</v>
      </c>
      <c r="M16" s="349">
        <f t="shared" si="11"/>
        <v>483</v>
      </c>
      <c r="N16" s="147">
        <f t="shared" si="12"/>
        <v>297</v>
      </c>
      <c r="O16" s="147">
        <f t="shared" si="13"/>
        <v>0</v>
      </c>
      <c r="P16" s="147">
        <f t="shared" si="14"/>
        <v>0</v>
      </c>
      <c r="Q16" s="147">
        <f t="shared" si="15"/>
        <v>0</v>
      </c>
      <c r="R16" s="147">
        <f t="shared" si="16"/>
        <v>0</v>
      </c>
      <c r="S16" s="349">
        <f t="shared" si="17"/>
        <v>282</v>
      </c>
      <c r="U16" s="151"/>
      <c r="V16" s="147"/>
      <c r="W16" s="147"/>
      <c r="X16" s="147"/>
      <c r="Y16" s="147"/>
      <c r="Z16" s="147"/>
      <c r="AA16" s="147"/>
      <c r="AB16" s="147"/>
      <c r="AD16" s="155">
        <f t="shared" si="0"/>
        <v>1650</v>
      </c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>
        <v>286.721</v>
      </c>
      <c r="AW16" s="147"/>
      <c r="AX16" s="147"/>
      <c r="AY16" s="147"/>
      <c r="AZ16" s="147"/>
      <c r="BA16" s="147"/>
      <c r="BB16" s="147"/>
      <c r="BC16" s="147"/>
      <c r="BD16" s="147"/>
      <c r="BE16" s="147"/>
      <c r="BF16" s="147">
        <v>317.47800000000001</v>
      </c>
      <c r="BG16" s="147"/>
      <c r="BH16" s="147"/>
      <c r="BI16" s="147"/>
      <c r="BJ16" s="147"/>
      <c r="BK16" s="147"/>
      <c r="BL16" s="147"/>
      <c r="BM16" s="147"/>
      <c r="BN16" s="147"/>
      <c r="BO16" s="147"/>
      <c r="BP16" s="147"/>
      <c r="BQ16" s="147"/>
      <c r="BR16" s="147"/>
      <c r="BS16" s="147"/>
      <c r="BT16" s="147"/>
      <c r="BU16" s="147"/>
      <c r="BV16">
        <f>57.3+4</f>
        <v>61.3</v>
      </c>
      <c r="BW16" s="1">
        <f t="shared" si="1"/>
        <v>1650</v>
      </c>
    </row>
    <row r="17" spans="1:75" x14ac:dyDescent="0.25">
      <c r="A17" s="524"/>
      <c r="B17" s="125"/>
      <c r="C17" s="121">
        <v>1700</v>
      </c>
      <c r="D17" s="347">
        <f t="shared" si="2"/>
        <v>0</v>
      </c>
      <c r="E17" s="347">
        <f t="shared" si="19"/>
        <v>225.10300000000001</v>
      </c>
      <c r="F17" s="58">
        <f t="shared" si="4"/>
        <v>462.55799999999999</v>
      </c>
      <c r="G17" s="58">
        <f t="shared" si="5"/>
        <v>0</v>
      </c>
      <c r="H17" s="58">
        <f t="shared" si="6"/>
        <v>0</v>
      </c>
      <c r="I17" s="58">
        <f t="shared" si="7"/>
        <v>0</v>
      </c>
      <c r="J17" s="51">
        <f t="shared" si="8"/>
        <v>0</v>
      </c>
      <c r="K17" s="347">
        <f t="shared" si="9"/>
        <v>55.8</v>
      </c>
      <c r="L17" s="353">
        <f t="shared" si="10"/>
        <v>0</v>
      </c>
      <c r="M17" s="347">
        <f t="shared" si="11"/>
        <v>474</v>
      </c>
      <c r="N17" s="58">
        <f t="shared" si="12"/>
        <v>723</v>
      </c>
      <c r="O17" s="58">
        <f t="shared" si="13"/>
        <v>0</v>
      </c>
      <c r="P17" s="58">
        <f t="shared" si="14"/>
        <v>0</v>
      </c>
      <c r="Q17" s="58">
        <f t="shared" si="15"/>
        <v>0</v>
      </c>
      <c r="R17" s="58">
        <f t="shared" si="16"/>
        <v>0</v>
      </c>
      <c r="S17" s="347">
        <f t="shared" si="17"/>
        <v>326</v>
      </c>
      <c r="U17" s="105"/>
      <c r="V17" s="58"/>
      <c r="W17" s="58"/>
      <c r="X17" s="58"/>
      <c r="Y17" s="58"/>
      <c r="Z17" s="58"/>
      <c r="AA17" s="58"/>
      <c r="AB17" s="58"/>
      <c r="AD17" s="57">
        <f t="shared" si="0"/>
        <v>1700</v>
      </c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>
        <v>225.10300000000001</v>
      </c>
      <c r="AW17" s="58"/>
      <c r="AX17" s="58"/>
      <c r="AY17" s="58"/>
      <c r="AZ17" s="58"/>
      <c r="BA17" s="58"/>
      <c r="BB17" s="58"/>
      <c r="BC17" s="58"/>
      <c r="BD17" s="58"/>
      <c r="BE17" s="58"/>
      <c r="BF17" s="58">
        <v>462.55799999999999</v>
      </c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>
        <f>51.8+4</f>
        <v>55.8</v>
      </c>
      <c r="BW17" s="1">
        <f t="shared" si="1"/>
        <v>1700</v>
      </c>
    </row>
    <row r="18" spans="1:75" s="3" customFormat="1" ht="15.75" thickBot="1" x14ac:dyDescent="0.3">
      <c r="A18" s="524"/>
      <c r="B18" s="211"/>
      <c r="C18" s="212">
        <v>1750</v>
      </c>
      <c r="D18" s="348">
        <f t="shared" si="2"/>
        <v>0</v>
      </c>
      <c r="E18" s="348">
        <f t="shared" si="19"/>
        <v>173.559</v>
      </c>
      <c r="F18" s="144">
        <f t="shared" si="4"/>
        <v>418.55500000000001</v>
      </c>
      <c r="G18" s="144">
        <f t="shared" si="5"/>
        <v>0</v>
      </c>
      <c r="H18" s="144">
        <f t="shared" si="6"/>
        <v>0</v>
      </c>
      <c r="I18" s="144">
        <f t="shared" si="7"/>
        <v>0</v>
      </c>
      <c r="J18" s="159">
        <f t="shared" si="8"/>
        <v>0</v>
      </c>
      <c r="K18" s="348">
        <f t="shared" si="9"/>
        <v>50.7</v>
      </c>
      <c r="L18" s="354">
        <f t="shared" si="10"/>
        <v>0</v>
      </c>
      <c r="M18" s="348">
        <f t="shared" si="11"/>
        <v>370</v>
      </c>
      <c r="N18" s="144">
        <f t="shared" si="12"/>
        <v>816</v>
      </c>
      <c r="O18" s="144">
        <f t="shared" si="13"/>
        <v>0</v>
      </c>
      <c r="P18" s="144">
        <f t="shared" si="14"/>
        <v>0</v>
      </c>
      <c r="Q18" s="144">
        <f t="shared" si="15"/>
        <v>0</v>
      </c>
      <c r="R18" s="144">
        <f t="shared" si="16"/>
        <v>0</v>
      </c>
      <c r="S18" s="348">
        <f t="shared" si="17"/>
        <v>296</v>
      </c>
      <c r="U18" s="255">
        <f>L16+L17+L18</f>
        <v>0</v>
      </c>
      <c r="V18" s="255">
        <f t="shared" ref="V18" si="21">M16+M17+M18</f>
        <v>1327</v>
      </c>
      <c r="W18" s="255">
        <f t="shared" ref="W18" si="22">N16+N17+N18</f>
        <v>1836</v>
      </c>
      <c r="X18" s="255">
        <f t="shared" ref="X18" si="23">O16+O17+O18</f>
        <v>0</v>
      </c>
      <c r="Y18" s="255">
        <f t="shared" ref="Y18" si="24">P16+P17+P18</f>
        <v>0</v>
      </c>
      <c r="Z18" s="255">
        <f t="shared" ref="Z18" si="25">Q16+Q17+Q18</f>
        <v>0</v>
      </c>
      <c r="AA18" s="255">
        <f t="shared" ref="AA18" si="26">R16+R17+R18</f>
        <v>0</v>
      </c>
      <c r="AB18" s="255">
        <f t="shared" ref="AB18" si="27">S16+S17+S18</f>
        <v>904</v>
      </c>
      <c r="AD18" s="158">
        <f t="shared" si="0"/>
        <v>1750</v>
      </c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>
        <v>173.559</v>
      </c>
      <c r="AW18" s="144"/>
      <c r="AX18" s="144"/>
      <c r="AY18" s="144"/>
      <c r="AZ18" s="144"/>
      <c r="BA18" s="144"/>
      <c r="BB18" s="144"/>
      <c r="BC18" s="144"/>
      <c r="BD18" s="144"/>
      <c r="BE18" s="144"/>
      <c r="BF18" s="144">
        <v>418.55500000000001</v>
      </c>
      <c r="BG18" s="144"/>
      <c r="BH18" s="144"/>
      <c r="BI18" s="144"/>
      <c r="BJ18" s="144"/>
      <c r="BK18" s="144"/>
      <c r="BL18" s="144"/>
      <c r="BM18" s="144"/>
      <c r="BN18" s="144"/>
      <c r="BO18" s="144"/>
      <c r="BP18" s="144"/>
      <c r="BQ18" s="144"/>
      <c r="BR18" s="144"/>
      <c r="BS18" s="144"/>
      <c r="BT18" s="144"/>
      <c r="BU18" s="144"/>
      <c r="BV18" s="3">
        <f>46.7+4</f>
        <v>50.7</v>
      </c>
      <c r="BW18" s="1">
        <f t="shared" si="1"/>
        <v>1750</v>
      </c>
    </row>
    <row r="19" spans="1:75" x14ac:dyDescent="0.25">
      <c r="A19" s="524"/>
      <c r="B19" s="125"/>
      <c r="C19" s="210">
        <v>1800</v>
      </c>
      <c r="D19" s="349">
        <f t="shared" si="2"/>
        <v>0</v>
      </c>
      <c r="E19" s="349">
        <f t="shared" si="19"/>
        <v>127.03700000000001</v>
      </c>
      <c r="F19" s="147">
        <f t="shared" si="4"/>
        <v>453.589</v>
      </c>
      <c r="G19" s="147">
        <f t="shared" si="5"/>
        <v>0</v>
      </c>
      <c r="H19" s="147">
        <f t="shared" si="6"/>
        <v>0</v>
      </c>
      <c r="I19" s="147">
        <f t="shared" si="7"/>
        <v>0</v>
      </c>
      <c r="J19" s="156">
        <f t="shared" si="8"/>
        <v>0</v>
      </c>
      <c r="K19" s="349">
        <f t="shared" si="9"/>
        <v>54.6</v>
      </c>
      <c r="L19" s="355">
        <f t="shared" si="10"/>
        <v>0</v>
      </c>
      <c r="M19" s="349">
        <f t="shared" si="11"/>
        <v>279</v>
      </c>
      <c r="N19" s="147">
        <f t="shared" si="12"/>
        <v>808</v>
      </c>
      <c r="O19" s="147">
        <f t="shared" si="13"/>
        <v>0</v>
      </c>
      <c r="P19" s="147">
        <f t="shared" si="14"/>
        <v>0</v>
      </c>
      <c r="Q19" s="147">
        <f t="shared" si="15"/>
        <v>0</v>
      </c>
      <c r="R19" s="147">
        <f t="shared" si="16"/>
        <v>0</v>
      </c>
      <c r="S19" s="349">
        <f t="shared" si="17"/>
        <v>293</v>
      </c>
      <c r="U19" s="151"/>
      <c r="V19" s="147"/>
      <c r="W19" s="147"/>
      <c r="X19" s="147"/>
      <c r="Y19" s="147"/>
      <c r="Z19" s="147"/>
      <c r="AA19" s="147"/>
      <c r="AB19" s="147"/>
      <c r="AD19" s="155">
        <f t="shared" si="0"/>
        <v>1800</v>
      </c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>
        <v>127.03700000000001</v>
      </c>
      <c r="AW19" s="147"/>
      <c r="AX19" s="147"/>
      <c r="AY19" s="147"/>
      <c r="AZ19" s="147"/>
      <c r="BA19" s="147"/>
      <c r="BB19" s="147"/>
      <c r="BC19" s="147"/>
      <c r="BD19" s="147"/>
      <c r="BE19" s="147"/>
      <c r="BF19" s="147">
        <v>453.589</v>
      </c>
      <c r="BG19" s="147"/>
      <c r="BH19" s="147"/>
      <c r="BI19" s="147"/>
      <c r="BJ19" s="147"/>
      <c r="BK19" s="147"/>
      <c r="BL19" s="147"/>
      <c r="BM19" s="147"/>
      <c r="BN19" s="147"/>
      <c r="BO19" s="147"/>
      <c r="BP19" s="147"/>
      <c r="BQ19" s="147"/>
      <c r="BR19" s="147"/>
      <c r="BS19" s="147"/>
      <c r="BT19" s="147"/>
      <c r="BU19" s="147"/>
      <c r="BV19">
        <f>50.6+4</f>
        <v>54.6</v>
      </c>
      <c r="BW19" s="1">
        <f t="shared" si="1"/>
        <v>1800</v>
      </c>
    </row>
    <row r="20" spans="1:75" x14ac:dyDescent="0.25">
      <c r="A20" s="524"/>
      <c r="B20" s="125"/>
      <c r="C20" s="121">
        <v>1850</v>
      </c>
      <c r="D20" s="347">
        <f t="shared" si="2"/>
        <v>0</v>
      </c>
      <c r="E20" s="347">
        <f t="shared" si="19"/>
        <v>100.22799999999999</v>
      </c>
      <c r="F20" s="58">
        <f t="shared" si="4"/>
        <v>444.13900000000001</v>
      </c>
      <c r="G20" s="58">
        <f t="shared" si="5"/>
        <v>0</v>
      </c>
      <c r="H20" s="58">
        <f t="shared" si="6"/>
        <v>0</v>
      </c>
      <c r="I20" s="58">
        <f t="shared" si="7"/>
        <v>0</v>
      </c>
      <c r="J20" s="51">
        <f t="shared" si="8"/>
        <v>0</v>
      </c>
      <c r="K20" s="347">
        <f t="shared" si="9"/>
        <v>52.2</v>
      </c>
      <c r="L20" s="353">
        <f t="shared" si="10"/>
        <v>0</v>
      </c>
      <c r="M20" s="347">
        <f t="shared" si="11"/>
        <v>211</v>
      </c>
      <c r="N20" s="58">
        <f t="shared" si="12"/>
        <v>832</v>
      </c>
      <c r="O20" s="58">
        <f t="shared" si="13"/>
        <v>0</v>
      </c>
      <c r="P20" s="58">
        <f t="shared" si="14"/>
        <v>0</v>
      </c>
      <c r="Q20" s="58">
        <f t="shared" si="15"/>
        <v>0</v>
      </c>
      <c r="R20" s="58">
        <f t="shared" si="16"/>
        <v>0</v>
      </c>
      <c r="S20" s="347">
        <f t="shared" si="17"/>
        <v>297</v>
      </c>
      <c r="U20" s="105"/>
      <c r="V20" s="58"/>
      <c r="W20" s="58"/>
      <c r="X20" s="58"/>
      <c r="Y20" s="58"/>
      <c r="Z20" s="58"/>
      <c r="AA20" s="58"/>
      <c r="AB20" s="58"/>
      <c r="AD20" s="57">
        <f t="shared" si="0"/>
        <v>1850</v>
      </c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>
        <v>100.22799999999999</v>
      </c>
      <c r="AW20" s="58"/>
      <c r="AX20" s="58"/>
      <c r="AY20" s="58"/>
      <c r="AZ20" s="58"/>
      <c r="BA20" s="58"/>
      <c r="BB20" s="58"/>
      <c r="BC20" s="58"/>
      <c r="BD20" s="58"/>
      <c r="BE20" s="58"/>
      <c r="BF20" s="58">
        <v>444.13900000000001</v>
      </c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>
        <f>48.2+4</f>
        <v>52.2</v>
      </c>
      <c r="BW20" s="1">
        <f t="shared" si="1"/>
        <v>1850</v>
      </c>
    </row>
    <row r="21" spans="1:75" s="3" customFormat="1" ht="15.75" thickBot="1" x14ac:dyDescent="0.3">
      <c r="A21" s="524"/>
      <c r="B21" s="211"/>
      <c r="C21" s="212">
        <v>1900</v>
      </c>
      <c r="D21" s="348">
        <f t="shared" si="2"/>
        <v>0</v>
      </c>
      <c r="E21" s="348">
        <f t="shared" si="19"/>
        <v>93.215999999999994</v>
      </c>
      <c r="F21" s="144">
        <f t="shared" si="4"/>
        <v>448.03199999999998</v>
      </c>
      <c r="G21" s="144">
        <f t="shared" si="5"/>
        <v>0</v>
      </c>
      <c r="H21" s="144">
        <f t="shared" si="6"/>
        <v>0</v>
      </c>
      <c r="I21" s="144">
        <f t="shared" si="7"/>
        <v>0</v>
      </c>
      <c r="J21" s="159">
        <f t="shared" si="8"/>
        <v>0</v>
      </c>
      <c r="K21" s="348">
        <f t="shared" si="9"/>
        <v>47.5</v>
      </c>
      <c r="L21" s="354">
        <f t="shared" si="10"/>
        <v>0</v>
      </c>
      <c r="M21" s="348">
        <f t="shared" si="11"/>
        <v>180</v>
      </c>
      <c r="N21" s="144">
        <f t="shared" si="12"/>
        <v>827</v>
      </c>
      <c r="O21" s="144">
        <f t="shared" si="13"/>
        <v>0</v>
      </c>
      <c r="P21" s="144">
        <f t="shared" si="14"/>
        <v>0</v>
      </c>
      <c r="Q21" s="144">
        <f t="shared" si="15"/>
        <v>0</v>
      </c>
      <c r="R21" s="144">
        <f t="shared" si="16"/>
        <v>0</v>
      </c>
      <c r="S21" s="348">
        <f t="shared" si="17"/>
        <v>277</v>
      </c>
      <c r="U21" s="255">
        <f>L19+L20+L21</f>
        <v>0</v>
      </c>
      <c r="V21" s="255">
        <f t="shared" ref="V21" si="28">M19+M20+M21</f>
        <v>670</v>
      </c>
      <c r="W21" s="255">
        <f t="shared" ref="W21" si="29">N19+N20+N21</f>
        <v>2467</v>
      </c>
      <c r="X21" s="255">
        <f t="shared" ref="X21" si="30">O19+O20+O21</f>
        <v>0</v>
      </c>
      <c r="Y21" s="255">
        <f t="shared" ref="Y21" si="31">P19+P20+P21</f>
        <v>0</v>
      </c>
      <c r="Z21" s="255">
        <f t="shared" ref="Z21" si="32">Q19+Q20+Q21</f>
        <v>0</v>
      </c>
      <c r="AA21" s="255">
        <f t="shared" ref="AA21" si="33">R19+R20+R21</f>
        <v>0</v>
      </c>
      <c r="AB21" s="255">
        <f t="shared" ref="AB21" si="34">S19+S20+S21</f>
        <v>867</v>
      </c>
      <c r="AD21" s="158">
        <f t="shared" si="0"/>
        <v>1900</v>
      </c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>
        <v>93.215999999999994</v>
      </c>
      <c r="AW21" s="144"/>
      <c r="AX21" s="144"/>
      <c r="AY21" s="144"/>
      <c r="AZ21" s="144"/>
      <c r="BA21" s="144"/>
      <c r="BB21" s="144"/>
      <c r="BC21" s="144"/>
      <c r="BD21" s="144"/>
      <c r="BE21" s="144"/>
      <c r="BF21" s="144">
        <v>448.03199999999998</v>
      </c>
      <c r="BG21" s="144"/>
      <c r="BH21" s="144"/>
      <c r="BI21" s="144"/>
      <c r="BJ21" s="144"/>
      <c r="BK21" s="144"/>
      <c r="BL21" s="144"/>
      <c r="BM21" s="144"/>
      <c r="BN21" s="144"/>
      <c r="BO21" s="144"/>
      <c r="BP21" s="144"/>
      <c r="BQ21" s="144"/>
      <c r="BR21" s="144"/>
      <c r="BS21" s="144"/>
      <c r="BT21" s="144"/>
      <c r="BU21" s="144"/>
      <c r="BV21" s="3">
        <f>43.5+4</f>
        <v>47.5</v>
      </c>
      <c r="BW21" s="1">
        <f t="shared" si="1"/>
        <v>1900</v>
      </c>
    </row>
    <row r="22" spans="1:75" x14ac:dyDescent="0.25">
      <c r="A22" s="524"/>
      <c r="B22" s="125"/>
      <c r="C22" s="210">
        <v>1950</v>
      </c>
      <c r="D22" s="349">
        <f t="shared" si="2"/>
        <v>0</v>
      </c>
      <c r="E22" s="349">
        <f t="shared" si="19"/>
        <v>94.843000000000004</v>
      </c>
      <c r="F22" s="147">
        <f t="shared" si="4"/>
        <v>529.80200000000002</v>
      </c>
      <c r="G22" s="147">
        <f t="shared" si="5"/>
        <v>0</v>
      </c>
      <c r="H22" s="147">
        <f t="shared" si="6"/>
        <v>0</v>
      </c>
      <c r="I22" s="147">
        <f t="shared" si="7"/>
        <v>0</v>
      </c>
      <c r="J22" s="156">
        <f t="shared" si="8"/>
        <v>0</v>
      </c>
      <c r="K22" s="349">
        <f t="shared" si="9"/>
        <v>60.1</v>
      </c>
      <c r="L22" s="355">
        <f t="shared" si="10"/>
        <v>0</v>
      </c>
      <c r="M22" s="349">
        <f t="shared" si="11"/>
        <v>175</v>
      </c>
      <c r="N22" s="147">
        <f t="shared" si="12"/>
        <v>906</v>
      </c>
      <c r="O22" s="147">
        <f t="shared" si="13"/>
        <v>0</v>
      </c>
      <c r="P22" s="147">
        <f t="shared" si="14"/>
        <v>0</v>
      </c>
      <c r="Q22" s="147">
        <f t="shared" si="15"/>
        <v>0</v>
      </c>
      <c r="R22" s="147">
        <f t="shared" si="16"/>
        <v>0</v>
      </c>
      <c r="S22" s="349">
        <f t="shared" si="17"/>
        <v>299</v>
      </c>
      <c r="U22" s="151"/>
      <c r="V22" s="147"/>
      <c r="W22" s="147"/>
      <c r="X22" s="147"/>
      <c r="Y22" s="147"/>
      <c r="Z22" s="147"/>
      <c r="AA22" s="147"/>
      <c r="AB22" s="147"/>
      <c r="AD22" s="155">
        <f t="shared" si="0"/>
        <v>1950</v>
      </c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>
        <v>94.843000000000004</v>
      </c>
      <c r="AW22" s="147"/>
      <c r="AX22" s="147"/>
      <c r="AY22" s="147"/>
      <c r="AZ22" s="147"/>
      <c r="BA22" s="147"/>
      <c r="BB22" s="147"/>
      <c r="BC22" s="147"/>
      <c r="BD22" s="147"/>
      <c r="BE22" s="147"/>
      <c r="BF22" s="147">
        <v>529.80200000000002</v>
      </c>
      <c r="BG22" s="147"/>
      <c r="BH22" s="147"/>
      <c r="BI22" s="147"/>
      <c r="BJ22" s="147"/>
      <c r="BK22" s="147"/>
      <c r="BL22" s="147"/>
      <c r="BM22" s="147"/>
      <c r="BN22" s="147"/>
      <c r="BO22" s="147"/>
      <c r="BP22" s="147"/>
      <c r="BQ22" s="147"/>
      <c r="BR22" s="147"/>
      <c r="BS22" s="147"/>
      <c r="BT22" s="147"/>
      <c r="BU22" s="147"/>
      <c r="BV22">
        <f>56.1+4</f>
        <v>60.1</v>
      </c>
      <c r="BW22" s="1">
        <f t="shared" si="1"/>
        <v>1950</v>
      </c>
    </row>
    <row r="23" spans="1:75" x14ac:dyDescent="0.25">
      <c r="A23" s="524"/>
      <c r="C23" s="57">
        <v>1979.5</v>
      </c>
      <c r="D23" s="347">
        <f t="shared" ref="D23:D30" si="35">SUM(AE23:AU23)</f>
        <v>294.34199999999998</v>
      </c>
      <c r="E23" s="347">
        <f t="shared" ref="E23:E30" si="36">SUM(AV23:BD23)</f>
        <v>126.69199999999999</v>
      </c>
      <c r="F23" s="58">
        <f t="shared" ref="F23:F30" si="37">SUM(BF23:BH23)</f>
        <v>898.09100000000001</v>
      </c>
      <c r="G23" s="58">
        <f t="shared" si="5"/>
        <v>0</v>
      </c>
      <c r="H23" s="58">
        <f t="shared" si="6"/>
        <v>0</v>
      </c>
      <c r="I23" s="58">
        <f t="shared" si="7"/>
        <v>0</v>
      </c>
      <c r="J23" s="51">
        <f t="shared" si="8"/>
        <v>0</v>
      </c>
      <c r="K23" s="347">
        <f t="shared" ref="K23:K30" si="38">SUM(BS23:BV23)</f>
        <v>128.9</v>
      </c>
      <c r="L23" s="353">
        <f t="shared" ref="L23:L26" si="39">ROUNDUP(((D22+D23)*0.5)*(C23-C22)/27,0)</f>
        <v>161</v>
      </c>
      <c r="M23" s="347">
        <f t="shared" ref="M23:M26" si="40">ROUNDUP(((E22+E23)*0.5)*(C23-C22)/27,0)</f>
        <v>122</v>
      </c>
      <c r="N23" s="58">
        <f t="shared" ref="N23:N26" si="41">ROUNDUP(((F22+F23)*0.5)*(C23-C22)/27,0)</f>
        <v>781</v>
      </c>
      <c r="O23" s="58">
        <f t="shared" ref="O23:O26" si="42">ROUNDUP(((G23+G22)*0.5)*(C23-C22)/27,0)</f>
        <v>0</v>
      </c>
      <c r="P23" s="58">
        <f t="shared" ref="P23:P26" si="43">ROUNDUP(((H23+H22)*0.5)*(C23-C22)/27,0)</f>
        <v>0</v>
      </c>
      <c r="Q23" s="58">
        <f t="shared" ref="Q23:Q26" si="44">ROUNDUP(((I23+I22)*0.5)*(C23-C22)/9,0)</f>
        <v>0</v>
      </c>
      <c r="R23" s="58">
        <f t="shared" ref="R23:R26" si="45">ROUNDUP(((J23+J22)*0.5)*(C23-C22)/9,0)</f>
        <v>0</v>
      </c>
      <c r="S23" s="347">
        <f t="shared" ref="S23:S26" si="46">ROUNDUP(((K23+K22)*0.5)*(C23-C22)/9,0)</f>
        <v>310</v>
      </c>
      <c r="U23" s="105"/>
      <c r="V23" s="58"/>
      <c r="W23" s="58"/>
      <c r="X23" s="58"/>
      <c r="Y23" s="58"/>
      <c r="Z23" s="58"/>
      <c r="AA23" s="58"/>
      <c r="AB23" s="58"/>
      <c r="AD23" s="57">
        <v>1979.5</v>
      </c>
      <c r="AE23" s="58">
        <v>294.34199999999998</v>
      </c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>
        <v>126.69199999999999</v>
      </c>
      <c r="AW23" s="58"/>
      <c r="AX23" s="58"/>
      <c r="AY23" s="58"/>
      <c r="AZ23" s="58"/>
      <c r="BA23" s="58"/>
      <c r="BB23" s="58"/>
      <c r="BC23" s="58"/>
      <c r="BD23" s="58"/>
      <c r="BE23" s="58"/>
      <c r="BF23" s="58">
        <v>898.09100000000001</v>
      </c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>
        <f>124.9+4</f>
        <v>128.9</v>
      </c>
      <c r="BW23" s="1">
        <f>C23</f>
        <v>1979.5</v>
      </c>
    </row>
    <row r="24" spans="1:75" s="3" customFormat="1" ht="15.75" thickBot="1" x14ac:dyDescent="0.3">
      <c r="A24" s="524"/>
      <c r="C24" s="212">
        <v>2000</v>
      </c>
      <c r="D24" s="348">
        <f t="shared" si="35"/>
        <v>0</v>
      </c>
      <c r="E24" s="348">
        <f t="shared" si="36"/>
        <v>160.375</v>
      </c>
      <c r="F24" s="144">
        <f t="shared" si="37"/>
        <v>921.38499999999999</v>
      </c>
      <c r="G24" s="144">
        <f t="shared" si="5"/>
        <v>0</v>
      </c>
      <c r="H24" s="144">
        <f t="shared" si="6"/>
        <v>0</v>
      </c>
      <c r="I24" s="144">
        <f t="shared" si="7"/>
        <v>0</v>
      </c>
      <c r="J24" s="159">
        <f t="shared" si="8"/>
        <v>0</v>
      </c>
      <c r="K24" s="348">
        <f t="shared" si="38"/>
        <v>63.4</v>
      </c>
      <c r="L24" s="354">
        <f t="shared" si="39"/>
        <v>112</v>
      </c>
      <c r="M24" s="348">
        <f t="shared" si="40"/>
        <v>109</v>
      </c>
      <c r="N24" s="144">
        <f t="shared" si="41"/>
        <v>691</v>
      </c>
      <c r="O24" s="144">
        <f t="shared" si="42"/>
        <v>0</v>
      </c>
      <c r="P24" s="144">
        <f t="shared" si="43"/>
        <v>0</v>
      </c>
      <c r="Q24" s="144">
        <f t="shared" si="44"/>
        <v>0</v>
      </c>
      <c r="R24" s="144">
        <f t="shared" si="45"/>
        <v>0</v>
      </c>
      <c r="S24" s="348">
        <f t="shared" si="46"/>
        <v>220</v>
      </c>
      <c r="U24" s="255">
        <f>L22+L23+L24</f>
        <v>273</v>
      </c>
      <c r="V24" s="255">
        <f t="shared" ref="V24" si="47">M22+M23+M24</f>
        <v>406</v>
      </c>
      <c r="W24" s="255">
        <f t="shared" ref="W24" si="48">N22+N23+N24</f>
        <v>2378</v>
      </c>
      <c r="X24" s="255">
        <f t="shared" ref="X24" si="49">O22+O23+O24</f>
        <v>0</v>
      </c>
      <c r="Y24" s="255">
        <f t="shared" ref="Y24" si="50">P22+P23+P24</f>
        <v>0</v>
      </c>
      <c r="Z24" s="255">
        <f t="shared" ref="Z24" si="51">Q22+Q23+Q24</f>
        <v>0</v>
      </c>
      <c r="AA24" s="255">
        <f t="shared" ref="AA24" si="52">R22+R23+R24</f>
        <v>0</v>
      </c>
      <c r="AB24" s="255">
        <f t="shared" ref="AB24" si="53">S22+S23+S24</f>
        <v>829</v>
      </c>
      <c r="AD24" s="158">
        <v>2000</v>
      </c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>
        <v>160.375</v>
      </c>
      <c r="AW24" s="144"/>
      <c r="AX24" s="144"/>
      <c r="AY24" s="144"/>
      <c r="AZ24" s="144"/>
      <c r="BA24" s="144"/>
      <c r="BB24" s="144"/>
      <c r="BC24" s="144"/>
      <c r="BD24" s="144"/>
      <c r="BE24" s="144"/>
      <c r="BF24" s="144">
        <v>921.38499999999999</v>
      </c>
      <c r="BG24" s="144"/>
      <c r="BH24" s="144"/>
      <c r="BI24" s="144"/>
      <c r="BJ24" s="144"/>
      <c r="BK24" s="144"/>
      <c r="BL24" s="144"/>
      <c r="BM24" s="144"/>
      <c r="BN24" s="144"/>
      <c r="BO24" s="144"/>
      <c r="BP24" s="144"/>
      <c r="BQ24" s="144"/>
      <c r="BR24" s="144"/>
      <c r="BS24" s="144"/>
      <c r="BT24" s="144"/>
      <c r="BU24" s="144"/>
      <c r="BV24" s="3">
        <f>59.4+4</f>
        <v>63.4</v>
      </c>
      <c r="BW24" s="1">
        <f t="shared" ref="BW24:BW30" si="54">C24</f>
        <v>2000</v>
      </c>
    </row>
    <row r="25" spans="1:75" x14ac:dyDescent="0.25">
      <c r="A25" s="524"/>
      <c r="C25" s="210">
        <v>2050</v>
      </c>
      <c r="D25" s="349">
        <f t="shared" si="35"/>
        <v>0</v>
      </c>
      <c r="E25" s="349">
        <f t="shared" si="36"/>
        <v>296.19299999999998</v>
      </c>
      <c r="F25" s="147">
        <f t="shared" si="37"/>
        <v>589.68100000000004</v>
      </c>
      <c r="G25" s="147">
        <f t="shared" si="5"/>
        <v>0</v>
      </c>
      <c r="H25" s="147">
        <f t="shared" si="6"/>
        <v>0</v>
      </c>
      <c r="I25" s="147">
        <f t="shared" si="7"/>
        <v>0</v>
      </c>
      <c r="J25" s="156">
        <f t="shared" si="8"/>
        <v>0</v>
      </c>
      <c r="K25" s="349">
        <f t="shared" si="38"/>
        <v>55.1</v>
      </c>
      <c r="L25" s="355">
        <f t="shared" si="39"/>
        <v>0</v>
      </c>
      <c r="M25" s="349">
        <f t="shared" si="40"/>
        <v>423</v>
      </c>
      <c r="N25" s="147">
        <f t="shared" si="41"/>
        <v>1400</v>
      </c>
      <c r="O25" s="147">
        <f t="shared" si="42"/>
        <v>0</v>
      </c>
      <c r="P25" s="147">
        <f t="shared" si="43"/>
        <v>0</v>
      </c>
      <c r="Q25" s="147">
        <f t="shared" si="44"/>
        <v>0</v>
      </c>
      <c r="R25" s="147">
        <f t="shared" si="45"/>
        <v>0</v>
      </c>
      <c r="S25" s="349">
        <f t="shared" si="46"/>
        <v>330</v>
      </c>
      <c r="U25" s="151"/>
      <c r="V25" s="147"/>
      <c r="W25" s="147"/>
      <c r="X25" s="147"/>
      <c r="Y25" s="147"/>
      <c r="Z25" s="147"/>
      <c r="AA25" s="147"/>
      <c r="AB25" s="147"/>
      <c r="AD25" s="155">
        <f t="shared" ref="AD25:AD30" si="55">C25</f>
        <v>2050</v>
      </c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>
        <v>296.19299999999998</v>
      </c>
      <c r="AW25" s="147"/>
      <c r="AX25" s="147"/>
      <c r="AY25" s="147"/>
      <c r="AZ25" s="147"/>
      <c r="BA25" s="147"/>
      <c r="BB25" s="147"/>
      <c r="BC25" s="147"/>
      <c r="BD25" s="147"/>
      <c r="BE25" s="147"/>
      <c r="BF25" s="147">
        <v>589.68100000000004</v>
      </c>
      <c r="BG25" s="147"/>
      <c r="BH25" s="147"/>
      <c r="BI25" s="147"/>
      <c r="BJ25" s="147"/>
      <c r="BK25" s="147"/>
      <c r="BL25" s="147"/>
      <c r="BM25" s="147"/>
      <c r="BN25" s="147"/>
      <c r="BO25" s="147"/>
      <c r="BP25" s="147"/>
      <c r="BQ25" s="147"/>
      <c r="BR25" s="147"/>
      <c r="BS25" s="147"/>
      <c r="BT25" s="147"/>
      <c r="BU25" s="147"/>
      <c r="BV25">
        <f>51.1+4</f>
        <v>55.1</v>
      </c>
      <c r="BW25" s="1">
        <f t="shared" si="54"/>
        <v>2050</v>
      </c>
    </row>
    <row r="26" spans="1:75" x14ac:dyDescent="0.25">
      <c r="A26" s="524"/>
      <c r="C26" s="121">
        <v>2100</v>
      </c>
      <c r="D26" s="347">
        <f t="shared" si="35"/>
        <v>0</v>
      </c>
      <c r="E26" s="347">
        <f t="shared" si="36"/>
        <v>438.202</v>
      </c>
      <c r="F26" s="58">
        <f t="shared" si="37"/>
        <v>342.57499999999999</v>
      </c>
      <c r="G26" s="58">
        <f t="shared" si="5"/>
        <v>0</v>
      </c>
      <c r="H26" s="58">
        <f t="shared" si="6"/>
        <v>0</v>
      </c>
      <c r="I26" s="58">
        <f t="shared" si="7"/>
        <v>0</v>
      </c>
      <c r="J26" s="51">
        <f t="shared" si="8"/>
        <v>0</v>
      </c>
      <c r="K26" s="347">
        <f t="shared" si="38"/>
        <v>48.2</v>
      </c>
      <c r="L26" s="353">
        <f t="shared" si="39"/>
        <v>0</v>
      </c>
      <c r="M26" s="347">
        <f t="shared" si="40"/>
        <v>680</v>
      </c>
      <c r="N26" s="58">
        <f t="shared" si="41"/>
        <v>864</v>
      </c>
      <c r="O26" s="58">
        <f t="shared" si="42"/>
        <v>0</v>
      </c>
      <c r="P26" s="58">
        <f t="shared" si="43"/>
        <v>0</v>
      </c>
      <c r="Q26" s="58">
        <f t="shared" si="44"/>
        <v>0</v>
      </c>
      <c r="R26" s="58">
        <f t="shared" si="45"/>
        <v>0</v>
      </c>
      <c r="S26" s="347">
        <f t="shared" si="46"/>
        <v>287</v>
      </c>
      <c r="U26" s="105"/>
      <c r="V26" s="58"/>
      <c r="W26" s="58"/>
      <c r="X26" s="58"/>
      <c r="Y26" s="58"/>
      <c r="Z26" s="58"/>
      <c r="AA26" s="58"/>
      <c r="AB26" s="58"/>
      <c r="AD26" s="57">
        <f t="shared" si="55"/>
        <v>2100</v>
      </c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>
        <v>438.202</v>
      </c>
      <c r="AW26" s="58"/>
      <c r="AX26" s="58"/>
      <c r="AY26" s="58"/>
      <c r="AZ26" s="58"/>
      <c r="BA26" s="58"/>
      <c r="BB26" s="58"/>
      <c r="BC26" s="58"/>
      <c r="BD26" s="58"/>
      <c r="BE26" s="58"/>
      <c r="BF26" s="58">
        <v>342.57499999999999</v>
      </c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>
        <f>44.2+4</f>
        <v>48.2</v>
      </c>
      <c r="BW26" s="1">
        <f t="shared" si="54"/>
        <v>2100</v>
      </c>
    </row>
    <row r="27" spans="1:75" s="3" customFormat="1" ht="15.75" thickBot="1" x14ac:dyDescent="0.3">
      <c r="A27" s="524"/>
      <c r="C27" s="212">
        <v>2150</v>
      </c>
      <c r="D27" s="348">
        <f t="shared" si="35"/>
        <v>0</v>
      </c>
      <c r="E27" s="348">
        <f t="shared" si="36"/>
        <v>380.709</v>
      </c>
      <c r="F27" s="144">
        <f t="shared" si="37"/>
        <v>37.015000000000001</v>
      </c>
      <c r="G27" s="144">
        <f t="shared" si="5"/>
        <v>0</v>
      </c>
      <c r="H27" s="144">
        <f t="shared" si="6"/>
        <v>0</v>
      </c>
      <c r="I27" s="144">
        <f t="shared" si="7"/>
        <v>0</v>
      </c>
      <c r="J27" s="159">
        <f t="shared" si="8"/>
        <v>0</v>
      </c>
      <c r="K27" s="348">
        <f t="shared" si="38"/>
        <v>28.4</v>
      </c>
      <c r="L27" s="354">
        <f t="shared" ref="L27:L30" si="56">ROUNDUP(((D26+D27)*0.5)*(C27-C26)/27,0)</f>
        <v>0</v>
      </c>
      <c r="M27" s="348">
        <f t="shared" ref="M27:M30" si="57">ROUNDUP(((E26+E27)*0.5)*(C27-C26)/27,0)</f>
        <v>759</v>
      </c>
      <c r="N27" s="144">
        <f t="shared" ref="N27:N30" si="58">ROUNDUP(((F26+F27)*0.5)*(C27-C26)/27,0)</f>
        <v>352</v>
      </c>
      <c r="O27" s="144">
        <f t="shared" ref="O27:O30" si="59">ROUNDUP(((G27+G26)*0.5)*(C27-C26)/27,0)</f>
        <v>0</v>
      </c>
      <c r="P27" s="144">
        <f t="shared" ref="P27:P30" si="60">ROUNDUP(((H27+H26)*0.5)*(C27-C26)/27,0)</f>
        <v>0</v>
      </c>
      <c r="Q27" s="144">
        <f t="shared" ref="Q27:Q30" si="61">ROUNDUP(((I27+I26)*0.5)*(C27-C26)/9,0)</f>
        <v>0</v>
      </c>
      <c r="R27" s="144">
        <f t="shared" ref="R27:R30" si="62">ROUNDUP(((J27+J26)*0.5)*(C27-C26)/9,0)</f>
        <v>0</v>
      </c>
      <c r="S27" s="348">
        <f t="shared" ref="S27:S30" si="63">ROUNDUP(((K27+K26)*0.5)*(C27-C26)/9,0)</f>
        <v>213</v>
      </c>
      <c r="U27" s="255">
        <f>L25+L26+L27</f>
        <v>0</v>
      </c>
      <c r="V27" s="255">
        <f t="shared" ref="V27" si="64">M25+M26+M27</f>
        <v>1862</v>
      </c>
      <c r="W27" s="255">
        <f t="shared" ref="W27" si="65">N25+N26+N27</f>
        <v>2616</v>
      </c>
      <c r="X27" s="255">
        <f t="shared" ref="X27" si="66">O25+O26+O27</f>
        <v>0</v>
      </c>
      <c r="Y27" s="255">
        <f t="shared" ref="Y27" si="67">P25+P26+P27</f>
        <v>0</v>
      </c>
      <c r="Z27" s="255">
        <f t="shared" ref="Z27" si="68">Q25+Q26+Q27</f>
        <v>0</v>
      </c>
      <c r="AA27" s="255">
        <f t="shared" ref="AA27" si="69">R25+R26+R27</f>
        <v>0</v>
      </c>
      <c r="AB27" s="255">
        <f t="shared" ref="AB27" si="70">S25+S26+S27</f>
        <v>830</v>
      </c>
      <c r="AD27" s="158">
        <f t="shared" si="55"/>
        <v>2150</v>
      </c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>
        <v>380.709</v>
      </c>
      <c r="AW27" s="144"/>
      <c r="AX27" s="144"/>
      <c r="AY27" s="144"/>
      <c r="AZ27" s="144"/>
      <c r="BA27" s="144"/>
      <c r="BB27" s="144"/>
      <c r="BC27" s="144"/>
      <c r="BD27" s="144"/>
      <c r="BE27" s="144"/>
      <c r="BF27" s="144">
        <v>37.015000000000001</v>
      </c>
      <c r="BG27" s="144"/>
      <c r="BH27" s="144"/>
      <c r="BI27" s="144"/>
      <c r="BJ27" s="144"/>
      <c r="BK27" s="144"/>
      <c r="BL27" s="144"/>
      <c r="BM27" s="144"/>
      <c r="BN27" s="144"/>
      <c r="BO27" s="144"/>
      <c r="BP27" s="144"/>
      <c r="BQ27" s="144"/>
      <c r="BR27" s="144"/>
      <c r="BS27" s="144"/>
      <c r="BT27" s="144"/>
      <c r="BU27" s="144"/>
      <c r="BV27" s="3">
        <f>24.4+4</f>
        <v>28.4</v>
      </c>
      <c r="BW27" s="1">
        <f t="shared" si="54"/>
        <v>2150</v>
      </c>
    </row>
    <row r="28" spans="1:75" x14ac:dyDescent="0.25">
      <c r="A28" s="524"/>
      <c r="C28" s="210">
        <v>2200</v>
      </c>
      <c r="D28" s="349">
        <f t="shared" si="35"/>
        <v>0</v>
      </c>
      <c r="E28" s="349">
        <f t="shared" si="36"/>
        <v>192.72900000000001</v>
      </c>
      <c r="F28" s="147">
        <f t="shared" si="37"/>
        <v>0</v>
      </c>
      <c r="G28" s="147">
        <f t="shared" si="5"/>
        <v>0</v>
      </c>
      <c r="H28" s="147">
        <f t="shared" si="6"/>
        <v>0</v>
      </c>
      <c r="I28" s="147">
        <f t="shared" si="7"/>
        <v>0</v>
      </c>
      <c r="J28" s="156">
        <f t="shared" si="8"/>
        <v>0</v>
      </c>
      <c r="K28" s="349">
        <f t="shared" si="38"/>
        <v>21.3</v>
      </c>
      <c r="L28" s="355">
        <f t="shared" si="56"/>
        <v>0</v>
      </c>
      <c r="M28" s="349">
        <f t="shared" si="57"/>
        <v>531</v>
      </c>
      <c r="N28" s="147">
        <f t="shared" si="58"/>
        <v>35</v>
      </c>
      <c r="O28" s="147">
        <f t="shared" si="59"/>
        <v>0</v>
      </c>
      <c r="P28" s="147">
        <f t="shared" si="60"/>
        <v>0</v>
      </c>
      <c r="Q28" s="147">
        <f t="shared" si="61"/>
        <v>0</v>
      </c>
      <c r="R28" s="147">
        <f t="shared" si="62"/>
        <v>0</v>
      </c>
      <c r="S28" s="349">
        <f t="shared" si="63"/>
        <v>139</v>
      </c>
      <c r="U28" s="151"/>
      <c r="V28" s="147"/>
      <c r="W28" s="147"/>
      <c r="X28" s="147"/>
      <c r="Y28" s="147"/>
      <c r="Z28" s="147"/>
      <c r="AA28" s="147"/>
      <c r="AB28" s="147"/>
      <c r="AD28" s="155">
        <f t="shared" si="55"/>
        <v>2200</v>
      </c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>
        <v>192.72900000000001</v>
      </c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  <c r="BP28" s="147"/>
      <c r="BQ28" s="147"/>
      <c r="BR28" s="147"/>
      <c r="BS28" s="147"/>
      <c r="BT28" s="147"/>
      <c r="BU28" s="147"/>
      <c r="BV28">
        <f>17.3+4</f>
        <v>21.3</v>
      </c>
      <c r="BW28" s="1">
        <f t="shared" si="54"/>
        <v>2200</v>
      </c>
    </row>
    <row r="29" spans="1:75" x14ac:dyDescent="0.25">
      <c r="A29" s="524"/>
      <c r="C29" s="121">
        <v>2250</v>
      </c>
      <c r="D29" s="347">
        <f t="shared" ref="D29" si="71">SUM(AE29:AU29)</f>
        <v>278.959</v>
      </c>
      <c r="E29" s="347">
        <f t="shared" ref="E29" si="72">SUM(AV29:BD29)</f>
        <v>0</v>
      </c>
      <c r="F29" s="58">
        <f t="shared" ref="F29" si="73">SUM(BF29:BH29)</f>
        <v>0</v>
      </c>
      <c r="G29" s="58">
        <f t="shared" si="5"/>
        <v>0</v>
      </c>
      <c r="H29" s="58">
        <f t="shared" si="6"/>
        <v>0</v>
      </c>
      <c r="I29" s="58">
        <f t="shared" si="7"/>
        <v>0</v>
      </c>
      <c r="J29" s="51">
        <f t="shared" si="8"/>
        <v>0</v>
      </c>
      <c r="K29" s="347">
        <f t="shared" ref="K29" si="74">SUM(BS29:BV29)</f>
        <v>57.1</v>
      </c>
      <c r="L29" s="353">
        <f t="shared" si="56"/>
        <v>259</v>
      </c>
      <c r="M29" s="347">
        <f t="shared" si="57"/>
        <v>179</v>
      </c>
      <c r="N29" s="58">
        <f t="shared" si="58"/>
        <v>0</v>
      </c>
      <c r="O29" s="58">
        <f t="shared" si="59"/>
        <v>0</v>
      </c>
      <c r="P29" s="58">
        <f t="shared" si="60"/>
        <v>0</v>
      </c>
      <c r="Q29" s="58">
        <f t="shared" si="61"/>
        <v>0</v>
      </c>
      <c r="R29" s="58">
        <f t="shared" si="62"/>
        <v>0</v>
      </c>
      <c r="S29" s="347">
        <f t="shared" si="63"/>
        <v>218</v>
      </c>
      <c r="U29" s="105"/>
      <c r="V29" s="58"/>
      <c r="W29" s="58"/>
      <c r="X29" s="58"/>
      <c r="Y29" s="58"/>
      <c r="Z29" s="58"/>
      <c r="AA29" s="58"/>
      <c r="AB29" s="58"/>
      <c r="AD29" s="57">
        <f t="shared" ref="AD29" si="75">C29</f>
        <v>2250</v>
      </c>
      <c r="AE29" s="58">
        <v>278.959</v>
      </c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>
        <f>53.1+4</f>
        <v>57.1</v>
      </c>
      <c r="BW29" s="1">
        <f t="shared" si="54"/>
        <v>2250</v>
      </c>
    </row>
    <row r="30" spans="1:75" ht="15.75" thickBot="1" x14ac:dyDescent="0.3">
      <c r="A30" s="524"/>
      <c r="C30" s="121">
        <v>2285.54</v>
      </c>
      <c r="D30" s="347">
        <f t="shared" si="35"/>
        <v>47.901000000000003</v>
      </c>
      <c r="E30" s="347">
        <f t="shared" si="36"/>
        <v>0</v>
      </c>
      <c r="F30" s="58">
        <f t="shared" si="37"/>
        <v>0</v>
      </c>
      <c r="G30" s="58">
        <f t="shared" si="5"/>
        <v>0</v>
      </c>
      <c r="H30" s="58">
        <f t="shared" si="6"/>
        <v>0</v>
      </c>
      <c r="I30" s="58">
        <f t="shared" si="7"/>
        <v>0</v>
      </c>
      <c r="J30" s="51">
        <f t="shared" si="8"/>
        <v>0</v>
      </c>
      <c r="K30" s="347">
        <f t="shared" si="38"/>
        <v>0</v>
      </c>
      <c r="L30" s="353">
        <f t="shared" si="56"/>
        <v>216</v>
      </c>
      <c r="M30" s="347">
        <f t="shared" si="57"/>
        <v>0</v>
      </c>
      <c r="N30" s="58">
        <f t="shared" si="58"/>
        <v>0</v>
      </c>
      <c r="O30" s="58">
        <f t="shared" si="59"/>
        <v>0</v>
      </c>
      <c r="P30" s="58">
        <f t="shared" si="60"/>
        <v>0</v>
      </c>
      <c r="Q30" s="58">
        <f t="shared" si="61"/>
        <v>0</v>
      </c>
      <c r="R30" s="58">
        <f t="shared" si="62"/>
        <v>0</v>
      </c>
      <c r="S30" s="347">
        <f t="shared" si="63"/>
        <v>113</v>
      </c>
      <c r="U30" s="255">
        <f>L28+L29+L30</f>
        <v>475</v>
      </c>
      <c r="V30" s="255">
        <f t="shared" ref="V30" si="76">M28+M29+M30</f>
        <v>710</v>
      </c>
      <c r="W30" s="255">
        <f t="shared" ref="W30" si="77">N28+N29+N30</f>
        <v>35</v>
      </c>
      <c r="X30" s="255">
        <f t="shared" ref="X30" si="78">O28+O29+O30</f>
        <v>0</v>
      </c>
      <c r="Y30" s="255">
        <f t="shared" ref="Y30" si="79">P28+P29+P30</f>
        <v>0</v>
      </c>
      <c r="Z30" s="255">
        <f t="shared" ref="Z30" si="80">Q28+Q29+Q30</f>
        <v>0</v>
      </c>
      <c r="AA30" s="255">
        <f t="shared" ref="AA30" si="81">R28+R29+R30</f>
        <v>0</v>
      </c>
      <c r="AB30" s="255">
        <f t="shared" ref="AB30" si="82">S28+S29+S30</f>
        <v>470</v>
      </c>
      <c r="AD30" s="57">
        <f t="shared" si="55"/>
        <v>2285.54</v>
      </c>
      <c r="AE30" s="58">
        <v>47.901000000000003</v>
      </c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>
        <v>0</v>
      </c>
      <c r="BW30" s="1">
        <f t="shared" si="54"/>
        <v>2285.54</v>
      </c>
    </row>
    <row r="31" spans="1:75" x14ac:dyDescent="0.25">
      <c r="A31" s="524"/>
      <c r="BW31" s="1"/>
    </row>
    <row r="32" spans="1:75" x14ac:dyDescent="0.25">
      <c r="A32" s="524"/>
      <c r="BW32" s="1"/>
    </row>
    <row r="33" spans="1:107" ht="21" x14ac:dyDescent="0.35">
      <c r="A33" s="524"/>
      <c r="L33" s="385">
        <f>SUM(L9:L31)</f>
        <v>748</v>
      </c>
      <c r="M33" s="385">
        <f t="shared" ref="M33:S33" si="83">SUM(M9:M31)</f>
        <v>9222</v>
      </c>
      <c r="N33" s="120">
        <f t="shared" si="83"/>
        <v>10209</v>
      </c>
      <c r="O33" s="120">
        <f t="shared" si="83"/>
        <v>0</v>
      </c>
      <c r="P33" s="120">
        <f t="shared" si="83"/>
        <v>0</v>
      </c>
      <c r="Q33" s="120">
        <f t="shared" si="83"/>
        <v>0</v>
      </c>
      <c r="R33" s="120">
        <f t="shared" si="83"/>
        <v>0</v>
      </c>
      <c r="S33" s="385">
        <f t="shared" si="83"/>
        <v>5396</v>
      </c>
      <c r="U33" s="120">
        <f>SUM(U9:U31)</f>
        <v>748</v>
      </c>
      <c r="V33" s="120">
        <f t="shared" ref="V33:AB33" si="84">SUM(V9:V31)</f>
        <v>9222</v>
      </c>
      <c r="W33" s="120">
        <f t="shared" si="84"/>
        <v>10209</v>
      </c>
      <c r="X33" s="120">
        <f t="shared" si="84"/>
        <v>0</v>
      </c>
      <c r="Y33" s="120">
        <f t="shared" si="84"/>
        <v>0</v>
      </c>
      <c r="Z33" s="120">
        <f t="shared" si="84"/>
        <v>0</v>
      </c>
      <c r="AA33" s="120">
        <f t="shared" si="84"/>
        <v>0</v>
      </c>
      <c r="AB33" s="120">
        <f t="shared" si="84"/>
        <v>5396</v>
      </c>
    </row>
    <row r="35" spans="1:107" x14ac:dyDescent="0.25">
      <c r="BW35" s="1"/>
    </row>
    <row r="36" spans="1:107" x14ac:dyDescent="0.25">
      <c r="BW36" s="1"/>
    </row>
    <row r="37" spans="1:107" x14ac:dyDescent="0.25">
      <c r="BW37" s="1"/>
    </row>
    <row r="38" spans="1:107" ht="15.75" thickBot="1" x14ac:dyDescent="0.3">
      <c r="C38" s="57"/>
      <c r="D38" s="360"/>
      <c r="E38" s="360"/>
      <c r="F38" s="75"/>
      <c r="G38" s="75"/>
      <c r="H38" s="75"/>
      <c r="I38" s="75"/>
      <c r="J38" s="75"/>
      <c r="K38" s="373"/>
      <c r="L38" s="384"/>
      <c r="M38" s="360"/>
      <c r="N38" s="75"/>
      <c r="O38" s="75"/>
      <c r="P38" s="75"/>
      <c r="Q38" s="75"/>
      <c r="R38" s="75"/>
      <c r="S38" s="360"/>
      <c r="T38" s="4"/>
      <c r="U38" s="104"/>
      <c r="V38" s="75"/>
      <c r="W38" s="75"/>
      <c r="X38" s="75"/>
      <c r="Y38" s="75"/>
      <c r="Z38" s="75"/>
      <c r="AA38" s="75"/>
      <c r="AB38" s="75"/>
      <c r="AC38" s="55"/>
      <c r="AD38" s="49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  <c r="BO38" s="78"/>
      <c r="BP38" s="78"/>
      <c r="BQ38" s="78"/>
      <c r="BR38" s="78"/>
      <c r="BS38" s="49"/>
      <c r="BT38" s="49"/>
      <c r="BU38" s="49"/>
      <c r="BV38" s="263"/>
      <c r="BW38" s="1"/>
    </row>
    <row r="39" spans="1:107" s="2" customFormat="1" ht="15" customHeight="1" x14ac:dyDescent="0.25">
      <c r="A39" s="523" t="s">
        <v>64</v>
      </c>
      <c r="B39" s="125"/>
      <c r="C39" s="121">
        <v>1000</v>
      </c>
      <c r="D39" s="347">
        <f>SUM(AE39:AU39)</f>
        <v>0</v>
      </c>
      <c r="E39" s="347">
        <f>SUM(AV39:BD39)</f>
        <v>666.63739999999996</v>
      </c>
      <c r="F39" s="58">
        <f>SUM(BF39:BH39)</f>
        <v>0</v>
      </c>
      <c r="G39" s="58">
        <f t="shared" ref="G39:G45" si="85">SUM(BI39:BK39)</f>
        <v>0</v>
      </c>
      <c r="H39" s="58">
        <f t="shared" ref="H39:H45" si="86">SUM(BL39:BN39)</f>
        <v>0</v>
      </c>
      <c r="I39" s="58">
        <f t="shared" ref="I39:I45" si="87">SUM(BO39:BP39)</f>
        <v>0</v>
      </c>
      <c r="J39" s="51">
        <f t="shared" ref="J39:J45" si="88">BQ39+BR39</f>
        <v>0</v>
      </c>
      <c r="K39" s="347">
        <f>SUM(BS39:BV39)</f>
        <v>0</v>
      </c>
      <c r="L39" s="353"/>
      <c r="M39" s="347"/>
      <c r="N39" s="58"/>
      <c r="O39" s="58"/>
      <c r="P39" s="58"/>
      <c r="Q39" s="58"/>
      <c r="R39" s="58"/>
      <c r="S39" s="347"/>
      <c r="T39" s="56"/>
      <c r="U39" s="105"/>
      <c r="V39" s="58"/>
      <c r="W39" s="58"/>
      <c r="X39" s="58"/>
      <c r="Y39" s="58"/>
      <c r="Z39" s="58"/>
      <c r="AA39" s="58"/>
      <c r="AB39" s="58"/>
      <c r="AC39" s="55"/>
      <c r="AD39" s="57">
        <f t="shared" ref="AD39:AD45" si="89">C39</f>
        <v>1000</v>
      </c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>
        <v>666.63739999999996</v>
      </c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8"/>
      <c r="BQ39" s="58"/>
      <c r="BR39" s="58"/>
      <c r="BS39" s="58"/>
      <c r="BT39" s="58"/>
      <c r="BU39" s="58"/>
      <c r="BV39">
        <v>0</v>
      </c>
      <c r="BW39" s="1">
        <f t="shared" ref="BW39:BW45" si="90">C39</f>
        <v>1000</v>
      </c>
      <c r="BX39"/>
      <c r="BY39" s="291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 s="41"/>
    </row>
    <row r="40" spans="1:107" x14ac:dyDescent="0.25">
      <c r="A40" s="524"/>
      <c r="B40" s="125"/>
      <c r="C40" s="121">
        <v>1050</v>
      </c>
      <c r="D40" s="347">
        <f t="shared" ref="D40" si="91">SUM(AE40:AU40)</f>
        <v>0</v>
      </c>
      <c r="E40" s="347">
        <f t="shared" ref="E40" si="92">SUM(AV40:BD40)</f>
        <v>391.935</v>
      </c>
      <c r="F40" s="58">
        <f t="shared" ref="F40" si="93">SUM(BF40:BH40)</f>
        <v>0</v>
      </c>
      <c r="G40" s="58">
        <f t="shared" si="85"/>
        <v>0</v>
      </c>
      <c r="H40" s="58">
        <f t="shared" si="86"/>
        <v>0</v>
      </c>
      <c r="I40" s="58">
        <f t="shared" si="87"/>
        <v>0</v>
      </c>
      <c r="J40" s="51">
        <f t="shared" si="88"/>
        <v>0</v>
      </c>
      <c r="K40" s="347">
        <f t="shared" ref="K40" si="94">SUM(BS40:BV40)</f>
        <v>86.482699999999994</v>
      </c>
      <c r="L40" s="353">
        <f>ROUNDUP(((D39+D40)*0.5)*(C40-C39)/27,0)</f>
        <v>0</v>
      </c>
      <c r="M40" s="347">
        <f>ROUNDUP(((E39+E40)*0.5)*(C40-C39)/27,0)</f>
        <v>981</v>
      </c>
      <c r="N40" s="58">
        <f>ROUNDUP(((F39+F40)*0.5)*(C40-C39)/27,0)</f>
        <v>0</v>
      </c>
      <c r="O40" s="58">
        <f>ROUNDUP(((G40+G39)*0.5)*(C40-C39)/27,0)</f>
        <v>0</v>
      </c>
      <c r="P40" s="58">
        <f>ROUNDUP(((H40+H39)*0.5)*(C40-C39)/27,0)</f>
        <v>0</v>
      </c>
      <c r="Q40" s="58">
        <f>ROUNDUP(((I40+I39)*0.5)*(C40-C39)/9,0)</f>
        <v>0</v>
      </c>
      <c r="R40" s="58">
        <f>ROUNDUP(((J40+J39)*0.5)*(C40-C39)/9,0)</f>
        <v>0</v>
      </c>
      <c r="S40" s="347">
        <f>ROUNDUP(((K40+K39)*0.5)*(C40-C39)/9,0)</f>
        <v>241</v>
      </c>
      <c r="T40" s="56"/>
      <c r="U40" s="105"/>
      <c r="V40" s="58"/>
      <c r="W40" s="58"/>
      <c r="X40" s="58"/>
      <c r="Y40" s="58"/>
      <c r="Z40" s="58"/>
      <c r="AA40" s="58"/>
      <c r="AB40" s="58"/>
      <c r="AC40" s="55"/>
      <c r="AD40" s="57">
        <f t="shared" si="89"/>
        <v>1050</v>
      </c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>
        <v>391.935</v>
      </c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8"/>
      <c r="BQ40" s="58"/>
      <c r="BR40" s="58"/>
      <c r="BS40" s="58"/>
      <c r="BT40" s="58"/>
      <c r="BU40" s="58"/>
      <c r="BV40">
        <f>78.4827+8</f>
        <v>86.482699999999994</v>
      </c>
      <c r="BW40" s="1">
        <f t="shared" si="90"/>
        <v>1050</v>
      </c>
      <c r="BY40" s="291"/>
    </row>
    <row r="41" spans="1:107" s="3" customFormat="1" ht="15.75" thickBot="1" x14ac:dyDescent="0.3">
      <c r="A41" s="524"/>
      <c r="B41" s="125"/>
      <c r="C41" s="121">
        <v>1100</v>
      </c>
      <c r="D41" s="347">
        <f t="shared" ref="D41:D45" si="95">SUM(AE41:AU41)</f>
        <v>0</v>
      </c>
      <c r="E41" s="347">
        <f t="shared" ref="E41:E45" si="96">SUM(AV41:BD41)</f>
        <v>268.62619999999998</v>
      </c>
      <c r="F41" s="58">
        <f t="shared" ref="F41:F45" si="97">SUM(BF41:BH41)</f>
        <v>0</v>
      </c>
      <c r="G41" s="58">
        <f t="shared" si="85"/>
        <v>0</v>
      </c>
      <c r="H41" s="58">
        <f t="shared" si="86"/>
        <v>0</v>
      </c>
      <c r="I41" s="58">
        <f t="shared" si="87"/>
        <v>0</v>
      </c>
      <c r="J41" s="51">
        <f t="shared" si="88"/>
        <v>0</v>
      </c>
      <c r="K41" s="347">
        <f t="shared" ref="K41:K45" si="98">SUM(BS41:BV41)</f>
        <v>65.599999999999994</v>
      </c>
      <c r="L41" s="353">
        <f t="shared" ref="L41:L45" si="99">ROUNDUP(((D40+D41)*0.5)*(C41-C40)/27,0)</f>
        <v>0</v>
      </c>
      <c r="M41" s="347">
        <f t="shared" ref="M41:M45" si="100">ROUNDUP(((E40+E41)*0.5)*(C41-C40)/27,0)</f>
        <v>612</v>
      </c>
      <c r="N41" s="58">
        <f t="shared" ref="N41:N45" si="101">ROUNDUP(((F40+F41)*0.5)*(C41-C40)/27,0)</f>
        <v>0</v>
      </c>
      <c r="O41" s="58">
        <f t="shared" ref="O41:O45" si="102">ROUNDUP(((G41+G40)*0.5)*(C41-C40)/27,0)</f>
        <v>0</v>
      </c>
      <c r="P41" s="58">
        <f t="shared" ref="P41:P45" si="103">ROUNDUP(((H41+H40)*0.5)*(C41-C40)/27,0)</f>
        <v>0</v>
      </c>
      <c r="Q41" s="58">
        <f t="shared" ref="Q41:Q45" si="104">ROUNDUP(((I41+I40)*0.5)*(C41-C40)/9,0)</f>
        <v>0</v>
      </c>
      <c r="R41" s="58">
        <f t="shared" ref="R41:R45" si="105">ROUNDUP(((J41+J40)*0.5)*(C41-C40)/9,0)</f>
        <v>0</v>
      </c>
      <c r="S41" s="347">
        <f t="shared" ref="S41:S45" si="106">ROUNDUP(((K41+K40)*0.5)*(C41-C40)/9,0)</f>
        <v>423</v>
      </c>
      <c r="T41" s="56"/>
      <c r="U41" s="105"/>
      <c r="V41" s="58"/>
      <c r="W41" s="58"/>
      <c r="X41" s="58"/>
      <c r="Y41" s="58"/>
      <c r="Z41" s="58"/>
      <c r="AA41" s="58"/>
      <c r="AB41" s="58"/>
      <c r="AC41" s="55"/>
      <c r="AD41" s="57">
        <f t="shared" si="89"/>
        <v>1100</v>
      </c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>
        <v>268.62619999999998</v>
      </c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8"/>
      <c r="BQ41" s="58"/>
      <c r="BR41" s="58"/>
      <c r="BS41" s="58"/>
      <c r="BT41" s="58"/>
      <c r="BU41" s="58"/>
      <c r="BV41">
        <f>57.6+8</f>
        <v>65.599999999999994</v>
      </c>
      <c r="BW41" s="1">
        <f t="shared" si="90"/>
        <v>1100</v>
      </c>
      <c r="BX41"/>
      <c r="BY41" s="29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</row>
    <row r="42" spans="1:107" s="168" customFormat="1" ht="15.75" thickBot="1" x14ac:dyDescent="0.3">
      <c r="A42" s="524"/>
      <c r="B42" s="211"/>
      <c r="C42" s="212">
        <v>1150</v>
      </c>
      <c r="D42" s="348">
        <f t="shared" si="95"/>
        <v>0</v>
      </c>
      <c r="E42" s="348">
        <f t="shared" si="96"/>
        <v>87.471800000000002</v>
      </c>
      <c r="F42" s="144">
        <f t="shared" si="97"/>
        <v>0</v>
      </c>
      <c r="G42" s="144">
        <f t="shared" si="85"/>
        <v>0</v>
      </c>
      <c r="H42" s="144">
        <f t="shared" si="86"/>
        <v>0</v>
      </c>
      <c r="I42" s="144">
        <f t="shared" si="87"/>
        <v>0</v>
      </c>
      <c r="J42" s="159">
        <f t="shared" si="88"/>
        <v>0</v>
      </c>
      <c r="K42" s="348">
        <f t="shared" si="98"/>
        <v>65.3</v>
      </c>
      <c r="L42" s="354">
        <f t="shared" si="99"/>
        <v>0</v>
      </c>
      <c r="M42" s="348">
        <f t="shared" si="100"/>
        <v>330</v>
      </c>
      <c r="N42" s="144">
        <f t="shared" si="101"/>
        <v>0</v>
      </c>
      <c r="O42" s="144">
        <f t="shared" si="102"/>
        <v>0</v>
      </c>
      <c r="P42" s="144">
        <f t="shared" si="103"/>
        <v>0</v>
      </c>
      <c r="Q42" s="144">
        <f t="shared" si="104"/>
        <v>0</v>
      </c>
      <c r="R42" s="144">
        <f t="shared" si="105"/>
        <v>0</v>
      </c>
      <c r="S42" s="348">
        <f t="shared" si="106"/>
        <v>364</v>
      </c>
      <c r="T42" s="154"/>
      <c r="U42" s="255">
        <f>L39+L40+L41+L42</f>
        <v>0</v>
      </c>
      <c r="V42" s="255">
        <f t="shared" ref="V42:AB42" si="107">M39+M40+M41+M42</f>
        <v>1923</v>
      </c>
      <c r="W42" s="255">
        <f t="shared" si="107"/>
        <v>0</v>
      </c>
      <c r="X42" s="255">
        <f t="shared" si="107"/>
        <v>0</v>
      </c>
      <c r="Y42" s="255">
        <f t="shared" si="107"/>
        <v>0</v>
      </c>
      <c r="Z42" s="255">
        <f t="shared" si="107"/>
        <v>0</v>
      </c>
      <c r="AA42" s="255">
        <f t="shared" si="107"/>
        <v>0</v>
      </c>
      <c r="AB42" s="255">
        <f t="shared" si="107"/>
        <v>1028</v>
      </c>
      <c r="AC42" s="153"/>
      <c r="AD42" s="158">
        <f t="shared" si="89"/>
        <v>1150</v>
      </c>
      <c r="AE42" s="144"/>
      <c r="AF42" s="144"/>
      <c r="AG42" s="144"/>
      <c r="AH42" s="144"/>
      <c r="AI42" s="144"/>
      <c r="AJ42" s="144"/>
      <c r="AK42" s="144"/>
      <c r="AL42" s="144"/>
      <c r="AM42" s="144"/>
      <c r="AN42" s="144"/>
      <c r="AO42" s="144"/>
      <c r="AP42" s="144"/>
      <c r="AQ42" s="144"/>
      <c r="AR42" s="144"/>
      <c r="AS42" s="144"/>
      <c r="AT42" s="144"/>
      <c r="AU42" s="144"/>
      <c r="AV42" s="144">
        <v>87.471800000000002</v>
      </c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  <c r="BI42" s="144"/>
      <c r="BJ42" s="144"/>
      <c r="BK42" s="144"/>
      <c r="BL42" s="144"/>
      <c r="BM42" s="144"/>
      <c r="BN42" s="144"/>
      <c r="BO42" s="144"/>
      <c r="BP42" s="144"/>
      <c r="BQ42" s="144"/>
      <c r="BR42" s="144"/>
      <c r="BS42" s="144"/>
      <c r="BT42" s="144"/>
      <c r="BU42" s="144"/>
      <c r="BV42">
        <f>57.3+8</f>
        <v>65.3</v>
      </c>
      <c r="BW42" s="1">
        <f t="shared" si="90"/>
        <v>1150</v>
      </c>
      <c r="BX42"/>
      <c r="BY42" s="291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167"/>
    </row>
    <row r="43" spans="1:107" s="2" customFormat="1" x14ac:dyDescent="0.25">
      <c r="A43" s="524"/>
      <c r="B43" s="125"/>
      <c r="C43" s="210">
        <v>1200</v>
      </c>
      <c r="D43" s="349">
        <f t="shared" si="95"/>
        <v>0</v>
      </c>
      <c r="E43" s="349">
        <f t="shared" si="96"/>
        <v>225.43799999999999</v>
      </c>
      <c r="F43" s="147">
        <f t="shared" si="97"/>
        <v>0</v>
      </c>
      <c r="G43" s="147">
        <f t="shared" si="85"/>
        <v>0</v>
      </c>
      <c r="H43" s="147">
        <f t="shared" si="86"/>
        <v>0</v>
      </c>
      <c r="I43" s="147">
        <f t="shared" si="87"/>
        <v>0</v>
      </c>
      <c r="J43" s="156">
        <f t="shared" si="88"/>
        <v>0</v>
      </c>
      <c r="K43" s="349">
        <f t="shared" si="98"/>
        <v>58.1</v>
      </c>
      <c r="L43" s="355">
        <f t="shared" si="99"/>
        <v>0</v>
      </c>
      <c r="M43" s="349">
        <f t="shared" si="100"/>
        <v>290</v>
      </c>
      <c r="N43" s="147">
        <f t="shared" si="101"/>
        <v>0</v>
      </c>
      <c r="O43" s="147">
        <f t="shared" si="102"/>
        <v>0</v>
      </c>
      <c r="P43" s="147">
        <f t="shared" si="103"/>
        <v>0</v>
      </c>
      <c r="Q43" s="147">
        <f t="shared" si="104"/>
        <v>0</v>
      </c>
      <c r="R43" s="147">
        <f t="shared" si="105"/>
        <v>0</v>
      </c>
      <c r="S43" s="349">
        <f t="shared" si="106"/>
        <v>343</v>
      </c>
      <c r="T43" s="56"/>
      <c r="U43" s="151"/>
      <c r="V43" s="147"/>
      <c r="W43" s="147"/>
      <c r="X43" s="147"/>
      <c r="Y43" s="147"/>
      <c r="Z43" s="147"/>
      <c r="AA43" s="147"/>
      <c r="AB43" s="147"/>
      <c r="AC43" s="55"/>
      <c r="AD43" s="155">
        <f t="shared" si="89"/>
        <v>1200</v>
      </c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>
        <v>225.43799999999999</v>
      </c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  <c r="BI43" s="147"/>
      <c r="BJ43" s="147"/>
      <c r="BK43" s="147"/>
      <c r="BL43" s="147"/>
      <c r="BM43" s="147"/>
      <c r="BN43" s="147"/>
      <c r="BO43" s="147"/>
      <c r="BP43" s="147"/>
      <c r="BQ43" s="147"/>
      <c r="BR43" s="147"/>
      <c r="BS43" s="147"/>
      <c r="BT43" s="147"/>
      <c r="BU43" s="147"/>
      <c r="BV43">
        <f>50.1+8</f>
        <v>58.1</v>
      </c>
      <c r="BW43" s="1">
        <f t="shared" si="90"/>
        <v>1200</v>
      </c>
      <c r="BX43"/>
      <c r="BY43" s="291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 s="41"/>
    </row>
    <row r="44" spans="1:107" x14ac:dyDescent="0.25">
      <c r="A44" s="524"/>
      <c r="B44" s="125"/>
      <c r="C44" s="121">
        <v>1250</v>
      </c>
      <c r="D44" s="347">
        <f t="shared" si="95"/>
        <v>114.7599</v>
      </c>
      <c r="E44" s="347">
        <f t="shared" si="96"/>
        <v>2.3498999999999999</v>
      </c>
      <c r="F44" s="58">
        <f t="shared" si="97"/>
        <v>0</v>
      </c>
      <c r="G44" s="58">
        <f t="shared" si="85"/>
        <v>0</v>
      </c>
      <c r="H44" s="58">
        <f t="shared" si="86"/>
        <v>0</v>
      </c>
      <c r="I44" s="58">
        <f t="shared" si="87"/>
        <v>0</v>
      </c>
      <c r="J44" s="51">
        <f t="shared" si="88"/>
        <v>0</v>
      </c>
      <c r="K44" s="347">
        <f t="shared" si="98"/>
        <v>90</v>
      </c>
      <c r="L44" s="353">
        <f t="shared" si="99"/>
        <v>107</v>
      </c>
      <c r="M44" s="347">
        <f t="shared" si="100"/>
        <v>211</v>
      </c>
      <c r="N44" s="58">
        <f t="shared" si="101"/>
        <v>0</v>
      </c>
      <c r="O44" s="58">
        <f t="shared" si="102"/>
        <v>0</v>
      </c>
      <c r="P44" s="58">
        <f t="shared" si="103"/>
        <v>0</v>
      </c>
      <c r="Q44" s="58">
        <f t="shared" si="104"/>
        <v>0</v>
      </c>
      <c r="R44" s="58">
        <f t="shared" si="105"/>
        <v>0</v>
      </c>
      <c r="S44" s="347">
        <f t="shared" si="106"/>
        <v>412</v>
      </c>
      <c r="U44" s="105"/>
      <c r="V44" s="58"/>
      <c r="W44" s="58"/>
      <c r="X44" s="58"/>
      <c r="Y44" s="58"/>
      <c r="Z44" s="58"/>
      <c r="AA44" s="58"/>
      <c r="AB44" s="58"/>
      <c r="AD44" s="57">
        <f t="shared" si="89"/>
        <v>1250</v>
      </c>
      <c r="AE44" s="58">
        <v>114.7599</v>
      </c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>
        <v>2.3498999999999999</v>
      </c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  <c r="BT44" s="58"/>
      <c r="BU44" s="58"/>
      <c r="BV44">
        <f>82+8</f>
        <v>90</v>
      </c>
      <c r="BW44" s="1">
        <f t="shared" si="90"/>
        <v>1250</v>
      </c>
      <c r="BY44" s="291"/>
    </row>
    <row r="45" spans="1:107" ht="15.75" thickBot="1" x14ac:dyDescent="0.3">
      <c r="A45" s="524"/>
      <c r="B45" s="125"/>
      <c r="C45" s="121">
        <v>1260.0139999999999</v>
      </c>
      <c r="D45" s="347">
        <f t="shared" si="95"/>
        <v>78.030199999999994</v>
      </c>
      <c r="E45" s="347">
        <f t="shared" si="96"/>
        <v>0</v>
      </c>
      <c r="F45" s="58">
        <f t="shared" si="97"/>
        <v>0</v>
      </c>
      <c r="G45" s="58">
        <f t="shared" si="85"/>
        <v>0</v>
      </c>
      <c r="H45" s="58">
        <f t="shared" si="86"/>
        <v>0</v>
      </c>
      <c r="I45" s="58">
        <f t="shared" si="87"/>
        <v>0</v>
      </c>
      <c r="J45" s="51">
        <f t="shared" si="88"/>
        <v>0</v>
      </c>
      <c r="K45" s="347">
        <f t="shared" si="98"/>
        <v>0</v>
      </c>
      <c r="L45" s="353">
        <f t="shared" si="99"/>
        <v>36</v>
      </c>
      <c r="M45" s="347">
        <f t="shared" si="100"/>
        <v>1</v>
      </c>
      <c r="N45" s="58">
        <f t="shared" si="101"/>
        <v>0</v>
      </c>
      <c r="O45" s="58">
        <f t="shared" si="102"/>
        <v>0</v>
      </c>
      <c r="P45" s="58">
        <f t="shared" si="103"/>
        <v>0</v>
      </c>
      <c r="Q45" s="58">
        <f t="shared" si="104"/>
        <v>0</v>
      </c>
      <c r="R45" s="58">
        <f t="shared" si="105"/>
        <v>0</v>
      </c>
      <c r="S45" s="347">
        <f t="shared" si="106"/>
        <v>51</v>
      </c>
      <c r="U45" s="255">
        <f>L43+L44+L45</f>
        <v>143</v>
      </c>
      <c r="V45" s="255">
        <f t="shared" ref="V45" si="108">M43+M44+M45</f>
        <v>502</v>
      </c>
      <c r="W45" s="255">
        <f t="shared" ref="W45" si="109">N43+N44+N45</f>
        <v>0</v>
      </c>
      <c r="X45" s="255">
        <f t="shared" ref="X45" si="110">O43+O44+O45</f>
        <v>0</v>
      </c>
      <c r="Y45" s="255">
        <f t="shared" ref="Y45" si="111">P43+P44+P45</f>
        <v>0</v>
      </c>
      <c r="Z45" s="255">
        <f t="shared" ref="Z45" si="112">Q43+Q44+Q45</f>
        <v>0</v>
      </c>
      <c r="AA45" s="255">
        <f t="shared" ref="AA45" si="113">R43+R44+R45</f>
        <v>0</v>
      </c>
      <c r="AB45" s="255">
        <f t="shared" ref="AB45" si="114">S43+S44+S45</f>
        <v>806</v>
      </c>
      <c r="AD45" s="57">
        <f t="shared" si="89"/>
        <v>1260.0139999999999</v>
      </c>
      <c r="AE45" s="58">
        <v>78.030199999999994</v>
      </c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58"/>
      <c r="BO45" s="58"/>
      <c r="BP45" s="58"/>
      <c r="BQ45" s="58"/>
      <c r="BR45" s="58"/>
      <c r="BS45" s="58"/>
      <c r="BT45" s="58"/>
      <c r="BU45" s="58"/>
      <c r="BV45">
        <v>0</v>
      </c>
      <c r="BW45" s="1">
        <f t="shared" si="90"/>
        <v>1260.0139999999999</v>
      </c>
      <c r="BY45" s="291"/>
    </row>
    <row r="46" spans="1:107" x14ac:dyDescent="0.25">
      <c r="A46" s="524"/>
      <c r="BW46" s="1"/>
    </row>
    <row r="47" spans="1:107" ht="21" x14ac:dyDescent="0.35">
      <c r="A47" s="524"/>
      <c r="L47" s="385">
        <f>SUM(L39:L45)</f>
        <v>143</v>
      </c>
      <c r="M47" s="385">
        <f t="shared" ref="M47:S47" si="115">SUM(M39:M45)</f>
        <v>2425</v>
      </c>
      <c r="N47" s="120">
        <f t="shared" si="115"/>
        <v>0</v>
      </c>
      <c r="O47" s="120">
        <f t="shared" si="115"/>
        <v>0</v>
      </c>
      <c r="P47" s="120">
        <f t="shared" si="115"/>
        <v>0</v>
      </c>
      <c r="Q47" s="120">
        <f t="shared" si="115"/>
        <v>0</v>
      </c>
      <c r="R47" s="120">
        <f t="shared" si="115"/>
        <v>0</v>
      </c>
      <c r="S47" s="385">
        <f t="shared" si="115"/>
        <v>1834</v>
      </c>
      <c r="U47" s="120">
        <f>SUM(U39:U45)</f>
        <v>143</v>
      </c>
      <c r="V47" s="120">
        <f t="shared" ref="V47:AB47" si="116">SUM(V39:V45)</f>
        <v>2425</v>
      </c>
      <c r="W47" s="120">
        <f t="shared" si="116"/>
        <v>0</v>
      </c>
      <c r="X47" s="120">
        <f t="shared" si="116"/>
        <v>0</v>
      </c>
      <c r="Y47" s="120">
        <f t="shared" si="116"/>
        <v>0</v>
      </c>
      <c r="Z47" s="120">
        <f t="shared" si="116"/>
        <v>0</v>
      </c>
      <c r="AA47" s="120">
        <f t="shared" si="116"/>
        <v>0</v>
      </c>
      <c r="AB47" s="120">
        <f t="shared" si="116"/>
        <v>1834</v>
      </c>
      <c r="BW47" s="1"/>
    </row>
    <row r="48" spans="1:107" x14ac:dyDescent="0.25">
      <c r="A48" s="524"/>
    </row>
    <row r="49" spans="1:107" x14ac:dyDescent="0.25">
      <c r="A49" s="524"/>
    </row>
    <row r="50" spans="1:107" x14ac:dyDescent="0.25">
      <c r="A50" s="524"/>
    </row>
    <row r="51" spans="1:107" x14ac:dyDescent="0.25">
      <c r="A51" s="524"/>
    </row>
    <row r="52" spans="1:107" x14ac:dyDescent="0.25">
      <c r="A52" s="524"/>
    </row>
    <row r="53" spans="1:107" x14ac:dyDescent="0.25">
      <c r="A53" s="524"/>
      <c r="BW53" s="1"/>
    </row>
    <row r="54" spans="1:107" x14ac:dyDescent="0.25">
      <c r="A54" s="524"/>
      <c r="BW54" s="1"/>
    </row>
    <row r="55" spans="1:107" x14ac:dyDescent="0.25">
      <c r="BW55" s="1"/>
    </row>
    <row r="56" spans="1:107" ht="15.75" thickBot="1" x14ac:dyDescent="0.3">
      <c r="C56" s="57"/>
      <c r="D56" s="360"/>
      <c r="E56" s="360"/>
      <c r="F56" s="75"/>
      <c r="G56" s="75"/>
      <c r="H56" s="75"/>
      <c r="I56" s="75"/>
      <c r="J56" s="75"/>
      <c r="K56" s="373"/>
      <c r="L56" s="384"/>
      <c r="M56" s="360"/>
      <c r="N56" s="75"/>
      <c r="O56" s="75"/>
      <c r="P56" s="75"/>
      <c r="Q56" s="75"/>
      <c r="R56" s="75"/>
      <c r="S56" s="360"/>
      <c r="T56" s="4"/>
      <c r="U56" s="104"/>
      <c r="V56" s="75"/>
      <c r="W56" s="75"/>
      <c r="X56" s="75"/>
      <c r="Y56" s="75"/>
      <c r="Z56" s="75"/>
      <c r="AA56" s="75"/>
      <c r="AB56" s="75"/>
      <c r="AC56" s="55"/>
      <c r="AD56" s="49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49"/>
      <c r="BT56" s="49"/>
      <c r="BU56" s="49"/>
      <c r="BV56" s="263"/>
      <c r="BW56" s="1"/>
    </row>
    <row r="57" spans="1:107" s="2" customFormat="1" ht="15" customHeight="1" x14ac:dyDescent="0.25">
      <c r="A57" s="523" t="s">
        <v>70</v>
      </c>
      <c r="B57" s="125"/>
      <c r="C57" s="121">
        <v>1200</v>
      </c>
      <c r="D57" s="347">
        <f>SUM(AE57:AU57)</f>
        <v>48.670999999999999</v>
      </c>
      <c r="E57" s="347">
        <f>SUM(AV57:BD57)</f>
        <v>0</v>
      </c>
      <c r="F57" s="58">
        <f>SUM(BF57:BH57)</f>
        <v>0</v>
      </c>
      <c r="G57" s="58">
        <f t="shared" ref="G57:G69" si="117">SUM(BI57:BK57)</f>
        <v>0</v>
      </c>
      <c r="H57" s="58">
        <f t="shared" ref="H57:H69" si="118">SUM(BL57:BN57)</f>
        <v>0</v>
      </c>
      <c r="I57" s="58">
        <f t="shared" ref="I57:I69" si="119">SUM(BO57:BP57)</f>
        <v>0</v>
      </c>
      <c r="J57" s="51">
        <f t="shared" ref="J57:J69" si="120">BQ57+BR57</f>
        <v>0</v>
      </c>
      <c r="K57" s="347">
        <f>SUM(BS57:BV57)</f>
        <v>30.3</v>
      </c>
      <c r="L57" s="353"/>
      <c r="M57" s="347"/>
      <c r="N57" s="58"/>
      <c r="O57" s="58"/>
      <c r="P57" s="58"/>
      <c r="Q57" s="58"/>
      <c r="R57" s="58"/>
      <c r="S57" s="347"/>
      <c r="T57" s="56"/>
      <c r="U57" s="105"/>
      <c r="V57" s="58"/>
      <c r="W57" s="58"/>
      <c r="X57" s="58"/>
      <c r="Y57" s="58"/>
      <c r="Z57" s="58"/>
      <c r="AA57" s="58"/>
      <c r="AB57" s="58"/>
      <c r="AC57" s="55"/>
      <c r="AD57" s="57">
        <f t="shared" ref="AD57:AD58" si="121">C57</f>
        <v>1200</v>
      </c>
      <c r="AE57" s="58">
        <v>48.670999999999999</v>
      </c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  <c r="AZ57" s="58"/>
      <c r="BA57" s="58"/>
      <c r="BB57" s="58"/>
      <c r="BC57" s="58"/>
      <c r="BD57" s="58"/>
      <c r="BE57" s="58"/>
      <c r="BF57" s="58"/>
      <c r="BG57" s="58"/>
      <c r="BH57" s="58"/>
      <c r="BI57" s="58"/>
      <c r="BJ57" s="58"/>
      <c r="BK57" s="58"/>
      <c r="BL57" s="58"/>
      <c r="BM57" s="58"/>
      <c r="BN57" s="58"/>
      <c r="BO57" s="58"/>
      <c r="BP57" s="58"/>
      <c r="BQ57" s="58"/>
      <c r="BR57" s="58"/>
      <c r="BS57" s="58"/>
      <c r="BT57" s="58"/>
      <c r="BU57" s="58"/>
      <c r="BV57" s="263">
        <f>26.3+4</f>
        <v>30.3</v>
      </c>
      <c r="BW57" s="1">
        <f t="shared" ref="BW57:BW116" si="122">C57</f>
        <v>1200</v>
      </c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 s="41"/>
    </row>
    <row r="58" spans="1:107" x14ac:dyDescent="0.25">
      <c r="A58" s="524"/>
      <c r="B58" s="125"/>
      <c r="C58" s="121">
        <v>1250</v>
      </c>
      <c r="D58" s="347">
        <f t="shared" ref="D58" si="123">SUM(AE58:AU58)</f>
        <v>58.061599999999999</v>
      </c>
      <c r="E58" s="347">
        <f t="shared" ref="E58" si="124">SUM(AV58:BD58)</f>
        <v>23.025400000000001</v>
      </c>
      <c r="F58" s="58">
        <f t="shared" ref="F58" si="125">SUM(BF58:BH58)</f>
        <v>0</v>
      </c>
      <c r="G58" s="58">
        <f t="shared" si="117"/>
        <v>0</v>
      </c>
      <c r="H58" s="58">
        <f t="shared" si="118"/>
        <v>0</v>
      </c>
      <c r="I58" s="58">
        <f t="shared" si="119"/>
        <v>0</v>
      </c>
      <c r="J58" s="51">
        <f t="shared" si="120"/>
        <v>0</v>
      </c>
      <c r="K58" s="347">
        <f t="shared" ref="K58" si="126">SUM(BS58:BV58)</f>
        <v>58.8</v>
      </c>
      <c r="L58" s="353">
        <f>ROUNDUP(((D57+D58)*0.5)*(C58-C57)/27,0)</f>
        <v>99</v>
      </c>
      <c r="M58" s="347">
        <f>ROUNDUP(((E57+E58)*0.5)*(C58-C57)/27,0)</f>
        <v>22</v>
      </c>
      <c r="N58" s="58">
        <f>ROUNDUP(((F57+F58)*0.5)*(C58-C57)/27,0)</f>
        <v>0</v>
      </c>
      <c r="O58" s="58">
        <f>ROUNDUP(((G58+G57)*0.5)*(C58-C57)/27,0)</f>
        <v>0</v>
      </c>
      <c r="P58" s="58">
        <f>ROUNDUP(((H58+H57)*0.5)*(C58-C57)/27,0)</f>
        <v>0</v>
      </c>
      <c r="Q58" s="58">
        <f>ROUNDUP(((I58+I57)*0.5)*(C58-C57)/9,0)</f>
        <v>0</v>
      </c>
      <c r="R58" s="58">
        <f>ROUNDUP(((J58+J57)*0.5)*(C58-C57)/9,0)</f>
        <v>0</v>
      </c>
      <c r="S58" s="347">
        <f>ROUNDUP(((K58+K57)*0.5)*(C58-C57)/9,0)</f>
        <v>248</v>
      </c>
      <c r="T58" s="56"/>
      <c r="U58" s="105"/>
      <c r="V58" s="58"/>
      <c r="W58" s="58"/>
      <c r="X58" s="58"/>
      <c r="Y58" s="58"/>
      <c r="Z58" s="58"/>
      <c r="AA58" s="58"/>
      <c r="AB58" s="58"/>
      <c r="AC58" s="55"/>
      <c r="AD58" s="57">
        <f t="shared" si="121"/>
        <v>1250</v>
      </c>
      <c r="AE58" s="58">
        <v>0.25879999999999997</v>
      </c>
      <c r="AF58" s="58">
        <v>57.802799999999998</v>
      </c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>
        <v>23.025400000000001</v>
      </c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58"/>
      <c r="BH58" s="58"/>
      <c r="BI58" s="58"/>
      <c r="BJ58" s="58"/>
      <c r="BK58" s="58"/>
      <c r="BL58" s="58"/>
      <c r="BM58" s="58"/>
      <c r="BN58" s="58"/>
      <c r="BO58" s="58"/>
      <c r="BP58" s="58"/>
      <c r="BQ58" s="58"/>
      <c r="BR58" s="58"/>
      <c r="BS58" s="58"/>
      <c r="BT58" s="58"/>
      <c r="BU58" s="58"/>
      <c r="BV58" s="263">
        <f>54.8+4</f>
        <v>58.8</v>
      </c>
      <c r="BW58" s="1">
        <f t="shared" si="122"/>
        <v>1250</v>
      </c>
    </row>
    <row r="59" spans="1:107" s="3" customFormat="1" ht="15.75" thickBot="1" x14ac:dyDescent="0.3">
      <c r="A59" s="524"/>
      <c r="B59" s="125"/>
      <c r="C59" s="121">
        <v>1300</v>
      </c>
      <c r="D59" s="347">
        <f t="shared" ref="D59:D69" si="127">SUM(AE59:AU59)</f>
        <v>14.3931</v>
      </c>
      <c r="E59" s="347">
        <f t="shared" ref="E59:E69" si="128">SUM(AV59:BD59)</f>
        <v>57.9786</v>
      </c>
      <c r="F59" s="58">
        <f t="shared" ref="F59:F69" si="129">SUM(BF59:BH59)</f>
        <v>0</v>
      </c>
      <c r="G59" s="58">
        <f t="shared" si="117"/>
        <v>0</v>
      </c>
      <c r="H59" s="58">
        <f t="shared" si="118"/>
        <v>0</v>
      </c>
      <c r="I59" s="58">
        <f t="shared" si="119"/>
        <v>0</v>
      </c>
      <c r="J59" s="51">
        <f t="shared" si="120"/>
        <v>0</v>
      </c>
      <c r="K59" s="347">
        <f t="shared" ref="K59:K69" si="130">SUM(BS59:BV59)</f>
        <v>45.6</v>
      </c>
      <c r="L59" s="353">
        <f t="shared" ref="L59:L69" si="131">ROUNDUP(((D58+D59)*0.5)*(C59-C58)/27,0)</f>
        <v>68</v>
      </c>
      <c r="M59" s="347">
        <f t="shared" ref="M59:M69" si="132">ROUNDUP(((E58+E59)*0.5)*(C59-C58)/27,0)</f>
        <v>76</v>
      </c>
      <c r="N59" s="58">
        <f t="shared" ref="N59:N69" si="133">ROUNDUP(((F58+F59)*0.5)*(C59-C58)/27,0)</f>
        <v>0</v>
      </c>
      <c r="O59" s="58">
        <f t="shared" ref="O59:O69" si="134">ROUNDUP(((G59+G58)*0.5)*(C59-C58)/27,0)</f>
        <v>0</v>
      </c>
      <c r="P59" s="58">
        <f t="shared" ref="P59:P69" si="135">ROUNDUP(((H59+H58)*0.5)*(C59-C58)/27,0)</f>
        <v>0</v>
      </c>
      <c r="Q59" s="58">
        <f t="shared" ref="Q59:Q69" si="136">ROUNDUP(((I59+I58)*0.5)*(C59-C58)/9,0)</f>
        <v>0</v>
      </c>
      <c r="R59" s="58">
        <f t="shared" ref="R59:R69" si="137">ROUNDUP(((J59+J58)*0.5)*(C59-C58)/9,0)</f>
        <v>0</v>
      </c>
      <c r="S59" s="347">
        <f t="shared" ref="S59:S69" si="138">ROUNDUP(((K59+K58)*0.5)*(C59-C58)/9,0)</f>
        <v>290</v>
      </c>
      <c r="T59" s="56"/>
      <c r="U59" s="105"/>
      <c r="V59" s="58"/>
      <c r="W59" s="58"/>
      <c r="X59" s="58"/>
      <c r="Y59" s="58"/>
      <c r="Z59" s="58"/>
      <c r="AA59" s="58"/>
      <c r="AB59" s="58"/>
      <c r="AC59" s="55"/>
      <c r="AD59" s="57">
        <f t="shared" ref="AD59:AD69" si="139">C59</f>
        <v>1300</v>
      </c>
      <c r="AE59" s="58">
        <v>14.3931</v>
      </c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>
        <v>1.9906999999999999</v>
      </c>
      <c r="AW59" s="58">
        <v>55.987900000000003</v>
      </c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  <c r="BJ59" s="58"/>
      <c r="BK59" s="58"/>
      <c r="BL59" s="58"/>
      <c r="BM59" s="58"/>
      <c r="BN59" s="58"/>
      <c r="BO59" s="58"/>
      <c r="BP59" s="58"/>
      <c r="BQ59" s="58"/>
      <c r="BR59" s="58"/>
      <c r="BS59" s="58"/>
      <c r="BT59" s="58"/>
      <c r="BU59" s="58"/>
      <c r="BV59" s="263">
        <v>45.6</v>
      </c>
      <c r="BW59" s="1">
        <f t="shared" si="122"/>
        <v>1300</v>
      </c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</row>
    <row r="60" spans="1:107" s="2" customFormat="1" x14ac:dyDescent="0.25">
      <c r="A60" s="524"/>
      <c r="B60" s="125"/>
      <c r="C60" s="121">
        <v>1350</v>
      </c>
      <c r="D60" s="347">
        <f t="shared" si="127"/>
        <v>209.43199999999999</v>
      </c>
      <c r="E60" s="347">
        <f t="shared" si="128"/>
        <v>8.7477999999999998</v>
      </c>
      <c r="F60" s="58">
        <f t="shared" si="129"/>
        <v>0</v>
      </c>
      <c r="G60" s="58">
        <f t="shared" si="117"/>
        <v>0</v>
      </c>
      <c r="H60" s="58">
        <f t="shared" si="118"/>
        <v>0</v>
      </c>
      <c r="I60" s="58">
        <f t="shared" si="119"/>
        <v>0</v>
      </c>
      <c r="J60" s="51">
        <f t="shared" si="120"/>
        <v>0</v>
      </c>
      <c r="K60" s="347">
        <f t="shared" si="130"/>
        <v>79.400000000000006</v>
      </c>
      <c r="L60" s="353">
        <f t="shared" si="131"/>
        <v>208</v>
      </c>
      <c r="M60" s="347">
        <f t="shared" si="132"/>
        <v>62</v>
      </c>
      <c r="N60" s="58">
        <f t="shared" si="133"/>
        <v>0</v>
      </c>
      <c r="O60" s="58">
        <f t="shared" si="134"/>
        <v>0</v>
      </c>
      <c r="P60" s="58">
        <f t="shared" si="135"/>
        <v>0</v>
      </c>
      <c r="Q60" s="58">
        <f t="shared" si="136"/>
        <v>0</v>
      </c>
      <c r="R60" s="58">
        <f t="shared" si="137"/>
        <v>0</v>
      </c>
      <c r="S60" s="347">
        <f t="shared" si="138"/>
        <v>348</v>
      </c>
      <c r="T60" s="56"/>
      <c r="U60" s="105"/>
      <c r="V60" s="58"/>
      <c r="W60" s="58"/>
      <c r="X60" s="58"/>
      <c r="Y60" s="58"/>
      <c r="Z60" s="58"/>
      <c r="AA60" s="58"/>
      <c r="AB60" s="58"/>
      <c r="AC60" s="55"/>
      <c r="AD60" s="57">
        <f t="shared" si="139"/>
        <v>1350</v>
      </c>
      <c r="AE60" s="58">
        <v>207.89859999999999</v>
      </c>
      <c r="AF60" s="58">
        <v>1.1860999999999999</v>
      </c>
      <c r="AG60" s="58">
        <v>0.3473</v>
      </c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>
        <v>8.6850000000000005</v>
      </c>
      <c r="AW60" s="58">
        <v>6.2799999999999995E-2</v>
      </c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  <c r="BM60" s="58"/>
      <c r="BN60" s="58"/>
      <c r="BO60" s="58"/>
      <c r="BP60" s="58"/>
      <c r="BQ60" s="58"/>
      <c r="BR60" s="58"/>
      <c r="BS60" s="58"/>
      <c r="BT60" s="58"/>
      <c r="BU60" s="58"/>
      <c r="BV60" s="263">
        <f>75.4+4</f>
        <v>79.400000000000006</v>
      </c>
      <c r="BW60" s="1">
        <f t="shared" si="122"/>
        <v>1350</v>
      </c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 s="41"/>
    </row>
    <row r="61" spans="1:107" s="168" customFormat="1" ht="15.75" thickBot="1" x14ac:dyDescent="0.3">
      <c r="A61" s="524"/>
      <c r="B61" s="211"/>
      <c r="C61" s="212">
        <v>1400</v>
      </c>
      <c r="D61" s="348">
        <f t="shared" si="127"/>
        <v>135.3416</v>
      </c>
      <c r="E61" s="348">
        <f t="shared" si="128"/>
        <v>415.98390000000001</v>
      </c>
      <c r="F61" s="144">
        <f t="shared" si="129"/>
        <v>0</v>
      </c>
      <c r="G61" s="144">
        <f t="shared" si="117"/>
        <v>0</v>
      </c>
      <c r="H61" s="144">
        <f t="shared" si="118"/>
        <v>0</v>
      </c>
      <c r="I61" s="144">
        <f t="shared" si="119"/>
        <v>0</v>
      </c>
      <c r="J61" s="159">
        <f t="shared" si="120"/>
        <v>0</v>
      </c>
      <c r="K61" s="348">
        <f t="shared" si="130"/>
        <v>116.7</v>
      </c>
      <c r="L61" s="354">
        <f t="shared" si="131"/>
        <v>320</v>
      </c>
      <c r="M61" s="348">
        <f t="shared" si="132"/>
        <v>394</v>
      </c>
      <c r="N61" s="144">
        <f t="shared" si="133"/>
        <v>0</v>
      </c>
      <c r="O61" s="144">
        <f t="shared" si="134"/>
        <v>0</v>
      </c>
      <c r="P61" s="144">
        <f t="shared" si="135"/>
        <v>0</v>
      </c>
      <c r="Q61" s="144">
        <f t="shared" si="136"/>
        <v>0</v>
      </c>
      <c r="R61" s="144">
        <f t="shared" si="137"/>
        <v>0</v>
      </c>
      <c r="S61" s="348">
        <f t="shared" si="138"/>
        <v>545</v>
      </c>
      <c r="T61" s="154"/>
      <c r="U61" s="255">
        <f>L57+L58+L59+L60+L61</f>
        <v>695</v>
      </c>
      <c r="V61" s="255">
        <f t="shared" ref="V61:AB61" si="140">M57+M58+M59+M60+M61</f>
        <v>554</v>
      </c>
      <c r="W61" s="255">
        <f t="shared" si="140"/>
        <v>0</v>
      </c>
      <c r="X61" s="255">
        <f t="shared" si="140"/>
        <v>0</v>
      </c>
      <c r="Y61" s="255">
        <f t="shared" si="140"/>
        <v>0</v>
      </c>
      <c r="Z61" s="255">
        <f t="shared" si="140"/>
        <v>0</v>
      </c>
      <c r="AA61" s="255">
        <f t="shared" si="140"/>
        <v>0</v>
      </c>
      <c r="AB61" s="255">
        <f t="shared" si="140"/>
        <v>1431</v>
      </c>
      <c r="AC61" s="153"/>
      <c r="AD61" s="158">
        <f t="shared" si="139"/>
        <v>1400</v>
      </c>
      <c r="AE61" s="144">
        <v>118.70959999999999</v>
      </c>
      <c r="AF61" s="144">
        <v>16.632000000000001</v>
      </c>
      <c r="AG61" s="144"/>
      <c r="AH61" s="144"/>
      <c r="AI61" s="144"/>
      <c r="AJ61" s="144"/>
      <c r="AK61" s="144"/>
      <c r="AL61" s="144"/>
      <c r="AM61" s="144"/>
      <c r="AN61" s="144"/>
      <c r="AO61" s="144"/>
      <c r="AP61" s="144"/>
      <c r="AQ61" s="144"/>
      <c r="AR61" s="144"/>
      <c r="AS61" s="144"/>
      <c r="AT61" s="144"/>
      <c r="AU61" s="144"/>
      <c r="AV61" s="144">
        <v>415.98390000000001</v>
      </c>
      <c r="AW61" s="144"/>
      <c r="AX61" s="144"/>
      <c r="AY61" s="144"/>
      <c r="AZ61" s="144"/>
      <c r="BA61" s="144"/>
      <c r="BB61" s="144"/>
      <c r="BC61" s="144"/>
      <c r="BD61" s="144"/>
      <c r="BE61" s="144"/>
      <c r="BF61" s="144"/>
      <c r="BG61" s="144"/>
      <c r="BH61" s="144"/>
      <c r="BI61" s="144"/>
      <c r="BJ61" s="144"/>
      <c r="BK61" s="144"/>
      <c r="BL61" s="144"/>
      <c r="BM61" s="144"/>
      <c r="BN61" s="144"/>
      <c r="BO61" s="144"/>
      <c r="BP61" s="144"/>
      <c r="BQ61" s="144"/>
      <c r="BR61" s="144"/>
      <c r="BS61" s="144"/>
      <c r="BT61" s="144"/>
      <c r="BU61" s="144"/>
      <c r="BV61" s="265">
        <f>112.7+4</f>
        <v>116.7</v>
      </c>
      <c r="BW61" s="1">
        <f t="shared" si="122"/>
        <v>1400</v>
      </c>
      <c r="BX61"/>
      <c r="BY61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167"/>
    </row>
    <row r="62" spans="1:107" x14ac:dyDescent="0.25">
      <c r="A62" s="524"/>
      <c r="B62" s="125"/>
      <c r="C62" s="210">
        <v>1426.03</v>
      </c>
      <c r="D62" s="349">
        <f t="shared" si="127"/>
        <v>123.7967</v>
      </c>
      <c r="E62" s="349">
        <f t="shared" si="128"/>
        <v>407.63189999999997</v>
      </c>
      <c r="F62" s="147">
        <f t="shared" si="129"/>
        <v>0</v>
      </c>
      <c r="G62" s="147">
        <f t="shared" si="117"/>
        <v>0</v>
      </c>
      <c r="H62" s="147">
        <f t="shared" si="118"/>
        <v>0</v>
      </c>
      <c r="I62" s="147">
        <f t="shared" si="119"/>
        <v>0</v>
      </c>
      <c r="J62" s="156">
        <f t="shared" si="120"/>
        <v>0</v>
      </c>
      <c r="K62" s="349">
        <f t="shared" si="130"/>
        <v>104.3</v>
      </c>
      <c r="L62" s="355">
        <f t="shared" si="131"/>
        <v>125</v>
      </c>
      <c r="M62" s="349">
        <f t="shared" si="132"/>
        <v>398</v>
      </c>
      <c r="N62" s="147">
        <f t="shared" si="133"/>
        <v>0</v>
      </c>
      <c r="O62" s="147">
        <f t="shared" si="134"/>
        <v>0</v>
      </c>
      <c r="P62" s="147">
        <f t="shared" si="135"/>
        <v>0</v>
      </c>
      <c r="Q62" s="147">
        <f t="shared" si="136"/>
        <v>0</v>
      </c>
      <c r="R62" s="147">
        <f t="shared" si="137"/>
        <v>0</v>
      </c>
      <c r="S62" s="349">
        <f t="shared" si="138"/>
        <v>320</v>
      </c>
      <c r="T62" s="56"/>
      <c r="U62" s="151"/>
      <c r="V62" s="147"/>
      <c r="W62" s="147"/>
      <c r="X62" s="147"/>
      <c r="Y62" s="147"/>
      <c r="Z62" s="147"/>
      <c r="AA62" s="147"/>
      <c r="AB62" s="147"/>
      <c r="AC62" s="55"/>
      <c r="AD62" s="155">
        <f t="shared" si="139"/>
        <v>1426.03</v>
      </c>
      <c r="AE62" s="147">
        <v>123.7967</v>
      </c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>
        <v>407.63189999999997</v>
      </c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147"/>
      <c r="BV62" s="266">
        <f>100.3+4</f>
        <v>104.3</v>
      </c>
      <c r="BW62" s="1">
        <f t="shared" si="122"/>
        <v>1426.03</v>
      </c>
    </row>
    <row r="63" spans="1:107" s="3" customFormat="1" ht="15.75" thickBot="1" x14ac:dyDescent="0.3">
      <c r="A63" s="524"/>
      <c r="B63" s="218"/>
      <c r="C63" s="121">
        <v>1450</v>
      </c>
      <c r="D63" s="347">
        <f t="shared" si="127"/>
        <v>32.323900000000002</v>
      </c>
      <c r="E63" s="347">
        <f t="shared" si="128"/>
        <v>81.676400000000001</v>
      </c>
      <c r="F63" s="58">
        <f t="shared" si="129"/>
        <v>0</v>
      </c>
      <c r="G63" s="58">
        <f t="shared" si="117"/>
        <v>0</v>
      </c>
      <c r="H63" s="58">
        <f t="shared" si="118"/>
        <v>0</v>
      </c>
      <c r="I63" s="58">
        <f t="shared" si="119"/>
        <v>0</v>
      </c>
      <c r="J63" s="51">
        <f t="shared" si="120"/>
        <v>0</v>
      </c>
      <c r="K63" s="347">
        <f t="shared" si="130"/>
        <v>33.5</v>
      </c>
      <c r="L63" s="353">
        <f t="shared" si="131"/>
        <v>70</v>
      </c>
      <c r="M63" s="347">
        <f t="shared" si="132"/>
        <v>218</v>
      </c>
      <c r="N63" s="58">
        <f t="shared" si="133"/>
        <v>0</v>
      </c>
      <c r="O63" s="58">
        <f t="shared" si="134"/>
        <v>0</v>
      </c>
      <c r="P63" s="58">
        <f t="shared" si="135"/>
        <v>0</v>
      </c>
      <c r="Q63" s="58">
        <f t="shared" si="136"/>
        <v>0</v>
      </c>
      <c r="R63" s="58">
        <f t="shared" si="137"/>
        <v>0</v>
      </c>
      <c r="S63" s="347">
        <f t="shared" si="138"/>
        <v>184</v>
      </c>
      <c r="T63" s="400"/>
      <c r="U63" s="105"/>
      <c r="V63" s="105"/>
      <c r="W63" s="105"/>
      <c r="X63" s="105"/>
      <c r="Y63" s="105"/>
      <c r="Z63" s="105"/>
      <c r="AA63" s="105"/>
      <c r="AB63" s="105"/>
      <c r="AC63" s="401"/>
      <c r="AD63" s="57">
        <f t="shared" si="139"/>
        <v>1450</v>
      </c>
      <c r="AE63" s="119">
        <v>32.323900000000002</v>
      </c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119">
        <v>32.323900000000002</v>
      </c>
      <c r="AW63" s="58">
        <v>49.352499999999999</v>
      </c>
      <c r="AX63" s="58"/>
      <c r="AY63" s="58"/>
      <c r="AZ63" s="58"/>
      <c r="BA63" s="58"/>
      <c r="BB63" s="58"/>
      <c r="BC63" s="58"/>
      <c r="BD63" s="58"/>
      <c r="BE63" s="58"/>
      <c r="BF63" s="58"/>
      <c r="BG63" s="58"/>
      <c r="BH63" s="58"/>
      <c r="BI63" s="58"/>
      <c r="BJ63" s="58"/>
      <c r="BK63" s="58"/>
      <c r="BL63" s="58"/>
      <c r="BM63" s="58"/>
      <c r="BN63" s="58"/>
      <c r="BO63" s="58"/>
      <c r="BP63" s="58"/>
      <c r="BQ63" s="58"/>
      <c r="BR63" s="58"/>
      <c r="BS63" s="58"/>
      <c r="BT63" s="58"/>
      <c r="BU63" s="58"/>
      <c r="BV63" s="263">
        <f>29.5+4</f>
        <v>33.5</v>
      </c>
      <c r="BW63" s="1">
        <f t="shared" si="122"/>
        <v>1450</v>
      </c>
      <c r="BX63"/>
      <c r="BY63"/>
    </row>
    <row r="64" spans="1:107" x14ac:dyDescent="0.25">
      <c r="A64" s="524"/>
      <c r="B64" s="525"/>
      <c r="C64" s="210">
        <v>1500</v>
      </c>
      <c r="D64" s="349">
        <f t="shared" si="127"/>
        <v>202.7364</v>
      </c>
      <c r="E64" s="349">
        <f t="shared" si="128"/>
        <v>506.31119999999999</v>
      </c>
      <c r="F64" s="147">
        <f t="shared" si="129"/>
        <v>0</v>
      </c>
      <c r="G64" s="147">
        <f t="shared" si="117"/>
        <v>0</v>
      </c>
      <c r="H64" s="147">
        <f t="shared" si="118"/>
        <v>0</v>
      </c>
      <c r="I64" s="147">
        <f t="shared" si="119"/>
        <v>0</v>
      </c>
      <c r="J64" s="156">
        <f t="shared" si="120"/>
        <v>0</v>
      </c>
      <c r="K64" s="349">
        <f t="shared" si="130"/>
        <v>80.7</v>
      </c>
      <c r="L64" s="355">
        <f>ROUNDUP(((D63+D64)*0.5)*(C64-C63)/27,0)</f>
        <v>218</v>
      </c>
      <c r="M64" s="349">
        <f t="shared" si="132"/>
        <v>545</v>
      </c>
      <c r="N64" s="147">
        <f t="shared" si="133"/>
        <v>0</v>
      </c>
      <c r="O64" s="147">
        <f t="shared" si="134"/>
        <v>0</v>
      </c>
      <c r="P64" s="147">
        <f t="shared" si="135"/>
        <v>0</v>
      </c>
      <c r="Q64" s="147">
        <f t="shared" si="136"/>
        <v>0</v>
      </c>
      <c r="R64" s="147">
        <f t="shared" si="137"/>
        <v>0</v>
      </c>
      <c r="S64" s="349">
        <f t="shared" si="138"/>
        <v>318</v>
      </c>
      <c r="T64" s="56"/>
      <c r="U64" s="151"/>
      <c r="V64" s="147"/>
      <c r="W64" s="147"/>
      <c r="X64" s="147"/>
      <c r="Y64" s="147"/>
      <c r="Z64" s="147"/>
      <c r="AA64" s="147"/>
      <c r="AB64" s="147"/>
      <c r="AC64" s="55"/>
      <c r="AD64" s="155">
        <f t="shared" si="139"/>
        <v>1500</v>
      </c>
      <c r="AE64" s="246">
        <v>202.7364</v>
      </c>
      <c r="AF64" s="147"/>
      <c r="AG64" s="147"/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246">
        <v>202.7364</v>
      </c>
      <c r="AW64" s="147">
        <v>303.57479999999998</v>
      </c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  <c r="BI64" s="147"/>
      <c r="BJ64" s="147"/>
      <c r="BK64" s="147"/>
      <c r="BL64" s="147"/>
      <c r="BM64" s="147"/>
      <c r="BN64" s="147"/>
      <c r="BO64" s="147"/>
      <c r="BP64" s="147"/>
      <c r="BQ64" s="147"/>
      <c r="BR64" s="147"/>
      <c r="BS64" s="147"/>
      <c r="BT64" s="147"/>
      <c r="BU64" s="147"/>
      <c r="BV64" s="266">
        <f>76.7+4</f>
        <v>80.7</v>
      </c>
      <c r="BW64" s="1">
        <f t="shared" si="122"/>
        <v>1500</v>
      </c>
    </row>
    <row r="65" spans="1:107" s="3" customFormat="1" ht="15.75" thickBot="1" x14ac:dyDescent="0.3">
      <c r="A65" s="524"/>
      <c r="B65" s="526"/>
      <c r="C65" s="212">
        <v>1550</v>
      </c>
      <c r="D65" s="348">
        <f t="shared" si="127"/>
        <v>145.9778</v>
      </c>
      <c r="E65" s="348">
        <f t="shared" si="128"/>
        <v>503.70310000000001</v>
      </c>
      <c r="F65" s="144">
        <f t="shared" si="129"/>
        <v>0</v>
      </c>
      <c r="G65" s="144">
        <f t="shared" si="117"/>
        <v>0</v>
      </c>
      <c r="H65" s="144">
        <f t="shared" si="118"/>
        <v>0</v>
      </c>
      <c r="I65" s="144">
        <f t="shared" si="119"/>
        <v>0</v>
      </c>
      <c r="J65" s="159">
        <f t="shared" si="120"/>
        <v>0</v>
      </c>
      <c r="K65" s="348">
        <f t="shared" si="130"/>
        <v>108.9</v>
      </c>
      <c r="L65" s="354">
        <f t="shared" si="131"/>
        <v>323</v>
      </c>
      <c r="M65" s="348">
        <f t="shared" si="132"/>
        <v>936</v>
      </c>
      <c r="N65" s="144">
        <f t="shared" si="133"/>
        <v>0</v>
      </c>
      <c r="O65" s="144">
        <f t="shared" si="134"/>
        <v>0</v>
      </c>
      <c r="P65" s="144">
        <f t="shared" si="135"/>
        <v>0</v>
      </c>
      <c r="Q65" s="144">
        <f t="shared" si="136"/>
        <v>0</v>
      </c>
      <c r="R65" s="144">
        <f t="shared" si="137"/>
        <v>0</v>
      </c>
      <c r="S65" s="348">
        <f t="shared" si="138"/>
        <v>527</v>
      </c>
      <c r="T65" s="154"/>
      <c r="U65" s="255">
        <f>L64+L65+L63+L62</f>
        <v>736</v>
      </c>
      <c r="V65" s="255">
        <f t="shared" ref="V65:AB65" si="141">M64+M65+M63+M62</f>
        <v>2097</v>
      </c>
      <c r="W65" s="255">
        <f t="shared" si="141"/>
        <v>0</v>
      </c>
      <c r="X65" s="255">
        <f t="shared" si="141"/>
        <v>0</v>
      </c>
      <c r="Y65" s="255">
        <f t="shared" si="141"/>
        <v>0</v>
      </c>
      <c r="Z65" s="255">
        <f t="shared" si="141"/>
        <v>0</v>
      </c>
      <c r="AA65" s="255">
        <f t="shared" si="141"/>
        <v>0</v>
      </c>
      <c r="AB65" s="255">
        <f t="shared" si="141"/>
        <v>1349</v>
      </c>
      <c r="AC65" s="153"/>
      <c r="AD65" s="158">
        <f t="shared" si="139"/>
        <v>1550</v>
      </c>
      <c r="AE65" s="247">
        <v>145.9778</v>
      </c>
      <c r="AF65" s="144"/>
      <c r="AG65" s="144"/>
      <c r="AH65" s="144"/>
      <c r="AI65" s="144"/>
      <c r="AJ65" s="144"/>
      <c r="AK65" s="144"/>
      <c r="AL65" s="144"/>
      <c r="AM65" s="144"/>
      <c r="AN65" s="144"/>
      <c r="AO65" s="144"/>
      <c r="AP65" s="144"/>
      <c r="AQ65" s="144"/>
      <c r="AR65" s="144"/>
      <c r="AS65" s="144"/>
      <c r="AT65" s="144"/>
      <c r="AU65" s="144"/>
      <c r="AV65" s="247">
        <v>145.9778</v>
      </c>
      <c r="AW65" s="144">
        <v>357.7253</v>
      </c>
      <c r="AX65" s="144"/>
      <c r="AY65" s="144"/>
      <c r="AZ65" s="144"/>
      <c r="BA65" s="144"/>
      <c r="BB65" s="144"/>
      <c r="BC65" s="144"/>
      <c r="BD65" s="144"/>
      <c r="BE65" s="144"/>
      <c r="BF65" s="144"/>
      <c r="BG65" s="144"/>
      <c r="BH65" s="144"/>
      <c r="BI65" s="144"/>
      <c r="BJ65" s="144"/>
      <c r="BK65" s="144"/>
      <c r="BL65" s="144"/>
      <c r="BM65" s="144"/>
      <c r="BN65" s="144"/>
      <c r="BO65" s="144"/>
      <c r="BP65" s="144"/>
      <c r="BQ65" s="144"/>
      <c r="BR65" s="144"/>
      <c r="BS65" s="144"/>
      <c r="BT65" s="144"/>
      <c r="BU65" s="144"/>
      <c r="BV65" s="265">
        <v>108.9</v>
      </c>
      <c r="BW65" s="1">
        <f t="shared" si="122"/>
        <v>1550</v>
      </c>
      <c r="BX65"/>
      <c r="BY65"/>
    </row>
    <row r="66" spans="1:107" x14ac:dyDescent="0.25">
      <c r="A66" s="524"/>
      <c r="C66" s="210">
        <v>1600</v>
      </c>
      <c r="D66" s="349">
        <f t="shared" si="127"/>
        <v>249.357</v>
      </c>
      <c r="E66" s="349">
        <f t="shared" si="128"/>
        <v>413.73919999999998</v>
      </c>
      <c r="F66" s="147">
        <f t="shared" si="129"/>
        <v>0</v>
      </c>
      <c r="G66" s="147">
        <f t="shared" si="117"/>
        <v>0</v>
      </c>
      <c r="H66" s="147">
        <f t="shared" si="118"/>
        <v>0</v>
      </c>
      <c r="I66" s="147">
        <f t="shared" si="119"/>
        <v>0</v>
      </c>
      <c r="J66" s="156">
        <f t="shared" si="120"/>
        <v>0</v>
      </c>
      <c r="K66" s="349">
        <f t="shared" si="130"/>
        <v>83.5</v>
      </c>
      <c r="L66" s="355">
        <f t="shared" si="131"/>
        <v>367</v>
      </c>
      <c r="M66" s="349">
        <f t="shared" si="132"/>
        <v>850</v>
      </c>
      <c r="N66" s="147">
        <f t="shared" si="133"/>
        <v>0</v>
      </c>
      <c r="O66" s="147">
        <f t="shared" si="134"/>
        <v>0</v>
      </c>
      <c r="P66" s="147">
        <f t="shared" si="135"/>
        <v>0</v>
      </c>
      <c r="Q66" s="147">
        <f t="shared" si="136"/>
        <v>0</v>
      </c>
      <c r="R66" s="147">
        <f t="shared" si="137"/>
        <v>0</v>
      </c>
      <c r="S66" s="349">
        <f t="shared" si="138"/>
        <v>535</v>
      </c>
      <c r="T66" s="56"/>
      <c r="U66" s="151"/>
      <c r="V66" s="147"/>
      <c r="W66" s="147"/>
      <c r="X66" s="147"/>
      <c r="Y66" s="147"/>
      <c r="Z66" s="147"/>
      <c r="AA66" s="147"/>
      <c r="AB66" s="147"/>
      <c r="AC66" s="55"/>
      <c r="AD66" s="155">
        <f t="shared" si="139"/>
        <v>1600</v>
      </c>
      <c r="AE66" s="246">
        <v>221.9333</v>
      </c>
      <c r="AF66" s="147">
        <v>27.4237</v>
      </c>
      <c r="AG66" s="147"/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246">
        <v>221.9333</v>
      </c>
      <c r="AW66" s="147">
        <v>191.80590000000001</v>
      </c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  <c r="BI66" s="147"/>
      <c r="BJ66" s="147"/>
      <c r="BK66" s="147"/>
      <c r="BL66" s="147"/>
      <c r="BM66" s="147"/>
      <c r="BN66" s="147"/>
      <c r="BO66" s="147"/>
      <c r="BP66" s="147"/>
      <c r="BQ66" s="147"/>
      <c r="BR66" s="147"/>
      <c r="BS66" s="147"/>
      <c r="BT66" s="147"/>
      <c r="BU66" s="147"/>
      <c r="BV66" s="266">
        <v>83.5</v>
      </c>
      <c r="BW66" s="1">
        <f t="shared" si="122"/>
        <v>1600</v>
      </c>
    </row>
    <row r="67" spans="1:107" x14ac:dyDescent="0.25">
      <c r="A67" s="524"/>
      <c r="C67" s="121">
        <v>1650</v>
      </c>
      <c r="D67" s="347">
        <f t="shared" si="127"/>
        <v>49.793199999999999</v>
      </c>
      <c r="E67" s="347">
        <f t="shared" si="128"/>
        <v>53.1265</v>
      </c>
      <c r="F67" s="58">
        <f t="shared" si="129"/>
        <v>0</v>
      </c>
      <c r="G67" s="58">
        <f t="shared" si="117"/>
        <v>0</v>
      </c>
      <c r="H67" s="58">
        <f t="shared" si="118"/>
        <v>0</v>
      </c>
      <c r="I67" s="58">
        <f t="shared" si="119"/>
        <v>0</v>
      </c>
      <c r="J67" s="51">
        <f t="shared" si="120"/>
        <v>0</v>
      </c>
      <c r="K67" s="347">
        <f t="shared" si="130"/>
        <v>37.700000000000003</v>
      </c>
      <c r="L67" s="353">
        <f t="shared" si="131"/>
        <v>277</v>
      </c>
      <c r="M67" s="347">
        <f t="shared" si="132"/>
        <v>433</v>
      </c>
      <c r="N67" s="58">
        <f t="shared" si="133"/>
        <v>0</v>
      </c>
      <c r="O67" s="58">
        <f t="shared" si="134"/>
        <v>0</v>
      </c>
      <c r="P67" s="58">
        <f t="shared" si="135"/>
        <v>0</v>
      </c>
      <c r="Q67" s="58">
        <f t="shared" si="136"/>
        <v>0</v>
      </c>
      <c r="R67" s="58">
        <f t="shared" si="137"/>
        <v>0</v>
      </c>
      <c r="S67" s="347">
        <f t="shared" si="138"/>
        <v>337</v>
      </c>
      <c r="T67" s="56"/>
      <c r="U67" s="105"/>
      <c r="V67" s="58"/>
      <c r="W67" s="58"/>
      <c r="X67" s="58"/>
      <c r="Y67" s="58"/>
      <c r="Z67" s="58"/>
      <c r="AA67" s="58"/>
      <c r="AB67" s="58"/>
      <c r="AC67" s="55"/>
      <c r="AD67" s="57">
        <f t="shared" si="139"/>
        <v>1650</v>
      </c>
      <c r="AE67" s="119">
        <v>45.412599999999998</v>
      </c>
      <c r="AF67" s="58">
        <v>4.3806000000000003</v>
      </c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119">
        <v>45.412599999999998</v>
      </c>
      <c r="AW67" s="58">
        <v>7.7138999999999998</v>
      </c>
      <c r="AX67" s="58"/>
      <c r="AY67" s="58"/>
      <c r="AZ67" s="58"/>
      <c r="BA67" s="58"/>
      <c r="BB67" s="58"/>
      <c r="BC67" s="58"/>
      <c r="BD67" s="58"/>
      <c r="BE67" s="58"/>
      <c r="BF67" s="58"/>
      <c r="BG67" s="58"/>
      <c r="BH67" s="58"/>
      <c r="BI67" s="58"/>
      <c r="BJ67" s="58"/>
      <c r="BK67" s="58"/>
      <c r="BL67" s="58"/>
      <c r="BM67" s="58"/>
      <c r="BN67" s="58"/>
      <c r="BO67" s="58"/>
      <c r="BP67" s="58"/>
      <c r="BQ67" s="58"/>
      <c r="BR67" s="58"/>
      <c r="BS67" s="58"/>
      <c r="BT67" s="58"/>
      <c r="BU67" s="58"/>
      <c r="BV67" s="263">
        <f>29.7+8</f>
        <v>37.700000000000003</v>
      </c>
      <c r="BW67" s="1">
        <f t="shared" si="122"/>
        <v>1650</v>
      </c>
    </row>
    <row r="68" spans="1:107" x14ac:dyDescent="0.25">
      <c r="A68" s="524"/>
      <c r="C68" s="121">
        <v>1700</v>
      </c>
      <c r="D68" s="347">
        <f t="shared" si="127"/>
        <v>3.3000000000000002E-2</v>
      </c>
      <c r="E68" s="347">
        <f t="shared" si="128"/>
        <v>0.97489999999999999</v>
      </c>
      <c r="F68" s="58">
        <f t="shared" si="129"/>
        <v>0</v>
      </c>
      <c r="G68" s="58">
        <f t="shared" si="117"/>
        <v>0</v>
      </c>
      <c r="H68" s="58">
        <f t="shared" si="118"/>
        <v>0</v>
      </c>
      <c r="I68" s="58">
        <f t="shared" si="119"/>
        <v>0</v>
      </c>
      <c r="J68" s="51">
        <f t="shared" si="120"/>
        <v>0</v>
      </c>
      <c r="K68" s="347">
        <f t="shared" si="130"/>
        <v>11.3</v>
      </c>
      <c r="L68" s="353">
        <f t="shared" si="131"/>
        <v>47</v>
      </c>
      <c r="M68" s="347">
        <f t="shared" si="132"/>
        <v>51</v>
      </c>
      <c r="N68" s="58">
        <f t="shared" si="133"/>
        <v>0</v>
      </c>
      <c r="O68" s="58">
        <f t="shared" si="134"/>
        <v>0</v>
      </c>
      <c r="P68" s="58">
        <f t="shared" si="135"/>
        <v>0</v>
      </c>
      <c r="Q68" s="58">
        <f t="shared" si="136"/>
        <v>0</v>
      </c>
      <c r="R68" s="58">
        <f t="shared" si="137"/>
        <v>0</v>
      </c>
      <c r="S68" s="347">
        <f t="shared" si="138"/>
        <v>137</v>
      </c>
      <c r="T68" s="56"/>
      <c r="U68" s="105"/>
      <c r="V68" s="58"/>
      <c r="W68" s="58"/>
      <c r="X68" s="58"/>
      <c r="Y68" s="58"/>
      <c r="Z68" s="58"/>
      <c r="AA68" s="58"/>
      <c r="AB68" s="58"/>
      <c r="AC68" s="55"/>
      <c r="AD68" s="57">
        <f t="shared" si="139"/>
        <v>1700</v>
      </c>
      <c r="AE68" s="58">
        <v>3.3000000000000002E-2</v>
      </c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>
        <v>0.97489999999999999</v>
      </c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8"/>
      <c r="BK68" s="58"/>
      <c r="BL68" s="58"/>
      <c r="BM68" s="58"/>
      <c r="BN68" s="58"/>
      <c r="BO68" s="58"/>
      <c r="BP68" s="58"/>
      <c r="BQ68" s="58"/>
      <c r="BR68" s="58"/>
      <c r="BS68" s="58"/>
      <c r="BT68" s="58"/>
      <c r="BU68" s="58"/>
      <c r="BV68" s="263">
        <f>7.3+4</f>
        <v>11.3</v>
      </c>
      <c r="BW68" s="1">
        <f t="shared" si="122"/>
        <v>1700</v>
      </c>
    </row>
    <row r="69" spans="1:107" ht="15.75" thickBot="1" x14ac:dyDescent="0.3">
      <c r="A69" s="524"/>
      <c r="C69" s="121">
        <v>1703.97</v>
      </c>
      <c r="D69" s="347">
        <f t="shared" si="127"/>
        <v>0</v>
      </c>
      <c r="E69" s="347">
        <f t="shared" si="128"/>
        <v>0</v>
      </c>
      <c r="F69" s="58">
        <f t="shared" si="129"/>
        <v>0</v>
      </c>
      <c r="G69" s="58">
        <f t="shared" si="117"/>
        <v>0</v>
      </c>
      <c r="H69" s="58">
        <f t="shared" si="118"/>
        <v>0</v>
      </c>
      <c r="I69" s="58">
        <f t="shared" si="119"/>
        <v>0</v>
      </c>
      <c r="J69" s="51">
        <f t="shared" si="120"/>
        <v>0</v>
      </c>
      <c r="K69" s="347">
        <f t="shared" si="130"/>
        <v>0</v>
      </c>
      <c r="L69" s="353">
        <f t="shared" si="131"/>
        <v>1</v>
      </c>
      <c r="M69" s="347">
        <f t="shared" si="132"/>
        <v>1</v>
      </c>
      <c r="N69" s="58">
        <f t="shared" si="133"/>
        <v>0</v>
      </c>
      <c r="O69" s="58">
        <f t="shared" si="134"/>
        <v>0</v>
      </c>
      <c r="P69" s="58">
        <f t="shared" si="135"/>
        <v>0</v>
      </c>
      <c r="Q69" s="58">
        <f t="shared" si="136"/>
        <v>0</v>
      </c>
      <c r="R69" s="58">
        <f t="shared" si="137"/>
        <v>0</v>
      </c>
      <c r="S69" s="347">
        <f t="shared" si="138"/>
        <v>3</v>
      </c>
      <c r="T69" s="56"/>
      <c r="U69" s="255">
        <f>L66+L67+L68+L69</f>
        <v>692</v>
      </c>
      <c r="V69" s="255">
        <f t="shared" ref="V69" si="142">M66+M67+M68+M69</f>
        <v>1335</v>
      </c>
      <c r="W69" s="255">
        <f t="shared" ref="W69" si="143">N66+N67+N68+N69</f>
        <v>0</v>
      </c>
      <c r="X69" s="255">
        <f t="shared" ref="X69" si="144">O66+O67+O68+O69</f>
        <v>0</v>
      </c>
      <c r="Y69" s="255">
        <f t="shared" ref="Y69" si="145">P66+P67+P68+P69</f>
        <v>0</v>
      </c>
      <c r="Z69" s="255">
        <f t="shared" ref="Z69" si="146">Q66+Q67+Q68+Q69</f>
        <v>0</v>
      </c>
      <c r="AA69" s="255">
        <f t="shared" ref="AA69" si="147">R66+R67+R68+R69</f>
        <v>0</v>
      </c>
      <c r="AB69" s="255">
        <f t="shared" ref="AB69" si="148">S66+S67+S68+S69</f>
        <v>1012</v>
      </c>
      <c r="AC69" s="55"/>
      <c r="AD69" s="57">
        <f t="shared" si="139"/>
        <v>1703.97</v>
      </c>
      <c r="AE69" s="58">
        <v>0</v>
      </c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>
        <v>0</v>
      </c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  <c r="BM69" s="58"/>
      <c r="BN69" s="58"/>
      <c r="BO69" s="58"/>
      <c r="BP69" s="58"/>
      <c r="BQ69" s="58"/>
      <c r="BR69" s="58"/>
      <c r="BS69" s="58"/>
      <c r="BT69" s="58"/>
      <c r="BU69" s="58"/>
      <c r="BV69" s="263">
        <v>0</v>
      </c>
      <c r="BW69" s="1">
        <f t="shared" si="122"/>
        <v>1703.97</v>
      </c>
    </row>
    <row r="70" spans="1:107" x14ac:dyDescent="0.25">
      <c r="A70" s="524"/>
      <c r="BW70" s="1"/>
    </row>
    <row r="71" spans="1:107" ht="21" x14ac:dyDescent="0.35">
      <c r="A71" s="524"/>
      <c r="L71" s="385">
        <f>SUM(L57:L69)</f>
        <v>2123</v>
      </c>
      <c r="M71" s="385">
        <f t="shared" ref="M71:S71" si="149">SUM(M57:M69)</f>
        <v>3986</v>
      </c>
      <c r="N71" s="120">
        <f t="shared" si="149"/>
        <v>0</v>
      </c>
      <c r="O71" s="120">
        <f t="shared" si="149"/>
        <v>0</v>
      </c>
      <c r="P71" s="120">
        <f t="shared" si="149"/>
        <v>0</v>
      </c>
      <c r="Q71" s="120">
        <f t="shared" si="149"/>
        <v>0</v>
      </c>
      <c r="R71" s="120">
        <f t="shared" si="149"/>
        <v>0</v>
      </c>
      <c r="S71" s="385">
        <f t="shared" si="149"/>
        <v>3792</v>
      </c>
      <c r="U71" s="120">
        <f>SUM(U57:U69)</f>
        <v>2123</v>
      </c>
      <c r="V71" s="120">
        <f t="shared" ref="V71:AB71" si="150">SUM(V57:V69)</f>
        <v>3986</v>
      </c>
      <c r="W71" s="120">
        <f t="shared" si="150"/>
        <v>0</v>
      </c>
      <c r="X71" s="120">
        <f t="shared" si="150"/>
        <v>0</v>
      </c>
      <c r="Y71" s="120">
        <f t="shared" si="150"/>
        <v>0</v>
      </c>
      <c r="Z71" s="120">
        <f t="shared" si="150"/>
        <v>0</v>
      </c>
      <c r="AA71" s="120">
        <f t="shared" si="150"/>
        <v>0</v>
      </c>
      <c r="AB71" s="120">
        <f t="shared" si="150"/>
        <v>3792</v>
      </c>
      <c r="BW71" s="1"/>
    </row>
    <row r="72" spans="1:107" x14ac:dyDescent="0.25">
      <c r="BW72" s="1"/>
    </row>
    <row r="73" spans="1:107" x14ac:dyDescent="0.25">
      <c r="BW73" s="1"/>
    </row>
    <row r="74" spans="1:107" ht="15.75" thickBot="1" x14ac:dyDescent="0.3">
      <c r="C74" s="57"/>
      <c r="D74" s="360"/>
      <c r="E74" s="360"/>
      <c r="F74" s="75"/>
      <c r="G74" s="75"/>
      <c r="H74" s="75"/>
      <c r="I74" s="75"/>
      <c r="J74" s="75"/>
      <c r="K74" s="373"/>
      <c r="L74" s="384"/>
      <c r="M74" s="360"/>
      <c r="N74" s="75"/>
      <c r="O74" s="75"/>
      <c r="P74" s="75"/>
      <c r="Q74" s="75"/>
      <c r="R74" s="75"/>
      <c r="S74" s="360"/>
      <c r="T74" s="4"/>
      <c r="U74" s="104"/>
      <c r="V74" s="75"/>
      <c r="W74" s="75"/>
      <c r="X74" s="75"/>
      <c r="Y74" s="75"/>
      <c r="Z74" s="75"/>
      <c r="AA74" s="75"/>
      <c r="AB74" s="75"/>
      <c r="AC74" s="55"/>
      <c r="AD74" s="49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78"/>
      <c r="BM74" s="78"/>
      <c r="BN74" s="78"/>
      <c r="BO74" s="78"/>
      <c r="BP74" s="78"/>
      <c r="BQ74" s="78"/>
      <c r="BR74" s="78"/>
      <c r="BS74" s="49"/>
      <c r="BT74" s="49"/>
      <c r="BU74" s="49"/>
      <c r="BV74" s="263"/>
      <c r="BW74" s="1"/>
    </row>
    <row r="75" spans="1:107" s="2" customFormat="1" ht="15" customHeight="1" x14ac:dyDescent="0.25">
      <c r="A75" s="523" t="s">
        <v>71</v>
      </c>
      <c r="B75" s="125"/>
      <c r="C75" s="121">
        <v>1000</v>
      </c>
      <c r="D75" s="347">
        <f>SUM(AE75:AU75)</f>
        <v>94.901499999999999</v>
      </c>
      <c r="E75" s="347">
        <f>SUM(AV75:BD75)</f>
        <v>0</v>
      </c>
      <c r="F75" s="58">
        <f>SUM(BF75:BH75)</f>
        <v>0</v>
      </c>
      <c r="G75" s="58">
        <f t="shared" ref="G75:G86" si="151">SUM(BI75:BK75)</f>
        <v>0</v>
      </c>
      <c r="H75" s="58">
        <f t="shared" ref="H75:H86" si="152">SUM(BL75:BN75)</f>
        <v>0</v>
      </c>
      <c r="I75" s="58">
        <f t="shared" ref="I75:I86" si="153">SUM(BO75:BP75)</f>
        <v>0</v>
      </c>
      <c r="J75" s="51">
        <f t="shared" ref="J75:J86" si="154">BQ75+BR75</f>
        <v>0</v>
      </c>
      <c r="K75" s="347">
        <f>SUM(BS75:BV75)</f>
        <v>44.4</v>
      </c>
      <c r="L75" s="353"/>
      <c r="M75" s="347"/>
      <c r="N75" s="58"/>
      <c r="O75" s="58"/>
      <c r="P75" s="58"/>
      <c r="Q75" s="58"/>
      <c r="R75" s="58"/>
      <c r="S75" s="347"/>
      <c r="T75" s="56"/>
      <c r="U75" s="105"/>
      <c r="V75" s="58"/>
      <c r="W75" s="58"/>
      <c r="X75" s="58"/>
      <c r="Y75" s="58"/>
      <c r="Z75" s="58"/>
      <c r="AA75" s="58"/>
      <c r="AB75" s="58"/>
      <c r="AC75" s="55"/>
      <c r="AD75" s="57">
        <f t="shared" ref="AD75:AD86" si="155">C75</f>
        <v>1000</v>
      </c>
      <c r="AE75" s="58">
        <v>94.901499999999999</v>
      </c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58"/>
      <c r="BH75" s="58"/>
      <c r="BI75" s="58"/>
      <c r="BJ75" s="58"/>
      <c r="BK75" s="58"/>
      <c r="BL75" s="58"/>
      <c r="BM75" s="58"/>
      <c r="BN75" s="58"/>
      <c r="BO75" s="58"/>
      <c r="BP75" s="58"/>
      <c r="BQ75" s="58"/>
      <c r="BR75" s="58"/>
      <c r="BS75" s="58"/>
      <c r="BT75" s="58"/>
      <c r="BU75" s="58"/>
      <c r="BV75">
        <f>40.4+4</f>
        <v>44.4</v>
      </c>
      <c r="BW75" s="1">
        <f t="shared" si="122"/>
        <v>1000</v>
      </c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 s="41"/>
    </row>
    <row r="76" spans="1:107" x14ac:dyDescent="0.25">
      <c r="A76" s="524"/>
      <c r="B76" s="125"/>
      <c r="C76" s="121">
        <v>1050</v>
      </c>
      <c r="D76" s="347">
        <f t="shared" ref="D76:D86" si="156">SUM(AE76:AU76)</f>
        <v>0</v>
      </c>
      <c r="E76" s="347">
        <f t="shared" ref="E76:E86" si="157">SUM(AV76:BD76)</f>
        <v>0</v>
      </c>
      <c r="F76" s="58">
        <f t="shared" ref="F76:F86" si="158">SUM(BF76:BH76)</f>
        <v>0</v>
      </c>
      <c r="G76" s="58">
        <f t="shared" si="151"/>
        <v>0</v>
      </c>
      <c r="H76" s="58">
        <f t="shared" si="152"/>
        <v>0</v>
      </c>
      <c r="I76" s="58">
        <f t="shared" si="153"/>
        <v>0</v>
      </c>
      <c r="J76" s="51">
        <f t="shared" si="154"/>
        <v>0</v>
      </c>
      <c r="K76" s="347">
        <f t="shared" ref="K76:K86" si="159">SUM(BS76:BV76)</f>
        <v>0</v>
      </c>
      <c r="L76" s="353">
        <f>ROUNDUP(((D75+D76)*0.5)*(C76-C75)/27,0)</f>
        <v>88</v>
      </c>
      <c r="M76" s="347">
        <f>ROUNDUP(((E75+E76)*0.5)*(C76-C75)/27,0)</f>
        <v>0</v>
      </c>
      <c r="N76" s="58">
        <f>ROUNDUP(((F75+F76)*0.5)*(C76-C75)/27,0)</f>
        <v>0</v>
      </c>
      <c r="O76" s="58">
        <f>ROUNDUP(((G76+G75)*0.5)*(C76-C75)/27,0)</f>
        <v>0</v>
      </c>
      <c r="P76" s="58">
        <f>ROUNDUP(((H76+H75)*0.5)*(C76-C75)/27,0)</f>
        <v>0</v>
      </c>
      <c r="Q76" s="58">
        <f>ROUNDUP(((I76+I75)*0.5)*(C76-C75)/9,0)</f>
        <v>0</v>
      </c>
      <c r="R76" s="58">
        <f>ROUNDUP(((J76+J75)*0.5)*(C76-C75)/9,0)</f>
        <v>0</v>
      </c>
      <c r="S76" s="347">
        <f>ROUNDUP(((K76+K75)*0.5)*(C76-C75)/9,0)</f>
        <v>124</v>
      </c>
      <c r="T76" s="56"/>
      <c r="U76" s="105"/>
      <c r="V76" s="58"/>
      <c r="W76" s="58"/>
      <c r="X76" s="58"/>
      <c r="Y76" s="58"/>
      <c r="Z76" s="58"/>
      <c r="AA76" s="58"/>
      <c r="AB76" s="58"/>
      <c r="AC76" s="55"/>
      <c r="AD76" s="57">
        <f t="shared" si="155"/>
        <v>1050</v>
      </c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  <c r="BH76" s="58"/>
      <c r="BI76" s="58"/>
      <c r="BJ76" s="58"/>
      <c r="BK76" s="58"/>
      <c r="BL76" s="58"/>
      <c r="BM76" s="58"/>
      <c r="BN76" s="58"/>
      <c r="BO76" s="58"/>
      <c r="BP76" s="58"/>
      <c r="BQ76" s="58"/>
      <c r="BR76" s="58"/>
      <c r="BS76" s="58"/>
      <c r="BT76" s="58"/>
      <c r="BU76" s="58"/>
      <c r="BV76">
        <v>0</v>
      </c>
      <c r="BW76" s="1">
        <f t="shared" si="122"/>
        <v>1050</v>
      </c>
    </row>
    <row r="77" spans="1:107" s="3" customFormat="1" ht="15.75" thickBot="1" x14ac:dyDescent="0.3">
      <c r="A77" s="524"/>
      <c r="B77" s="125"/>
      <c r="C77" s="121">
        <v>1100</v>
      </c>
      <c r="D77" s="347">
        <f t="shared" si="156"/>
        <v>49.484000000000002</v>
      </c>
      <c r="E77" s="347">
        <f t="shared" si="157"/>
        <v>1.4137</v>
      </c>
      <c r="F77" s="58">
        <f t="shared" si="158"/>
        <v>0</v>
      </c>
      <c r="G77" s="58">
        <f t="shared" si="151"/>
        <v>0</v>
      </c>
      <c r="H77" s="58">
        <f t="shared" si="152"/>
        <v>0</v>
      </c>
      <c r="I77" s="58">
        <f t="shared" si="153"/>
        <v>0</v>
      </c>
      <c r="J77" s="51">
        <f t="shared" si="154"/>
        <v>0</v>
      </c>
      <c r="K77" s="347">
        <f t="shared" si="159"/>
        <v>35.799999999999997</v>
      </c>
      <c r="L77" s="353">
        <f t="shared" ref="L77:L86" si="160">ROUNDUP(((D76+D77)*0.5)*(C77-C76)/27,0)</f>
        <v>46</v>
      </c>
      <c r="M77" s="347">
        <f t="shared" ref="M77:M86" si="161">ROUNDUP(((E76+E77)*0.5)*(C77-C76)/27,0)</f>
        <v>2</v>
      </c>
      <c r="N77" s="58">
        <f t="shared" ref="N77:N86" si="162">ROUNDUP(((F76+F77)*0.5)*(C77-C76)/27,0)</f>
        <v>0</v>
      </c>
      <c r="O77" s="58">
        <f t="shared" ref="O77:O86" si="163">ROUNDUP(((G77+G76)*0.5)*(C77-C76)/27,0)</f>
        <v>0</v>
      </c>
      <c r="P77" s="58">
        <f t="shared" ref="P77:P86" si="164">ROUNDUP(((H77+H76)*0.5)*(C77-C76)/27,0)</f>
        <v>0</v>
      </c>
      <c r="Q77" s="58">
        <f t="shared" ref="Q77:Q86" si="165">ROUNDUP(((I77+I76)*0.5)*(C77-C76)/9,0)</f>
        <v>0</v>
      </c>
      <c r="R77" s="58">
        <f t="shared" ref="R77:R86" si="166">ROUNDUP(((J77+J76)*0.5)*(C77-C76)/9,0)</f>
        <v>0</v>
      </c>
      <c r="S77" s="347">
        <f>ROUNDUP(((K77+K76)*0.5)*(C77-C76)/9,0)</f>
        <v>100</v>
      </c>
      <c r="T77" s="56"/>
      <c r="U77" s="105"/>
      <c r="V77" s="58"/>
      <c r="W77" s="58"/>
      <c r="X77" s="58"/>
      <c r="Y77" s="58"/>
      <c r="Z77" s="58"/>
      <c r="AA77" s="58"/>
      <c r="AB77" s="58"/>
      <c r="AC77" s="55"/>
      <c r="AD77" s="57">
        <f t="shared" si="155"/>
        <v>1100</v>
      </c>
      <c r="AE77" s="58">
        <v>49.484000000000002</v>
      </c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>
        <v>1.4137</v>
      </c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58"/>
      <c r="BH77" s="58"/>
      <c r="BI77" s="58"/>
      <c r="BJ77" s="58"/>
      <c r="BK77" s="58"/>
      <c r="BL77" s="58"/>
      <c r="BM77" s="58"/>
      <c r="BN77" s="58"/>
      <c r="BO77" s="58"/>
      <c r="BP77" s="58"/>
      <c r="BQ77" s="58"/>
      <c r="BR77" s="58"/>
      <c r="BS77" s="58"/>
      <c r="BT77" s="58"/>
      <c r="BU77" s="58"/>
      <c r="BV77">
        <f>31.8+4</f>
        <v>35.799999999999997</v>
      </c>
      <c r="BW77" s="1">
        <f t="shared" si="122"/>
        <v>1100</v>
      </c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</row>
    <row r="78" spans="1:107" s="2" customFormat="1" x14ac:dyDescent="0.25">
      <c r="A78" s="524"/>
      <c r="B78" s="125"/>
      <c r="C78" s="121">
        <v>1150</v>
      </c>
      <c r="D78" s="347">
        <f t="shared" si="156"/>
        <v>47.444899999999997</v>
      </c>
      <c r="E78" s="347">
        <f t="shared" si="157"/>
        <v>31.162600000000001</v>
      </c>
      <c r="F78" s="58">
        <f t="shared" si="158"/>
        <v>0</v>
      </c>
      <c r="G78" s="58">
        <f t="shared" si="151"/>
        <v>0</v>
      </c>
      <c r="H78" s="58">
        <f t="shared" si="152"/>
        <v>0</v>
      </c>
      <c r="I78" s="58">
        <f t="shared" si="153"/>
        <v>0</v>
      </c>
      <c r="J78" s="51">
        <f t="shared" si="154"/>
        <v>0</v>
      </c>
      <c r="K78" s="347">
        <f t="shared" si="159"/>
        <v>38.700000000000003</v>
      </c>
      <c r="L78" s="353">
        <f t="shared" si="160"/>
        <v>90</v>
      </c>
      <c r="M78" s="347">
        <f t="shared" si="161"/>
        <v>31</v>
      </c>
      <c r="N78" s="58">
        <f t="shared" si="162"/>
        <v>0</v>
      </c>
      <c r="O78" s="58">
        <f t="shared" si="163"/>
        <v>0</v>
      </c>
      <c r="P78" s="58">
        <f t="shared" si="164"/>
        <v>0</v>
      </c>
      <c r="Q78" s="58">
        <f t="shared" si="165"/>
        <v>0</v>
      </c>
      <c r="R78" s="58">
        <f t="shared" si="166"/>
        <v>0</v>
      </c>
      <c r="S78" s="347">
        <f>ROUNDUP(((K78+K77)*0.5)*(C78-C77)/9,0)</f>
        <v>207</v>
      </c>
      <c r="T78" s="56"/>
      <c r="U78" s="105"/>
      <c r="V78" s="58"/>
      <c r="W78" s="58"/>
      <c r="X78" s="58"/>
      <c r="Y78" s="58"/>
      <c r="Z78" s="58"/>
      <c r="AA78" s="58"/>
      <c r="AB78" s="58"/>
      <c r="AC78" s="55"/>
      <c r="AD78" s="57">
        <f t="shared" si="155"/>
        <v>1150</v>
      </c>
      <c r="AE78" s="58">
        <v>47.444899999999997</v>
      </c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>
        <v>29.481000000000002</v>
      </c>
      <c r="AW78" s="58">
        <v>1.6816</v>
      </c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58"/>
      <c r="BS78" s="58"/>
      <c r="BT78" s="58"/>
      <c r="BU78" s="58"/>
      <c r="BV78">
        <v>38.700000000000003</v>
      </c>
      <c r="BW78" s="1">
        <f t="shared" si="122"/>
        <v>1150</v>
      </c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 s="41"/>
    </row>
    <row r="79" spans="1:107" s="168" customFormat="1" ht="15.75" thickBot="1" x14ac:dyDescent="0.3">
      <c r="A79" s="524"/>
      <c r="B79" s="211"/>
      <c r="C79" s="212">
        <v>1200</v>
      </c>
      <c r="D79" s="348">
        <f t="shared" si="156"/>
        <v>44.8825</v>
      </c>
      <c r="E79" s="348">
        <f t="shared" si="157"/>
        <v>122.00919999999999</v>
      </c>
      <c r="F79" s="144">
        <f t="shared" si="158"/>
        <v>0</v>
      </c>
      <c r="G79" s="144">
        <f t="shared" si="151"/>
        <v>0</v>
      </c>
      <c r="H79" s="144">
        <f t="shared" si="152"/>
        <v>0</v>
      </c>
      <c r="I79" s="144">
        <f t="shared" si="153"/>
        <v>0</v>
      </c>
      <c r="J79" s="159">
        <f t="shared" si="154"/>
        <v>0</v>
      </c>
      <c r="K79" s="348">
        <f t="shared" si="159"/>
        <v>49.5</v>
      </c>
      <c r="L79" s="354">
        <f t="shared" si="160"/>
        <v>86</v>
      </c>
      <c r="M79" s="348">
        <f t="shared" si="161"/>
        <v>142</v>
      </c>
      <c r="N79" s="144">
        <f t="shared" si="162"/>
        <v>0</v>
      </c>
      <c r="O79" s="144">
        <f t="shared" si="163"/>
        <v>0</v>
      </c>
      <c r="P79" s="144">
        <f t="shared" si="164"/>
        <v>0</v>
      </c>
      <c r="Q79" s="144">
        <f t="shared" si="165"/>
        <v>0</v>
      </c>
      <c r="R79" s="144">
        <f t="shared" si="166"/>
        <v>0</v>
      </c>
      <c r="S79" s="348">
        <f>ROUNDUP(((K79+K78)*0.5)*(C79-C78)/9,0)</f>
        <v>245</v>
      </c>
      <c r="T79" s="154"/>
      <c r="U79" s="255">
        <f>L75+L76+L77+L78+L79</f>
        <v>310</v>
      </c>
      <c r="V79" s="255">
        <f t="shared" ref="V79:AB79" si="167">M75+M76+M77+M78+M79</f>
        <v>175</v>
      </c>
      <c r="W79" s="255">
        <f t="shared" si="167"/>
        <v>0</v>
      </c>
      <c r="X79" s="255">
        <f t="shared" si="167"/>
        <v>0</v>
      </c>
      <c r="Y79" s="255">
        <f t="shared" si="167"/>
        <v>0</v>
      </c>
      <c r="Z79" s="255">
        <f t="shared" si="167"/>
        <v>0</v>
      </c>
      <c r="AA79" s="255">
        <f t="shared" si="167"/>
        <v>0</v>
      </c>
      <c r="AB79" s="255">
        <f t="shared" si="167"/>
        <v>676</v>
      </c>
      <c r="AC79" s="153"/>
      <c r="AD79" s="158">
        <f t="shared" si="155"/>
        <v>1200</v>
      </c>
      <c r="AE79" s="144">
        <v>44.8825</v>
      </c>
      <c r="AF79" s="144"/>
      <c r="AG79" s="144"/>
      <c r="AH79" s="144"/>
      <c r="AI79" s="144"/>
      <c r="AJ79" s="144"/>
      <c r="AK79" s="144"/>
      <c r="AL79" s="144"/>
      <c r="AM79" s="144"/>
      <c r="AN79" s="144"/>
      <c r="AO79" s="144"/>
      <c r="AP79" s="144"/>
      <c r="AQ79" s="144"/>
      <c r="AR79" s="144"/>
      <c r="AS79" s="144"/>
      <c r="AT79" s="144"/>
      <c r="AU79" s="144"/>
      <c r="AV79" s="144">
        <v>118.9485</v>
      </c>
      <c r="AW79" s="144">
        <v>3.0607000000000002</v>
      </c>
      <c r="AX79" s="144"/>
      <c r="AY79" s="144"/>
      <c r="AZ79" s="144"/>
      <c r="BA79" s="144"/>
      <c r="BB79" s="144"/>
      <c r="BC79" s="144"/>
      <c r="BD79" s="144"/>
      <c r="BE79" s="144"/>
      <c r="BF79" s="144"/>
      <c r="BG79" s="144"/>
      <c r="BH79" s="144"/>
      <c r="BI79" s="144"/>
      <c r="BJ79" s="144"/>
      <c r="BK79" s="144"/>
      <c r="BL79" s="144"/>
      <c r="BM79" s="144"/>
      <c r="BN79" s="144"/>
      <c r="BO79" s="144"/>
      <c r="BP79" s="144"/>
      <c r="BQ79" s="144"/>
      <c r="BR79" s="144"/>
      <c r="BS79" s="144"/>
      <c r="BT79" s="144"/>
      <c r="BU79" s="144"/>
      <c r="BV79">
        <v>49.5</v>
      </c>
      <c r="BW79" s="1">
        <f t="shared" si="122"/>
        <v>1200</v>
      </c>
      <c r="BX79"/>
      <c r="BY79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167"/>
    </row>
    <row r="80" spans="1:107" x14ac:dyDescent="0.25">
      <c r="A80" s="524"/>
      <c r="B80" s="125"/>
      <c r="C80" s="210">
        <v>1250</v>
      </c>
      <c r="D80" s="349">
        <f t="shared" si="156"/>
        <v>250.63749999999999</v>
      </c>
      <c r="E80" s="349">
        <f>SUM(AV80:BD80)</f>
        <v>112.72669999999999</v>
      </c>
      <c r="F80" s="147">
        <f t="shared" si="158"/>
        <v>0</v>
      </c>
      <c r="G80" s="147">
        <f t="shared" si="151"/>
        <v>0</v>
      </c>
      <c r="H80" s="147">
        <f t="shared" si="152"/>
        <v>0</v>
      </c>
      <c r="I80" s="147">
        <f t="shared" si="153"/>
        <v>0</v>
      </c>
      <c r="J80" s="156">
        <f t="shared" si="154"/>
        <v>0</v>
      </c>
      <c r="K80" s="349">
        <f t="shared" si="159"/>
        <v>83.2</v>
      </c>
      <c r="L80" s="355">
        <f t="shared" si="160"/>
        <v>274</v>
      </c>
      <c r="M80" s="349">
        <f t="shared" si="161"/>
        <v>218</v>
      </c>
      <c r="N80" s="147">
        <f t="shared" si="162"/>
        <v>0</v>
      </c>
      <c r="O80" s="147">
        <f t="shared" si="163"/>
        <v>0</v>
      </c>
      <c r="P80" s="147">
        <f t="shared" si="164"/>
        <v>0</v>
      </c>
      <c r="Q80" s="147">
        <f t="shared" si="165"/>
        <v>0</v>
      </c>
      <c r="R80" s="147">
        <f t="shared" si="166"/>
        <v>0</v>
      </c>
      <c r="S80" s="349">
        <f>ROUNDUP(((K80+K79)*0.5)*(C80-C79)/9,0)</f>
        <v>369</v>
      </c>
      <c r="T80" s="56"/>
      <c r="U80" s="151"/>
      <c r="V80" s="147"/>
      <c r="W80" s="147"/>
      <c r="X80" s="147"/>
      <c r="Y80" s="147"/>
      <c r="Z80" s="147"/>
      <c r="AA80" s="147"/>
      <c r="AB80" s="147"/>
      <c r="AC80" s="55"/>
      <c r="AD80" s="155">
        <f t="shared" si="155"/>
        <v>1250</v>
      </c>
      <c r="AE80" s="246">
        <v>63.3752</v>
      </c>
      <c r="AF80" s="147">
        <v>0.21629999999999999</v>
      </c>
      <c r="AG80" s="147">
        <v>187.04599999999999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>
        <v>48.261400000000002</v>
      </c>
      <c r="AW80" s="147">
        <v>1.0901000000000001</v>
      </c>
      <c r="AX80" s="246">
        <v>63.3752</v>
      </c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  <c r="BI80" s="147"/>
      <c r="BJ80" s="147"/>
      <c r="BK80" s="147"/>
      <c r="BL80" s="147"/>
      <c r="BM80" s="147"/>
      <c r="BN80" s="147"/>
      <c r="BO80" s="147"/>
      <c r="BP80" s="147"/>
      <c r="BQ80" s="147"/>
      <c r="BR80" s="147"/>
      <c r="BS80" s="147"/>
      <c r="BT80" s="147"/>
      <c r="BU80" s="147"/>
      <c r="BV80">
        <f>79.2+4</f>
        <v>83.2</v>
      </c>
      <c r="BW80" s="1">
        <f t="shared" si="122"/>
        <v>1250</v>
      </c>
    </row>
    <row r="81" spans="1:107" x14ac:dyDescent="0.25">
      <c r="A81" s="524"/>
      <c r="B81" s="125"/>
      <c r="C81" s="121">
        <v>1300</v>
      </c>
      <c r="D81" s="347">
        <f t="shared" si="156"/>
        <v>438.71339999999998</v>
      </c>
      <c r="E81" s="347">
        <f t="shared" si="157"/>
        <v>266.51830000000001</v>
      </c>
      <c r="F81" s="58">
        <f t="shared" si="158"/>
        <v>0</v>
      </c>
      <c r="G81" s="58">
        <f t="shared" si="151"/>
        <v>0</v>
      </c>
      <c r="H81" s="58">
        <f t="shared" si="152"/>
        <v>0</v>
      </c>
      <c r="I81" s="58">
        <f t="shared" si="153"/>
        <v>0</v>
      </c>
      <c r="J81" s="51">
        <f t="shared" si="154"/>
        <v>0</v>
      </c>
      <c r="K81" s="347">
        <f t="shared" si="159"/>
        <v>113.2</v>
      </c>
      <c r="L81" s="353">
        <f t="shared" si="160"/>
        <v>639</v>
      </c>
      <c r="M81" s="347">
        <f t="shared" si="161"/>
        <v>352</v>
      </c>
      <c r="N81" s="58">
        <f t="shared" si="162"/>
        <v>0</v>
      </c>
      <c r="O81" s="58">
        <f t="shared" si="163"/>
        <v>0</v>
      </c>
      <c r="P81" s="58">
        <f t="shared" si="164"/>
        <v>0</v>
      </c>
      <c r="Q81" s="58">
        <f t="shared" si="165"/>
        <v>0</v>
      </c>
      <c r="R81" s="58">
        <f t="shared" si="166"/>
        <v>0</v>
      </c>
      <c r="S81" s="347">
        <f t="shared" ref="S81:S85" si="168">ROUNDUP(((K81+K80)*0.5)*(C81-C80)/9,0)</f>
        <v>546</v>
      </c>
      <c r="T81" s="56"/>
      <c r="U81" s="105"/>
      <c r="V81" s="58"/>
      <c r="W81" s="58"/>
      <c r="X81" s="58"/>
      <c r="Y81" s="58"/>
      <c r="Z81" s="58"/>
      <c r="AA81" s="58"/>
      <c r="AB81" s="58"/>
      <c r="AC81" s="55"/>
      <c r="AD81" s="57">
        <f t="shared" si="155"/>
        <v>1300</v>
      </c>
      <c r="AE81" s="119">
        <v>206.0849</v>
      </c>
      <c r="AF81" s="58">
        <v>2.1499999999999998E-2</v>
      </c>
      <c r="AG81" s="58">
        <v>232.607</v>
      </c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119">
        <v>206.0849</v>
      </c>
      <c r="AW81" s="58">
        <v>58.186</v>
      </c>
      <c r="AX81" s="58">
        <v>2.2473999999999998</v>
      </c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58"/>
      <c r="BP81" s="58"/>
      <c r="BQ81" s="58"/>
      <c r="BR81" s="58"/>
      <c r="BS81" s="58"/>
      <c r="BT81" s="58"/>
      <c r="BU81" s="58"/>
      <c r="BV81">
        <f>105.2+8</f>
        <v>113.2</v>
      </c>
      <c r="BW81" s="1">
        <f t="shared" si="122"/>
        <v>1300</v>
      </c>
    </row>
    <row r="82" spans="1:107" x14ac:dyDescent="0.25">
      <c r="A82" s="524"/>
      <c r="C82" s="121">
        <v>1333.65</v>
      </c>
      <c r="D82" s="347">
        <f t="shared" si="156"/>
        <v>161.452</v>
      </c>
      <c r="E82" s="347">
        <f t="shared" si="157"/>
        <v>229.2824</v>
      </c>
      <c r="F82" s="58">
        <f t="shared" si="158"/>
        <v>0</v>
      </c>
      <c r="G82" s="58">
        <f t="shared" si="151"/>
        <v>0</v>
      </c>
      <c r="H82" s="58">
        <f t="shared" si="152"/>
        <v>0</v>
      </c>
      <c r="I82" s="58">
        <f t="shared" si="153"/>
        <v>0</v>
      </c>
      <c r="J82" s="51">
        <f t="shared" si="154"/>
        <v>0</v>
      </c>
      <c r="K82" s="347">
        <f t="shared" si="159"/>
        <v>45.2</v>
      </c>
      <c r="L82" s="353">
        <f t="shared" si="160"/>
        <v>374</v>
      </c>
      <c r="M82" s="347">
        <f t="shared" si="161"/>
        <v>309</v>
      </c>
      <c r="N82" s="58">
        <f t="shared" si="162"/>
        <v>0</v>
      </c>
      <c r="O82" s="58">
        <f t="shared" si="163"/>
        <v>0</v>
      </c>
      <c r="P82" s="58">
        <f t="shared" si="164"/>
        <v>0</v>
      </c>
      <c r="Q82" s="58">
        <f t="shared" si="165"/>
        <v>0</v>
      </c>
      <c r="R82" s="58">
        <f t="shared" si="166"/>
        <v>0</v>
      </c>
      <c r="S82" s="347">
        <f t="shared" si="168"/>
        <v>297</v>
      </c>
      <c r="T82" s="56"/>
      <c r="U82" s="105"/>
      <c r="V82" s="58"/>
      <c r="W82" s="58"/>
      <c r="X82" s="58"/>
      <c r="Y82" s="58"/>
      <c r="Z82" s="58"/>
      <c r="AA82" s="58"/>
      <c r="AB82" s="58"/>
      <c r="AC82" s="55"/>
      <c r="AD82" s="57">
        <f t="shared" si="155"/>
        <v>1333.65</v>
      </c>
      <c r="AE82" s="119">
        <v>161.452</v>
      </c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8"/>
      <c r="AT82" s="58"/>
      <c r="AU82" s="58"/>
      <c r="AV82" s="119">
        <v>161.452</v>
      </c>
      <c r="AW82" s="58">
        <v>67.830399999999997</v>
      </c>
      <c r="AX82" s="58"/>
      <c r="AY82" s="58"/>
      <c r="AZ82" s="58"/>
      <c r="BA82" s="58"/>
      <c r="BB82" s="58"/>
      <c r="BC82" s="58"/>
      <c r="BD82" s="58"/>
      <c r="BE82" s="58"/>
      <c r="BF82" s="58"/>
      <c r="BG82" s="58"/>
      <c r="BH82" s="58"/>
      <c r="BI82" s="58"/>
      <c r="BJ82" s="58"/>
      <c r="BK82" s="58"/>
      <c r="BL82" s="58"/>
      <c r="BM82" s="58"/>
      <c r="BN82" s="58"/>
      <c r="BO82" s="58"/>
      <c r="BP82" s="58"/>
      <c r="BQ82" s="58"/>
      <c r="BR82" s="58"/>
      <c r="BS82" s="58"/>
      <c r="BT82" s="58"/>
      <c r="BU82" s="58"/>
      <c r="BV82">
        <f>41.2+4</f>
        <v>45.2</v>
      </c>
      <c r="BW82" s="1">
        <f t="shared" si="122"/>
        <v>1333.65</v>
      </c>
    </row>
    <row r="83" spans="1:107" s="3" customFormat="1" ht="15.75" thickBot="1" x14ac:dyDescent="0.3">
      <c r="A83" s="524"/>
      <c r="C83" s="212">
        <v>1350</v>
      </c>
      <c r="D83" s="348">
        <f t="shared" si="156"/>
        <v>139.57490000000001</v>
      </c>
      <c r="E83" s="348">
        <f t="shared" si="157"/>
        <v>209.48180000000002</v>
      </c>
      <c r="F83" s="144">
        <f t="shared" si="158"/>
        <v>0</v>
      </c>
      <c r="G83" s="144">
        <f t="shared" si="151"/>
        <v>0</v>
      </c>
      <c r="H83" s="144">
        <f t="shared" si="152"/>
        <v>0</v>
      </c>
      <c r="I83" s="144">
        <f t="shared" si="153"/>
        <v>0</v>
      </c>
      <c r="J83" s="159">
        <f t="shared" si="154"/>
        <v>0</v>
      </c>
      <c r="K83" s="348">
        <f t="shared" si="159"/>
        <v>44.1</v>
      </c>
      <c r="L83" s="354">
        <f t="shared" si="160"/>
        <v>92</v>
      </c>
      <c r="M83" s="348">
        <f t="shared" si="161"/>
        <v>133</v>
      </c>
      <c r="N83" s="144">
        <f t="shared" si="162"/>
        <v>0</v>
      </c>
      <c r="O83" s="144">
        <f t="shared" si="163"/>
        <v>0</v>
      </c>
      <c r="P83" s="144">
        <f t="shared" si="164"/>
        <v>0</v>
      </c>
      <c r="Q83" s="144">
        <f t="shared" si="165"/>
        <v>0</v>
      </c>
      <c r="R83" s="144">
        <f t="shared" si="166"/>
        <v>0</v>
      </c>
      <c r="S83" s="348">
        <f t="shared" si="168"/>
        <v>82</v>
      </c>
      <c r="T83" s="154"/>
      <c r="U83" s="255">
        <f>L80+L81+L82+L83</f>
        <v>1379</v>
      </c>
      <c r="V83" s="255">
        <f t="shared" ref="V83" si="169">M80+M81+M82+M83</f>
        <v>1012</v>
      </c>
      <c r="W83" s="255">
        <f t="shared" ref="W83" si="170">N80+N81+N82+N83</f>
        <v>0</v>
      </c>
      <c r="X83" s="255">
        <f t="shared" ref="X83" si="171">O80+O81+O82+O83</f>
        <v>0</v>
      </c>
      <c r="Y83" s="255">
        <f t="shared" ref="Y83" si="172">P80+P81+P82+P83</f>
        <v>0</v>
      </c>
      <c r="Z83" s="255">
        <f t="shared" ref="Z83" si="173">Q80+Q81+Q82+Q83</f>
        <v>0</v>
      </c>
      <c r="AA83" s="255">
        <f t="shared" ref="AA83" si="174">R80+R81+R82+R83</f>
        <v>0</v>
      </c>
      <c r="AB83" s="255">
        <f t="shared" ref="AB83" si="175">S80+S81+S82+S83</f>
        <v>1294</v>
      </c>
      <c r="AC83" s="153"/>
      <c r="AD83" s="158">
        <f t="shared" si="155"/>
        <v>1350</v>
      </c>
      <c r="AE83" s="247">
        <v>139.57490000000001</v>
      </c>
      <c r="AF83" s="144"/>
      <c r="AG83" s="144"/>
      <c r="AH83" s="144"/>
      <c r="AI83" s="144"/>
      <c r="AJ83" s="144"/>
      <c r="AK83" s="144"/>
      <c r="AL83" s="144"/>
      <c r="AM83" s="144"/>
      <c r="AN83" s="144"/>
      <c r="AO83" s="144"/>
      <c r="AP83" s="144"/>
      <c r="AQ83" s="144"/>
      <c r="AR83" s="144"/>
      <c r="AS83" s="144"/>
      <c r="AT83" s="144"/>
      <c r="AU83" s="144"/>
      <c r="AV83" s="247">
        <v>139.57490000000001</v>
      </c>
      <c r="AW83" s="144">
        <v>69.906899999999993</v>
      </c>
      <c r="AX83" s="144"/>
      <c r="AY83" s="144"/>
      <c r="AZ83" s="144"/>
      <c r="BA83" s="144"/>
      <c r="BB83" s="144"/>
      <c r="BC83" s="144"/>
      <c r="BD83" s="144"/>
      <c r="BE83" s="144"/>
      <c r="BF83" s="144"/>
      <c r="BG83" s="144"/>
      <c r="BH83" s="144"/>
      <c r="BI83" s="144"/>
      <c r="BJ83" s="144"/>
      <c r="BK83" s="144"/>
      <c r="BL83" s="144"/>
      <c r="BM83" s="144"/>
      <c r="BN83" s="144"/>
      <c r="BO83" s="144"/>
      <c r="BP83" s="144"/>
      <c r="BQ83" s="144"/>
      <c r="BR83" s="144"/>
      <c r="BS83" s="144"/>
      <c r="BT83" s="144"/>
      <c r="BU83" s="144"/>
      <c r="BV83">
        <f>40.1+4</f>
        <v>44.1</v>
      </c>
      <c r="BW83" s="1">
        <f t="shared" si="122"/>
        <v>1350</v>
      </c>
      <c r="BX83"/>
      <c r="BY83"/>
    </row>
    <row r="84" spans="1:107" x14ac:dyDescent="0.25">
      <c r="A84" s="524"/>
      <c r="C84" s="210">
        <v>1400</v>
      </c>
      <c r="D84" s="349">
        <f t="shared" si="156"/>
        <v>99.927700000000002</v>
      </c>
      <c r="E84" s="349">
        <f t="shared" si="157"/>
        <v>172.60750000000002</v>
      </c>
      <c r="F84" s="147">
        <f t="shared" si="158"/>
        <v>0</v>
      </c>
      <c r="G84" s="147">
        <f t="shared" si="151"/>
        <v>0</v>
      </c>
      <c r="H84" s="147">
        <f t="shared" si="152"/>
        <v>0</v>
      </c>
      <c r="I84" s="147">
        <f t="shared" si="153"/>
        <v>0</v>
      </c>
      <c r="J84" s="156">
        <f t="shared" si="154"/>
        <v>0</v>
      </c>
      <c r="K84" s="349">
        <f t="shared" si="159"/>
        <v>40</v>
      </c>
      <c r="L84" s="355">
        <f t="shared" si="160"/>
        <v>222</v>
      </c>
      <c r="M84" s="349">
        <f t="shared" si="161"/>
        <v>354</v>
      </c>
      <c r="N84" s="147">
        <f t="shared" si="162"/>
        <v>0</v>
      </c>
      <c r="O84" s="147">
        <f t="shared" si="163"/>
        <v>0</v>
      </c>
      <c r="P84" s="147">
        <f t="shared" si="164"/>
        <v>0</v>
      </c>
      <c r="Q84" s="147">
        <f t="shared" si="165"/>
        <v>0</v>
      </c>
      <c r="R84" s="147">
        <f t="shared" si="166"/>
        <v>0</v>
      </c>
      <c r="S84" s="349">
        <f t="shared" si="168"/>
        <v>234</v>
      </c>
      <c r="T84" s="56"/>
      <c r="U84" s="151"/>
      <c r="V84" s="147"/>
      <c r="W84" s="147"/>
      <c r="X84" s="147"/>
      <c r="Y84" s="147"/>
      <c r="Z84" s="147"/>
      <c r="AA84" s="147"/>
      <c r="AB84" s="147"/>
      <c r="AC84" s="55"/>
      <c r="AD84" s="155">
        <f t="shared" si="155"/>
        <v>1400</v>
      </c>
      <c r="AE84" s="147">
        <v>0.13220000000000001</v>
      </c>
      <c r="AF84" s="246">
        <v>99.795500000000004</v>
      </c>
      <c r="AG84" s="147"/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246">
        <v>99.795500000000004</v>
      </c>
      <c r="AW84" s="147">
        <v>72.811999999999998</v>
      </c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  <c r="BI84" s="147"/>
      <c r="BJ84" s="147"/>
      <c r="BK84" s="147"/>
      <c r="BL84" s="147"/>
      <c r="BM84" s="147"/>
      <c r="BN84" s="147"/>
      <c r="BO84" s="147"/>
      <c r="BP84" s="147"/>
      <c r="BQ84" s="147"/>
      <c r="BR84" s="147"/>
      <c r="BS84" s="147"/>
      <c r="BT84" s="147"/>
      <c r="BU84" s="147"/>
      <c r="BV84">
        <f>36+4</f>
        <v>40</v>
      </c>
      <c r="BW84" s="1">
        <f t="shared" si="122"/>
        <v>1400</v>
      </c>
    </row>
    <row r="85" spans="1:107" x14ac:dyDescent="0.25">
      <c r="A85" s="524"/>
      <c r="C85" s="121">
        <v>1450</v>
      </c>
      <c r="D85" s="347">
        <f t="shared" si="156"/>
        <v>86.306799999999996</v>
      </c>
      <c r="E85" s="347">
        <f t="shared" si="157"/>
        <v>134.167</v>
      </c>
      <c r="F85" s="58">
        <f t="shared" si="158"/>
        <v>0</v>
      </c>
      <c r="G85" s="58">
        <f t="shared" si="151"/>
        <v>0</v>
      </c>
      <c r="H85" s="58">
        <f t="shared" si="152"/>
        <v>0</v>
      </c>
      <c r="I85" s="58">
        <f t="shared" si="153"/>
        <v>0</v>
      </c>
      <c r="J85" s="51">
        <f t="shared" si="154"/>
        <v>0</v>
      </c>
      <c r="K85" s="347">
        <f t="shared" si="159"/>
        <v>35.1</v>
      </c>
      <c r="L85" s="353">
        <f t="shared" si="160"/>
        <v>173</v>
      </c>
      <c r="M85" s="347">
        <f t="shared" si="161"/>
        <v>285</v>
      </c>
      <c r="N85" s="58">
        <f t="shared" si="162"/>
        <v>0</v>
      </c>
      <c r="O85" s="58">
        <f t="shared" si="163"/>
        <v>0</v>
      </c>
      <c r="P85" s="58">
        <f t="shared" si="164"/>
        <v>0</v>
      </c>
      <c r="Q85" s="58">
        <f t="shared" si="165"/>
        <v>0</v>
      </c>
      <c r="R85" s="58">
        <f t="shared" si="166"/>
        <v>0</v>
      </c>
      <c r="S85" s="347">
        <f t="shared" si="168"/>
        <v>209</v>
      </c>
      <c r="T85" s="56"/>
      <c r="U85" s="105"/>
      <c r="V85" s="58"/>
      <c r="W85" s="58"/>
      <c r="X85" s="58"/>
      <c r="Y85" s="58"/>
      <c r="Z85" s="58"/>
      <c r="AA85" s="58"/>
      <c r="AB85" s="58"/>
      <c r="AC85" s="55"/>
      <c r="AD85" s="57">
        <f t="shared" si="155"/>
        <v>1450</v>
      </c>
      <c r="AE85" s="119">
        <v>86.306799999999996</v>
      </c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119">
        <v>86.306799999999996</v>
      </c>
      <c r="AW85" s="58">
        <v>47.860199999999999</v>
      </c>
      <c r="AX85" s="58"/>
      <c r="AY85" s="58"/>
      <c r="AZ85" s="58"/>
      <c r="BA85" s="58"/>
      <c r="BB85" s="58"/>
      <c r="BC85" s="58"/>
      <c r="BD85" s="58"/>
      <c r="BE85" s="58"/>
      <c r="BF85" s="58"/>
      <c r="BG85" s="58"/>
      <c r="BH85" s="58"/>
      <c r="BI85" s="58"/>
      <c r="BJ85" s="58"/>
      <c r="BK85" s="58"/>
      <c r="BL85" s="58"/>
      <c r="BM85" s="58"/>
      <c r="BN85" s="58"/>
      <c r="BO85" s="58"/>
      <c r="BP85" s="58"/>
      <c r="BQ85" s="58"/>
      <c r="BR85" s="58"/>
      <c r="BS85" s="58"/>
      <c r="BT85" s="58"/>
      <c r="BU85" s="58"/>
      <c r="BV85">
        <f>31.1+4</f>
        <v>35.1</v>
      </c>
      <c r="BW85" s="1">
        <f t="shared" si="122"/>
        <v>1450</v>
      </c>
    </row>
    <row r="86" spans="1:107" ht="15.75" thickBot="1" x14ac:dyDescent="0.3">
      <c r="A86" s="524"/>
      <c r="C86" s="121">
        <v>1500</v>
      </c>
      <c r="D86" s="347">
        <f t="shared" si="156"/>
        <v>0</v>
      </c>
      <c r="E86" s="347">
        <f t="shared" si="157"/>
        <v>0</v>
      </c>
      <c r="F86" s="58">
        <f t="shared" si="158"/>
        <v>0</v>
      </c>
      <c r="G86" s="58">
        <f t="shared" si="151"/>
        <v>0</v>
      </c>
      <c r="H86" s="58">
        <f t="shared" si="152"/>
        <v>0</v>
      </c>
      <c r="I86" s="58">
        <f t="shared" si="153"/>
        <v>0</v>
      </c>
      <c r="J86" s="51">
        <f t="shared" si="154"/>
        <v>0</v>
      </c>
      <c r="K86" s="347">
        <f t="shared" si="159"/>
        <v>0</v>
      </c>
      <c r="L86" s="353">
        <f t="shared" si="160"/>
        <v>80</v>
      </c>
      <c r="M86" s="347">
        <f t="shared" si="161"/>
        <v>125</v>
      </c>
      <c r="N86" s="58">
        <f t="shared" si="162"/>
        <v>0</v>
      </c>
      <c r="O86" s="58">
        <f t="shared" si="163"/>
        <v>0</v>
      </c>
      <c r="P86" s="58">
        <f t="shared" si="164"/>
        <v>0</v>
      </c>
      <c r="Q86" s="58">
        <f t="shared" si="165"/>
        <v>0</v>
      </c>
      <c r="R86" s="58">
        <f t="shared" si="166"/>
        <v>0</v>
      </c>
      <c r="S86" s="347">
        <f>ROUNDUP(((K86+K85)*0.5)*(C86-C85)/9,0)</f>
        <v>98</v>
      </c>
      <c r="T86" s="56"/>
      <c r="U86" s="255">
        <f>L84+L85+L86</f>
        <v>475</v>
      </c>
      <c r="V86" s="255">
        <f t="shared" ref="V86" si="176">M84+M85+M86</f>
        <v>764</v>
      </c>
      <c r="W86" s="255">
        <f t="shared" ref="W86" si="177">N84+N85+N86</f>
        <v>0</v>
      </c>
      <c r="X86" s="255">
        <f t="shared" ref="X86" si="178">O84+O85+O86</f>
        <v>0</v>
      </c>
      <c r="Y86" s="255">
        <f t="shared" ref="Y86" si="179">P84+P85+P86</f>
        <v>0</v>
      </c>
      <c r="Z86" s="255">
        <f t="shared" ref="Z86" si="180">Q84+Q85+Q86</f>
        <v>0</v>
      </c>
      <c r="AA86" s="255">
        <f t="shared" ref="AA86" si="181">R84+R85+R86</f>
        <v>0</v>
      </c>
      <c r="AB86" s="255">
        <f t="shared" ref="AB86" si="182">S84+S85+S86</f>
        <v>541</v>
      </c>
      <c r="AC86" s="55"/>
      <c r="AD86" s="57">
        <f t="shared" si="155"/>
        <v>1500</v>
      </c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58"/>
      <c r="BG86" s="58"/>
      <c r="BH86" s="58"/>
      <c r="BI86" s="58"/>
      <c r="BJ86" s="58"/>
      <c r="BK86" s="58"/>
      <c r="BL86" s="58"/>
      <c r="BM86" s="58"/>
      <c r="BN86" s="58"/>
      <c r="BO86" s="58"/>
      <c r="BP86" s="58"/>
      <c r="BQ86" s="58"/>
      <c r="BR86" s="58"/>
      <c r="BS86" s="58"/>
      <c r="BT86" s="58"/>
      <c r="BU86" s="58"/>
      <c r="BV86">
        <v>0</v>
      </c>
      <c r="BW86" s="1">
        <f t="shared" si="122"/>
        <v>1500</v>
      </c>
    </row>
    <row r="87" spans="1:107" x14ac:dyDescent="0.25">
      <c r="A87" s="524"/>
      <c r="BW87" s="1"/>
    </row>
    <row r="88" spans="1:107" ht="21" x14ac:dyDescent="0.35">
      <c r="A88" s="524"/>
      <c r="L88" s="385">
        <f>SUM(L75:L86)</f>
        <v>2164</v>
      </c>
      <c r="M88" s="385">
        <f>SUM(M75:M86)</f>
        <v>1951</v>
      </c>
      <c r="N88" s="120">
        <f t="shared" ref="N88:S88" si="183">SUM(N75:N86)</f>
        <v>0</v>
      </c>
      <c r="O88" s="120">
        <f t="shared" si="183"/>
        <v>0</v>
      </c>
      <c r="P88" s="120">
        <f t="shared" si="183"/>
        <v>0</v>
      </c>
      <c r="Q88" s="120">
        <f t="shared" si="183"/>
        <v>0</v>
      </c>
      <c r="R88" s="120">
        <f t="shared" si="183"/>
        <v>0</v>
      </c>
      <c r="S88" s="385">
        <f t="shared" si="183"/>
        <v>2511</v>
      </c>
      <c r="U88" s="120">
        <f t="shared" ref="U88:AB88" si="184">SUM(U75:U86)</f>
        <v>2164</v>
      </c>
      <c r="V88" s="120">
        <f t="shared" si="184"/>
        <v>1951</v>
      </c>
      <c r="W88" s="120">
        <f t="shared" si="184"/>
        <v>0</v>
      </c>
      <c r="X88" s="120">
        <f t="shared" si="184"/>
        <v>0</v>
      </c>
      <c r="Y88" s="120">
        <f t="shared" si="184"/>
        <v>0</v>
      </c>
      <c r="Z88" s="120">
        <f t="shared" si="184"/>
        <v>0</v>
      </c>
      <c r="AA88" s="120">
        <f t="shared" si="184"/>
        <v>0</v>
      </c>
      <c r="AB88" s="120">
        <f t="shared" si="184"/>
        <v>2511</v>
      </c>
      <c r="BW88" s="1"/>
    </row>
    <row r="89" spans="1:107" x14ac:dyDescent="0.25">
      <c r="BW89" s="1"/>
    </row>
    <row r="90" spans="1:107" ht="15.75" thickBot="1" x14ac:dyDescent="0.3">
      <c r="C90" s="57"/>
      <c r="D90" s="360"/>
      <c r="E90" s="360"/>
      <c r="F90" s="75"/>
      <c r="G90" s="75"/>
      <c r="H90" s="75"/>
      <c r="I90" s="75"/>
      <c r="J90" s="75"/>
      <c r="K90" s="373"/>
      <c r="L90" s="384"/>
      <c r="M90" s="360"/>
      <c r="N90" s="75"/>
      <c r="O90" s="75"/>
      <c r="P90" s="75"/>
      <c r="Q90" s="75"/>
      <c r="R90" s="75"/>
      <c r="S90" s="360"/>
      <c r="T90" s="4"/>
      <c r="U90" s="104"/>
      <c r="V90" s="75"/>
      <c r="W90" s="75"/>
      <c r="X90" s="75"/>
      <c r="Y90" s="75"/>
      <c r="Z90" s="75"/>
      <c r="AA90" s="75"/>
      <c r="AB90" s="75"/>
      <c r="AC90" s="55"/>
      <c r="AD90" s="49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  <c r="BH90" s="78"/>
      <c r="BI90" s="78"/>
      <c r="BJ90" s="78"/>
      <c r="BK90" s="78"/>
      <c r="BL90" s="78"/>
      <c r="BM90" s="78"/>
      <c r="BN90" s="78"/>
      <c r="BO90" s="78"/>
      <c r="BP90" s="78"/>
      <c r="BQ90" s="78"/>
      <c r="BR90" s="78"/>
      <c r="BS90" s="49"/>
      <c r="BT90" s="49"/>
      <c r="BU90" s="49"/>
      <c r="BV90" s="263"/>
      <c r="BW90" s="1"/>
    </row>
    <row r="91" spans="1:107" s="2" customFormat="1" ht="15" customHeight="1" x14ac:dyDescent="0.25">
      <c r="A91" s="523" t="s">
        <v>65</v>
      </c>
      <c r="B91" s="125"/>
      <c r="C91" s="121">
        <v>1010</v>
      </c>
      <c r="D91" s="347">
        <f>SUM(AE91:AU91)</f>
        <v>84.685100000000006</v>
      </c>
      <c r="E91" s="347">
        <f>SUM(AV91:BD91)</f>
        <v>0</v>
      </c>
      <c r="F91" s="58">
        <f>SUM(BF91:BH91)</f>
        <v>0</v>
      </c>
      <c r="G91" s="58">
        <f t="shared" ref="G91:G99" si="185">SUM(BI91:BK91)</f>
        <v>94.597099999999998</v>
      </c>
      <c r="H91" s="58">
        <f t="shared" ref="H91:H99" si="186">SUM(BL91:BN91)</f>
        <v>94.597099999999998</v>
      </c>
      <c r="I91" s="58">
        <f t="shared" ref="I91:I99" si="187">SUM(BO91:BP91)</f>
        <v>91.672200000000004</v>
      </c>
      <c r="J91" s="51">
        <f t="shared" ref="J91:J99" si="188">BQ91+BR91</f>
        <v>91.672200000000004</v>
      </c>
      <c r="K91" s="347">
        <f>SUM(BS91:BV91)</f>
        <v>8</v>
      </c>
      <c r="L91" s="353"/>
      <c r="M91" s="347"/>
      <c r="N91" s="58"/>
      <c r="O91" s="58"/>
      <c r="P91" s="58"/>
      <c r="Q91" s="58"/>
      <c r="R91" s="58"/>
      <c r="S91" s="347"/>
      <c r="T91" s="56"/>
      <c r="U91" s="105"/>
      <c r="V91" s="58"/>
      <c r="W91" s="58"/>
      <c r="X91" s="58"/>
      <c r="Y91" s="58"/>
      <c r="Z91" s="58"/>
      <c r="AA91" s="58"/>
      <c r="AB91" s="58"/>
      <c r="AC91" s="55"/>
      <c r="AD91" s="57">
        <f t="shared" ref="AD91:AD97" si="189">C91</f>
        <v>1010</v>
      </c>
      <c r="AE91" s="58">
        <v>84.685100000000006</v>
      </c>
      <c r="AF91" s="58"/>
      <c r="AG91" s="58"/>
      <c r="AH91" s="58"/>
      <c r="AI91" s="58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58"/>
      <c r="BH91" s="58"/>
      <c r="BI91" s="58">
        <v>94.597099999999998</v>
      </c>
      <c r="BJ91" s="58"/>
      <c r="BK91" s="58"/>
      <c r="BL91" s="58">
        <f>BI91</f>
        <v>94.597099999999998</v>
      </c>
      <c r="BM91" s="58"/>
      <c r="BN91" s="58"/>
      <c r="BO91" s="58">
        <v>91.672200000000004</v>
      </c>
      <c r="BP91" s="58"/>
      <c r="BQ91" s="58">
        <f>BO91</f>
        <v>91.672200000000004</v>
      </c>
      <c r="BR91" s="58"/>
      <c r="BS91" s="58"/>
      <c r="BT91" s="58"/>
      <c r="BU91" s="58"/>
      <c r="BV91" s="263">
        <v>8</v>
      </c>
      <c r="BW91" s="1">
        <f t="shared" si="122"/>
        <v>1010</v>
      </c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 s="41"/>
    </row>
    <row r="92" spans="1:107" x14ac:dyDescent="0.25">
      <c r="A92" s="524"/>
      <c r="B92" s="125"/>
      <c r="C92" s="121">
        <v>1050</v>
      </c>
      <c r="D92" s="347">
        <f t="shared" ref="D92" si="190">SUM(AE92:AU92)</f>
        <v>760.16539999999998</v>
      </c>
      <c r="E92" s="347">
        <f t="shared" ref="E92" si="191">SUM(AV92:BD92)</f>
        <v>0</v>
      </c>
      <c r="F92" s="58">
        <f t="shared" ref="F92" si="192">SUM(BF92:BH92)</f>
        <v>0</v>
      </c>
      <c r="G92" s="58">
        <f t="shared" si="185"/>
        <v>24.253299999999999</v>
      </c>
      <c r="H92" s="58">
        <f t="shared" si="186"/>
        <v>24.253299999999999</v>
      </c>
      <c r="I92" s="58">
        <f t="shared" si="187"/>
        <v>23.003900000000002</v>
      </c>
      <c r="J92" s="51">
        <f t="shared" si="188"/>
        <v>23.003900000000002</v>
      </c>
      <c r="K92" s="347">
        <f t="shared" ref="K92" si="193">SUM(BS92:BV92)</f>
        <v>116.3</v>
      </c>
      <c r="L92" s="353">
        <f>ROUNDUP(((D91+D92)*0.5)*(C92-C91)/27,0)</f>
        <v>626</v>
      </c>
      <c r="M92" s="347">
        <f>ROUNDUP(((E91+E92)*0.5)*(C92-C91)/27,0)</f>
        <v>0</v>
      </c>
      <c r="N92" s="58">
        <f>ROUNDUP(((F91+F92)*0.5)*(C92-C91)/27,0)</f>
        <v>0</v>
      </c>
      <c r="O92" s="58">
        <f>ROUNDUP(((G92+G91)*0.5)*(C92-C91)/27,0)</f>
        <v>89</v>
      </c>
      <c r="P92" s="58">
        <f>ROUNDUP(((H92+H91)*0.5)*(C92-C91)/27,0)</f>
        <v>89</v>
      </c>
      <c r="Q92" s="58">
        <f>ROUNDUP(((I92+I91)*0.5)*(C92-C91)/9,0)</f>
        <v>255</v>
      </c>
      <c r="R92" s="58">
        <f>ROUNDUP(((J92+J91)*0.5)*(C92-C91)/9,0)</f>
        <v>255</v>
      </c>
      <c r="S92" s="347">
        <f>ROUNDUP(((K92+K91)*0.5)*(C92-C91)/9,0)</f>
        <v>277</v>
      </c>
      <c r="T92" s="56"/>
      <c r="U92" s="105"/>
      <c r="V92" s="58"/>
      <c r="W92" s="58"/>
      <c r="X92" s="58"/>
      <c r="Y92" s="58"/>
      <c r="Z92" s="58"/>
      <c r="AA92" s="58"/>
      <c r="AB92" s="58"/>
      <c r="AC92" s="55"/>
      <c r="AD92" s="57">
        <f t="shared" si="189"/>
        <v>1050</v>
      </c>
      <c r="AE92" s="58">
        <v>760.16539999999998</v>
      </c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8"/>
      <c r="AU92" s="58"/>
      <c r="AV92" s="58"/>
      <c r="AW92" s="58"/>
      <c r="AX92" s="58"/>
      <c r="AY92" s="58"/>
      <c r="AZ92" s="58"/>
      <c r="BA92" s="58"/>
      <c r="BB92" s="58"/>
      <c r="BC92" s="58"/>
      <c r="BD92" s="58"/>
      <c r="BE92" s="58"/>
      <c r="BF92" s="58"/>
      <c r="BG92" s="58"/>
      <c r="BH92" s="58"/>
      <c r="BI92" s="58">
        <v>24.253299999999999</v>
      </c>
      <c r="BJ92" s="58"/>
      <c r="BK92" s="58"/>
      <c r="BL92" s="58">
        <f t="shared" ref="BL92:BL99" si="194">BI92</f>
        <v>24.253299999999999</v>
      </c>
      <c r="BM92" s="58"/>
      <c r="BN92" s="58"/>
      <c r="BO92" s="58">
        <v>23.003900000000002</v>
      </c>
      <c r="BP92" s="58"/>
      <c r="BQ92" s="58">
        <f t="shared" ref="BQ92:BQ99" si="195">BO92</f>
        <v>23.003900000000002</v>
      </c>
      <c r="BR92" s="58"/>
      <c r="BS92" s="58"/>
      <c r="BT92" s="58"/>
      <c r="BU92" s="58"/>
      <c r="BV92" s="263">
        <f>112.3+4</f>
        <v>116.3</v>
      </c>
      <c r="BW92" s="1">
        <f t="shared" si="122"/>
        <v>1050</v>
      </c>
    </row>
    <row r="93" spans="1:107" s="3" customFormat="1" ht="15.75" thickBot="1" x14ac:dyDescent="0.3">
      <c r="A93" s="524"/>
      <c r="B93" s="125"/>
      <c r="C93" s="121">
        <v>1100</v>
      </c>
      <c r="D93" s="347">
        <f t="shared" ref="D93:D99" si="196">SUM(AE93:AU93)</f>
        <v>261.90199999999999</v>
      </c>
      <c r="E93" s="347">
        <f t="shared" ref="E93:E99" si="197">SUM(AV93:BD93)</f>
        <v>0</v>
      </c>
      <c r="F93" s="58">
        <f t="shared" ref="F93:F99" si="198">SUM(BF93:BH93)</f>
        <v>0</v>
      </c>
      <c r="G93" s="58">
        <f t="shared" si="185"/>
        <v>24.253299999999999</v>
      </c>
      <c r="H93" s="58">
        <f t="shared" si="186"/>
        <v>24.253299999999999</v>
      </c>
      <c r="I93" s="58">
        <f t="shared" si="187"/>
        <v>23.003900000000002</v>
      </c>
      <c r="J93" s="51">
        <f t="shared" si="188"/>
        <v>23.003900000000002</v>
      </c>
      <c r="K93" s="347">
        <f t="shared" ref="K93:K99" si="199">SUM(BS93:BV93)</f>
        <v>78.900000000000006</v>
      </c>
      <c r="L93" s="353">
        <f t="shared" ref="L93:L99" si="200">ROUNDUP(((D92+D93)*0.5)*(C93-C92)/27,0)</f>
        <v>947</v>
      </c>
      <c r="M93" s="347">
        <f t="shared" ref="M93:M99" si="201">ROUNDUP(((E92+E93)*0.5)*(C93-C92)/27,0)</f>
        <v>0</v>
      </c>
      <c r="N93" s="58">
        <f t="shared" ref="N93:N99" si="202">ROUNDUP(((F92+F93)*0.5)*(C93-C92)/27,0)</f>
        <v>0</v>
      </c>
      <c r="O93" s="58">
        <f t="shared" ref="O93:O99" si="203">ROUNDUP(((G93+G92)*0.5)*(C93-C92)/27,0)</f>
        <v>45</v>
      </c>
      <c r="P93" s="58">
        <f t="shared" ref="P93:P99" si="204">ROUNDUP(((H93+H92)*0.5)*(C93-C92)/27,0)</f>
        <v>45</v>
      </c>
      <c r="Q93" s="58">
        <f t="shared" ref="Q93:Q99" si="205">ROUNDUP(((I93+I92)*0.5)*(C93-C92)/9,0)</f>
        <v>128</v>
      </c>
      <c r="R93" s="58">
        <f t="shared" ref="R93:R99" si="206">ROUNDUP(((J93+J92)*0.5)*(C93-C92)/9,0)</f>
        <v>128</v>
      </c>
      <c r="S93" s="347">
        <f t="shared" ref="S93:S99" si="207">ROUNDUP(((K93+K92)*0.5)*(C93-C92)/9,0)</f>
        <v>543</v>
      </c>
      <c r="T93" s="56"/>
      <c r="U93" s="105"/>
      <c r="V93" s="58"/>
      <c r="W93" s="58"/>
      <c r="X93" s="58"/>
      <c r="Y93" s="58"/>
      <c r="Z93" s="58"/>
      <c r="AA93" s="58"/>
      <c r="AB93" s="58"/>
      <c r="AC93" s="55"/>
      <c r="AD93" s="57">
        <f t="shared" si="189"/>
        <v>1100</v>
      </c>
      <c r="AE93" s="58">
        <v>261.90199999999999</v>
      </c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58"/>
      <c r="BH93" s="58"/>
      <c r="BI93" s="58">
        <v>24.253299999999999</v>
      </c>
      <c r="BJ93" s="58"/>
      <c r="BK93" s="58"/>
      <c r="BL93" s="58">
        <f t="shared" si="194"/>
        <v>24.253299999999999</v>
      </c>
      <c r="BM93" s="58"/>
      <c r="BN93" s="58"/>
      <c r="BO93" s="58">
        <v>23.003900000000002</v>
      </c>
      <c r="BP93" s="58"/>
      <c r="BQ93" s="58">
        <f t="shared" si="195"/>
        <v>23.003900000000002</v>
      </c>
      <c r="BR93" s="58"/>
      <c r="BS93" s="58"/>
      <c r="BT93" s="58"/>
      <c r="BU93" s="58"/>
      <c r="BV93" s="263">
        <f>70.9+8</f>
        <v>78.900000000000006</v>
      </c>
      <c r="BW93" s="1">
        <f t="shared" si="122"/>
        <v>1100</v>
      </c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</row>
    <row r="94" spans="1:107" s="168" customFormat="1" ht="15.75" thickBot="1" x14ac:dyDescent="0.3">
      <c r="A94" s="524"/>
      <c r="B94" s="211"/>
      <c r="C94" s="212">
        <v>1150</v>
      </c>
      <c r="D94" s="348">
        <f t="shared" si="196"/>
        <v>44.027199999999993</v>
      </c>
      <c r="E94" s="348">
        <f t="shared" si="197"/>
        <v>2.7660999999999998</v>
      </c>
      <c r="F94" s="144">
        <f t="shared" si="198"/>
        <v>0</v>
      </c>
      <c r="G94" s="144">
        <f t="shared" si="185"/>
        <v>23.590900000000001</v>
      </c>
      <c r="H94" s="144">
        <f t="shared" si="186"/>
        <v>23.590900000000001</v>
      </c>
      <c r="I94" s="144">
        <f t="shared" si="187"/>
        <v>23.003900000000002</v>
      </c>
      <c r="J94" s="159">
        <f t="shared" si="188"/>
        <v>23.003900000000002</v>
      </c>
      <c r="K94" s="348">
        <f t="shared" si="199"/>
        <v>60.3</v>
      </c>
      <c r="L94" s="354">
        <f>ROUNDUP(((D93+D94)*0.5)*(C94-C93)/27,0)</f>
        <v>284</v>
      </c>
      <c r="M94" s="348">
        <f t="shared" si="201"/>
        <v>3</v>
      </c>
      <c r="N94" s="144">
        <f t="shared" si="202"/>
        <v>0</v>
      </c>
      <c r="O94" s="144">
        <f t="shared" si="203"/>
        <v>45</v>
      </c>
      <c r="P94" s="144">
        <f t="shared" si="204"/>
        <v>45</v>
      </c>
      <c r="Q94" s="144">
        <f t="shared" si="205"/>
        <v>128</v>
      </c>
      <c r="R94" s="144">
        <f t="shared" si="206"/>
        <v>128</v>
      </c>
      <c r="S94" s="348">
        <f t="shared" si="207"/>
        <v>387</v>
      </c>
      <c r="T94" s="154"/>
      <c r="U94" s="255">
        <f>L91+L92+L93+L94</f>
        <v>1857</v>
      </c>
      <c r="V94" s="255">
        <f t="shared" ref="V94:AB94" si="208">M91+M92+M93+M94</f>
        <v>3</v>
      </c>
      <c r="W94" s="255">
        <f t="shared" si="208"/>
        <v>0</v>
      </c>
      <c r="X94" s="255">
        <f t="shared" si="208"/>
        <v>179</v>
      </c>
      <c r="Y94" s="255">
        <f t="shared" si="208"/>
        <v>179</v>
      </c>
      <c r="Z94" s="255">
        <f t="shared" si="208"/>
        <v>511</v>
      </c>
      <c r="AA94" s="255">
        <f t="shared" si="208"/>
        <v>511</v>
      </c>
      <c r="AB94" s="255">
        <f t="shared" si="208"/>
        <v>1207</v>
      </c>
      <c r="AC94" s="153"/>
      <c r="AD94" s="158">
        <f t="shared" si="189"/>
        <v>1150</v>
      </c>
      <c r="AE94" s="144">
        <v>18.163699999999999</v>
      </c>
      <c r="AF94" s="144">
        <v>5.5749000000000004</v>
      </c>
      <c r="AG94" s="144">
        <v>20.288599999999999</v>
      </c>
      <c r="AH94" s="144"/>
      <c r="AI94" s="144"/>
      <c r="AJ94" s="144"/>
      <c r="AK94" s="144"/>
      <c r="AL94" s="144"/>
      <c r="AM94" s="144"/>
      <c r="AN94" s="144"/>
      <c r="AO94" s="144"/>
      <c r="AP94" s="144"/>
      <c r="AQ94" s="144"/>
      <c r="AR94" s="144"/>
      <c r="AS94" s="144"/>
      <c r="AT94" s="144"/>
      <c r="AU94" s="144"/>
      <c r="AV94" s="144">
        <v>1.1819</v>
      </c>
      <c r="AW94" s="144">
        <v>1.5842000000000001</v>
      </c>
      <c r="AX94" s="144"/>
      <c r="AY94" s="144"/>
      <c r="AZ94" s="144"/>
      <c r="BA94" s="144"/>
      <c r="BB94" s="144"/>
      <c r="BC94" s="144"/>
      <c r="BD94" s="144"/>
      <c r="BE94" s="144"/>
      <c r="BF94" s="144"/>
      <c r="BG94" s="144"/>
      <c r="BH94" s="144"/>
      <c r="BI94" s="144">
        <v>23.590900000000001</v>
      </c>
      <c r="BJ94" s="144"/>
      <c r="BK94" s="144"/>
      <c r="BL94" s="144">
        <f t="shared" si="194"/>
        <v>23.590900000000001</v>
      </c>
      <c r="BM94" s="144"/>
      <c r="BN94" s="144"/>
      <c r="BO94" s="144">
        <v>23.003900000000002</v>
      </c>
      <c r="BP94" s="144"/>
      <c r="BQ94" s="144">
        <f t="shared" si="195"/>
        <v>23.003900000000002</v>
      </c>
      <c r="BR94" s="144"/>
      <c r="BS94" s="144"/>
      <c r="BT94" s="144"/>
      <c r="BU94" s="144"/>
      <c r="BV94" s="265">
        <f>52.3+8</f>
        <v>60.3</v>
      </c>
      <c r="BW94" s="1">
        <f t="shared" si="122"/>
        <v>1150</v>
      </c>
      <c r="BX94"/>
      <c r="BY94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167"/>
    </row>
    <row r="95" spans="1:107" s="2" customFormat="1" x14ac:dyDescent="0.25">
      <c r="A95" s="524"/>
      <c r="B95" s="125"/>
      <c r="C95" s="210">
        <v>1200</v>
      </c>
      <c r="D95" s="349">
        <f t="shared" si="196"/>
        <v>40.881500000000003</v>
      </c>
      <c r="E95" s="349">
        <f t="shared" si="197"/>
        <v>89.781400000000005</v>
      </c>
      <c r="F95" s="147">
        <f t="shared" si="198"/>
        <v>0</v>
      </c>
      <c r="G95" s="147">
        <f t="shared" si="185"/>
        <v>0</v>
      </c>
      <c r="H95" s="147">
        <f t="shared" si="186"/>
        <v>0</v>
      </c>
      <c r="I95" s="147">
        <f t="shared" si="187"/>
        <v>0</v>
      </c>
      <c r="J95" s="156">
        <f t="shared" si="188"/>
        <v>0</v>
      </c>
      <c r="K95" s="349">
        <f t="shared" si="199"/>
        <v>78.3</v>
      </c>
      <c r="L95" s="355">
        <f t="shared" si="200"/>
        <v>79</v>
      </c>
      <c r="M95" s="349">
        <f t="shared" si="201"/>
        <v>86</v>
      </c>
      <c r="N95" s="147">
        <f t="shared" si="202"/>
        <v>0</v>
      </c>
      <c r="O95" s="147">
        <f t="shared" si="203"/>
        <v>22</v>
      </c>
      <c r="P95" s="147">
        <f t="shared" si="204"/>
        <v>22</v>
      </c>
      <c r="Q95" s="147">
        <f t="shared" si="205"/>
        <v>64</v>
      </c>
      <c r="R95" s="147">
        <f t="shared" si="206"/>
        <v>64</v>
      </c>
      <c r="S95" s="349">
        <f t="shared" si="207"/>
        <v>385</v>
      </c>
      <c r="T95" s="56"/>
      <c r="U95" s="151"/>
      <c r="V95" s="147"/>
      <c r="W95" s="147"/>
      <c r="X95" s="147"/>
      <c r="Y95" s="147"/>
      <c r="Z95" s="147"/>
      <c r="AA95" s="147"/>
      <c r="AB95" s="147"/>
      <c r="AC95" s="55"/>
      <c r="AD95" s="155">
        <f t="shared" si="189"/>
        <v>1200</v>
      </c>
      <c r="AE95" s="147">
        <v>22.3172</v>
      </c>
      <c r="AF95" s="147">
        <v>18.564299999999999</v>
      </c>
      <c r="AG95" s="147"/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>
        <v>89.781400000000005</v>
      </c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  <c r="BI95" s="147"/>
      <c r="BJ95" s="147"/>
      <c r="BK95" s="147"/>
      <c r="BL95" s="147"/>
      <c r="BM95" s="147"/>
      <c r="BN95" s="147"/>
      <c r="BO95" s="147"/>
      <c r="BP95" s="147"/>
      <c r="BQ95" s="147"/>
      <c r="BR95" s="147"/>
      <c r="BS95" s="147"/>
      <c r="BT95" s="147"/>
      <c r="BU95" s="147"/>
      <c r="BV95" s="266">
        <f>70.3+8</f>
        <v>78.3</v>
      </c>
      <c r="BW95" s="1">
        <f t="shared" si="122"/>
        <v>1200</v>
      </c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 s="41"/>
    </row>
    <row r="96" spans="1:107" x14ac:dyDescent="0.25">
      <c r="A96" s="524"/>
      <c r="B96" s="125"/>
      <c r="C96" s="121">
        <v>1250</v>
      </c>
      <c r="D96" s="347">
        <f t="shared" si="196"/>
        <v>17.652200000000001</v>
      </c>
      <c r="E96" s="347">
        <f t="shared" si="197"/>
        <v>268.90649999999999</v>
      </c>
      <c r="F96" s="58">
        <f t="shared" si="198"/>
        <v>0</v>
      </c>
      <c r="G96" s="58">
        <f t="shared" si="185"/>
        <v>0</v>
      </c>
      <c r="H96" s="58">
        <f t="shared" si="186"/>
        <v>0</v>
      </c>
      <c r="I96" s="58">
        <f t="shared" si="187"/>
        <v>0</v>
      </c>
      <c r="J96" s="51">
        <f t="shared" si="188"/>
        <v>0</v>
      </c>
      <c r="K96" s="347">
        <f t="shared" si="199"/>
        <v>92.9</v>
      </c>
      <c r="L96" s="353">
        <f t="shared" si="200"/>
        <v>55</v>
      </c>
      <c r="M96" s="347">
        <f t="shared" si="201"/>
        <v>333</v>
      </c>
      <c r="N96" s="58">
        <f t="shared" si="202"/>
        <v>0</v>
      </c>
      <c r="O96" s="58">
        <f t="shared" si="203"/>
        <v>0</v>
      </c>
      <c r="P96" s="58">
        <f t="shared" si="204"/>
        <v>0</v>
      </c>
      <c r="Q96" s="58">
        <f t="shared" si="205"/>
        <v>0</v>
      </c>
      <c r="R96" s="58">
        <f t="shared" si="206"/>
        <v>0</v>
      </c>
      <c r="S96" s="347">
        <f t="shared" si="207"/>
        <v>476</v>
      </c>
      <c r="U96" s="105"/>
      <c r="V96" s="58"/>
      <c r="W96" s="58"/>
      <c r="X96" s="58"/>
      <c r="Y96" s="58"/>
      <c r="Z96" s="58"/>
      <c r="AA96" s="58"/>
      <c r="AB96" s="58"/>
      <c r="AD96" s="57">
        <f t="shared" si="189"/>
        <v>1250</v>
      </c>
      <c r="AE96" s="58">
        <v>11.3466</v>
      </c>
      <c r="AF96" s="58">
        <v>6.3056000000000001</v>
      </c>
      <c r="AG96" s="58"/>
      <c r="AH96" s="58"/>
      <c r="AI96" s="58"/>
      <c r="AJ96" s="58"/>
      <c r="AK96" s="58"/>
      <c r="AL96" s="58"/>
      <c r="AM96" s="58"/>
      <c r="AN96" s="58"/>
      <c r="AO96" s="58"/>
      <c r="AP96" s="58"/>
      <c r="AQ96" s="58"/>
      <c r="AR96" s="58"/>
      <c r="AS96" s="58"/>
      <c r="AT96" s="58"/>
      <c r="AU96" s="58"/>
      <c r="AV96" s="58">
        <v>268.90649999999999</v>
      </c>
      <c r="AW96" s="58"/>
      <c r="AX96" s="58"/>
      <c r="AY96" s="58"/>
      <c r="AZ96" s="58"/>
      <c r="BA96" s="58"/>
      <c r="BB96" s="58"/>
      <c r="BC96" s="58"/>
      <c r="BD96" s="58"/>
      <c r="BE96" s="58"/>
      <c r="BF96" s="58"/>
      <c r="BG96" s="58"/>
      <c r="BH96" s="58"/>
      <c r="BI96" s="58"/>
      <c r="BJ96" s="58"/>
      <c r="BK96" s="58"/>
      <c r="BL96" s="58"/>
      <c r="BM96" s="58"/>
      <c r="BN96" s="58"/>
      <c r="BO96" s="58"/>
      <c r="BP96" s="58"/>
      <c r="BQ96" s="58"/>
      <c r="BR96" s="58"/>
      <c r="BS96" s="58"/>
      <c r="BT96" s="58"/>
      <c r="BU96" s="58"/>
      <c r="BV96" s="263">
        <f>84.9+8</f>
        <v>92.9</v>
      </c>
      <c r="BW96" s="1">
        <f t="shared" si="122"/>
        <v>1250</v>
      </c>
    </row>
    <row r="97" spans="1:107" x14ac:dyDescent="0.25">
      <c r="A97" s="524"/>
      <c r="B97" s="125"/>
      <c r="C97" s="121">
        <v>1300</v>
      </c>
      <c r="D97" s="347">
        <f t="shared" si="196"/>
        <v>44.876300000000001</v>
      </c>
      <c r="E97" s="347">
        <f t="shared" si="197"/>
        <v>83.123500000000007</v>
      </c>
      <c r="F97" s="58">
        <f t="shared" si="198"/>
        <v>0</v>
      </c>
      <c r="G97" s="58">
        <f t="shared" si="185"/>
        <v>13.287699999999999</v>
      </c>
      <c r="H97" s="58">
        <f t="shared" si="186"/>
        <v>13.287699999999999</v>
      </c>
      <c r="I97" s="58">
        <f t="shared" si="187"/>
        <v>17.1693</v>
      </c>
      <c r="J97" s="51">
        <f t="shared" si="188"/>
        <v>17.1693</v>
      </c>
      <c r="K97" s="347">
        <f t="shared" si="199"/>
        <v>64.099999999999994</v>
      </c>
      <c r="L97" s="353">
        <f t="shared" si="200"/>
        <v>58</v>
      </c>
      <c r="M97" s="347">
        <f t="shared" si="201"/>
        <v>326</v>
      </c>
      <c r="N97" s="58">
        <f t="shared" si="202"/>
        <v>0</v>
      </c>
      <c r="O97" s="58">
        <f t="shared" si="203"/>
        <v>13</v>
      </c>
      <c r="P97" s="58">
        <f t="shared" si="204"/>
        <v>13</v>
      </c>
      <c r="Q97" s="58">
        <f t="shared" si="205"/>
        <v>48</v>
      </c>
      <c r="R97" s="58">
        <f t="shared" si="206"/>
        <v>48</v>
      </c>
      <c r="S97" s="347">
        <f t="shared" si="207"/>
        <v>437</v>
      </c>
      <c r="U97" s="105"/>
      <c r="V97" s="58"/>
      <c r="W97" s="58"/>
      <c r="X97" s="58"/>
      <c r="Y97" s="58"/>
      <c r="Z97" s="58"/>
      <c r="AA97" s="58"/>
      <c r="AB97" s="58"/>
      <c r="AD97" s="57">
        <f t="shared" si="189"/>
        <v>1300</v>
      </c>
      <c r="AE97" s="58">
        <v>44.876300000000001</v>
      </c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>
        <v>83.123500000000007</v>
      </c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58"/>
      <c r="BH97" s="58"/>
      <c r="BI97" s="58">
        <v>13.287699999999999</v>
      </c>
      <c r="BJ97" s="58"/>
      <c r="BK97" s="58"/>
      <c r="BL97" s="58">
        <f t="shared" si="194"/>
        <v>13.287699999999999</v>
      </c>
      <c r="BM97" s="58"/>
      <c r="BN97" s="58"/>
      <c r="BO97" s="58">
        <v>17.1693</v>
      </c>
      <c r="BP97" s="58"/>
      <c r="BQ97" s="58">
        <f t="shared" si="195"/>
        <v>17.1693</v>
      </c>
      <c r="BR97" s="58"/>
      <c r="BS97" s="58"/>
      <c r="BT97" s="58"/>
      <c r="BU97" s="58"/>
      <c r="BV97" s="263">
        <f>60.1+4</f>
        <v>64.099999999999994</v>
      </c>
      <c r="BW97" s="1">
        <f t="shared" si="122"/>
        <v>1300</v>
      </c>
    </row>
    <row r="98" spans="1:107" s="3" customFormat="1" ht="15.75" thickBot="1" x14ac:dyDescent="0.3">
      <c r="A98" s="524"/>
      <c r="C98" s="212">
        <v>1350</v>
      </c>
      <c r="D98" s="348">
        <f t="shared" si="196"/>
        <v>75.128</v>
      </c>
      <c r="E98" s="348">
        <f t="shared" si="197"/>
        <v>7.2089999999999996</v>
      </c>
      <c r="F98" s="144">
        <f t="shared" si="198"/>
        <v>0</v>
      </c>
      <c r="G98" s="144">
        <f t="shared" si="185"/>
        <v>22.794499999999999</v>
      </c>
      <c r="H98" s="144">
        <f t="shared" si="186"/>
        <v>22.794499999999999</v>
      </c>
      <c r="I98" s="144">
        <f t="shared" si="187"/>
        <v>23.003900000000002</v>
      </c>
      <c r="J98" s="159">
        <f t="shared" si="188"/>
        <v>23.003900000000002</v>
      </c>
      <c r="K98" s="348">
        <f t="shared" si="199"/>
        <v>68.3</v>
      </c>
      <c r="L98" s="354">
        <f t="shared" si="200"/>
        <v>112</v>
      </c>
      <c r="M98" s="348">
        <f t="shared" si="201"/>
        <v>84</v>
      </c>
      <c r="N98" s="144">
        <f t="shared" si="202"/>
        <v>0</v>
      </c>
      <c r="O98" s="144">
        <f t="shared" si="203"/>
        <v>34</v>
      </c>
      <c r="P98" s="144">
        <f t="shared" si="204"/>
        <v>34</v>
      </c>
      <c r="Q98" s="144">
        <f t="shared" si="205"/>
        <v>112</v>
      </c>
      <c r="R98" s="144">
        <f t="shared" si="206"/>
        <v>112</v>
      </c>
      <c r="S98" s="348">
        <f t="shared" si="207"/>
        <v>368</v>
      </c>
      <c r="U98" s="255">
        <f>L95+L96+L97+L98</f>
        <v>304</v>
      </c>
      <c r="V98" s="255">
        <f t="shared" ref="V98" si="209">M95+M96+M97+M98</f>
        <v>829</v>
      </c>
      <c r="W98" s="255">
        <f t="shared" ref="W98" si="210">N95+N96+N97+N98</f>
        <v>0</v>
      </c>
      <c r="X98" s="255">
        <f>O95+O96+O97+O98</f>
        <v>69</v>
      </c>
      <c r="Y98" s="255">
        <f t="shared" ref="Y98" si="211">P95+P96+P97+P98</f>
        <v>69</v>
      </c>
      <c r="Z98" s="255">
        <f t="shared" ref="Z98" si="212">Q95+Q96+Q97+Q98</f>
        <v>224</v>
      </c>
      <c r="AA98" s="255">
        <f t="shared" ref="AA98" si="213">R95+R96+R97+R98</f>
        <v>224</v>
      </c>
      <c r="AB98" s="255">
        <f t="shared" ref="AB98" si="214">S95+S96+S97+S98</f>
        <v>1666</v>
      </c>
      <c r="AD98" s="158">
        <f t="shared" ref="AD98:AD99" si="215">C98</f>
        <v>1350</v>
      </c>
      <c r="AE98" s="144">
        <v>64.6999</v>
      </c>
      <c r="AF98" s="144">
        <v>0.26229999999999998</v>
      </c>
      <c r="AG98" s="144">
        <v>10.165800000000001</v>
      </c>
      <c r="AH98" s="144"/>
      <c r="AI98" s="144"/>
      <c r="AJ98" s="144"/>
      <c r="AK98" s="144"/>
      <c r="AL98" s="144"/>
      <c r="AM98" s="144"/>
      <c r="AN98" s="144"/>
      <c r="AO98" s="144"/>
      <c r="AP98" s="144"/>
      <c r="AQ98" s="144"/>
      <c r="AR98" s="144"/>
      <c r="AS98" s="144"/>
      <c r="AT98" s="144"/>
      <c r="AU98" s="144"/>
      <c r="AV98" s="144">
        <v>6.7359999999999998</v>
      </c>
      <c r="AW98" s="144">
        <v>0.47299999999999998</v>
      </c>
      <c r="AX98" s="144"/>
      <c r="AY98" s="144"/>
      <c r="AZ98" s="144"/>
      <c r="BA98" s="144"/>
      <c r="BB98" s="144"/>
      <c r="BC98" s="144"/>
      <c r="BD98" s="144"/>
      <c r="BE98" s="144"/>
      <c r="BF98" s="144"/>
      <c r="BG98" s="144"/>
      <c r="BH98" s="144"/>
      <c r="BI98" s="144">
        <v>22.794499999999999</v>
      </c>
      <c r="BJ98" s="144"/>
      <c r="BK98" s="144"/>
      <c r="BL98" s="144">
        <f t="shared" si="194"/>
        <v>22.794499999999999</v>
      </c>
      <c r="BM98" s="144"/>
      <c r="BN98" s="144"/>
      <c r="BO98" s="144">
        <v>23.003900000000002</v>
      </c>
      <c r="BP98" s="144"/>
      <c r="BQ98" s="144">
        <f t="shared" si="195"/>
        <v>23.003900000000002</v>
      </c>
      <c r="BR98" s="144"/>
      <c r="BS98" s="144"/>
      <c r="BT98" s="144"/>
      <c r="BU98" s="144"/>
      <c r="BV98" s="265">
        <f>60.3+8</f>
        <v>68.3</v>
      </c>
      <c r="BW98" s="1">
        <f t="shared" si="122"/>
        <v>1350</v>
      </c>
      <c r="BX98"/>
      <c r="BY98"/>
    </row>
    <row r="99" spans="1:107" ht="15.75" thickBot="1" x14ac:dyDescent="0.3">
      <c r="A99" s="524"/>
      <c r="C99" s="210">
        <v>1390.68</v>
      </c>
      <c r="D99" s="349">
        <f t="shared" si="196"/>
        <v>54.738</v>
      </c>
      <c r="E99" s="349">
        <f t="shared" si="197"/>
        <v>0</v>
      </c>
      <c r="F99" s="147">
        <f t="shared" si="198"/>
        <v>0</v>
      </c>
      <c r="G99" s="147">
        <f t="shared" si="185"/>
        <v>56.430300000000003</v>
      </c>
      <c r="H99" s="147">
        <f t="shared" si="186"/>
        <v>56.430300000000003</v>
      </c>
      <c r="I99" s="147">
        <f t="shared" si="187"/>
        <v>53.621200000000002</v>
      </c>
      <c r="J99" s="156">
        <f t="shared" si="188"/>
        <v>53.621200000000002</v>
      </c>
      <c r="K99" s="349">
        <f t="shared" si="199"/>
        <v>8</v>
      </c>
      <c r="L99" s="355">
        <f t="shared" si="200"/>
        <v>98</v>
      </c>
      <c r="M99" s="349">
        <f t="shared" si="201"/>
        <v>6</v>
      </c>
      <c r="N99" s="147">
        <f t="shared" si="202"/>
        <v>0</v>
      </c>
      <c r="O99" s="147">
        <f t="shared" si="203"/>
        <v>60</v>
      </c>
      <c r="P99" s="147">
        <f t="shared" si="204"/>
        <v>60</v>
      </c>
      <c r="Q99" s="147">
        <f t="shared" si="205"/>
        <v>174</v>
      </c>
      <c r="R99" s="147">
        <f t="shared" si="206"/>
        <v>174</v>
      </c>
      <c r="S99" s="349">
        <f t="shared" si="207"/>
        <v>173</v>
      </c>
      <c r="U99" s="255">
        <f>L99</f>
        <v>98</v>
      </c>
      <c r="V99" s="255">
        <f t="shared" ref="V99:AB99" si="216">M99</f>
        <v>6</v>
      </c>
      <c r="W99" s="255">
        <f t="shared" si="216"/>
        <v>0</v>
      </c>
      <c r="X99" s="255">
        <f t="shared" si="216"/>
        <v>60</v>
      </c>
      <c r="Y99" s="255">
        <f t="shared" si="216"/>
        <v>60</v>
      </c>
      <c r="Z99" s="255">
        <f t="shared" si="216"/>
        <v>174</v>
      </c>
      <c r="AA99" s="255">
        <f t="shared" si="216"/>
        <v>174</v>
      </c>
      <c r="AB99" s="255">
        <f t="shared" si="216"/>
        <v>173</v>
      </c>
      <c r="AD99" s="155">
        <f t="shared" si="215"/>
        <v>1390.68</v>
      </c>
      <c r="AE99" s="147">
        <v>54.738</v>
      </c>
      <c r="AF99" s="147"/>
      <c r="AG99" s="147"/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  <c r="BI99" s="147">
        <v>56.430300000000003</v>
      </c>
      <c r="BJ99" s="147"/>
      <c r="BK99" s="147"/>
      <c r="BL99" s="147">
        <f t="shared" si="194"/>
        <v>56.430300000000003</v>
      </c>
      <c r="BM99" s="147"/>
      <c r="BN99" s="147"/>
      <c r="BO99" s="147">
        <v>53.621200000000002</v>
      </c>
      <c r="BP99" s="147"/>
      <c r="BQ99" s="147">
        <f t="shared" si="195"/>
        <v>53.621200000000002</v>
      </c>
      <c r="BR99" s="147"/>
      <c r="BS99" s="147"/>
      <c r="BT99" s="147"/>
      <c r="BU99" s="147"/>
      <c r="BV99" s="266">
        <v>8</v>
      </c>
      <c r="BW99" s="1">
        <f t="shared" si="122"/>
        <v>1390.68</v>
      </c>
    </row>
    <row r="100" spans="1:107" x14ac:dyDescent="0.25">
      <c r="A100" s="524"/>
      <c r="AD100" s="57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  <c r="AQ100" s="58"/>
      <c r="AR100" s="58"/>
      <c r="AS100" s="58"/>
      <c r="AT100" s="58"/>
      <c r="AU100" s="58"/>
      <c r="AV100" s="58"/>
      <c r="AW100" s="58"/>
      <c r="AX100" s="58"/>
      <c r="AY100" s="58"/>
      <c r="AZ100" s="58"/>
      <c r="BA100" s="58"/>
      <c r="BB100" s="58"/>
      <c r="BC100" s="58"/>
      <c r="BD100" s="58"/>
      <c r="BE100" s="58"/>
      <c r="BF100" s="58"/>
      <c r="BG100" s="58"/>
      <c r="BH100" s="58"/>
      <c r="BI100" s="58"/>
      <c r="BJ100" s="58"/>
      <c r="BK100" s="58"/>
      <c r="BL100" s="58"/>
      <c r="BM100" s="58"/>
      <c r="BN100" s="58"/>
      <c r="BO100" s="58"/>
      <c r="BP100" s="58"/>
      <c r="BQ100" s="58"/>
      <c r="BR100" s="58"/>
      <c r="BS100" s="58"/>
      <c r="BT100" s="58"/>
      <c r="BU100" s="58"/>
      <c r="BV100" s="263"/>
      <c r="BW100" s="1"/>
    </row>
    <row r="101" spans="1:107" x14ac:dyDescent="0.25">
      <c r="A101" s="524"/>
      <c r="AD101" s="57"/>
      <c r="AE101" s="58"/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58"/>
      <c r="BH101" s="58"/>
      <c r="BI101" s="58"/>
      <c r="BJ101" s="58"/>
      <c r="BK101" s="58"/>
      <c r="BL101" s="58"/>
      <c r="BM101" s="58"/>
      <c r="BN101" s="58"/>
      <c r="BO101" s="58"/>
      <c r="BP101" s="58"/>
      <c r="BQ101" s="58"/>
      <c r="BR101" s="58"/>
      <c r="BS101" s="58"/>
      <c r="BT101" s="58"/>
      <c r="BU101" s="58"/>
      <c r="BV101" s="263"/>
      <c r="BW101" s="1"/>
    </row>
    <row r="102" spans="1:107" x14ac:dyDescent="0.25">
      <c r="A102" s="524"/>
      <c r="AD102" s="57"/>
      <c r="AE102" s="58"/>
      <c r="AF102" s="58"/>
      <c r="AG102" s="58"/>
      <c r="AH102" s="58"/>
      <c r="AI102" s="58"/>
      <c r="AJ102" s="58"/>
      <c r="AK102" s="58"/>
      <c r="AL102" s="58"/>
      <c r="AM102" s="58"/>
      <c r="AN102" s="58"/>
      <c r="AO102" s="58"/>
      <c r="AP102" s="58"/>
      <c r="AQ102" s="58"/>
      <c r="AR102" s="58"/>
      <c r="AS102" s="58"/>
      <c r="AT102" s="58"/>
      <c r="AU102" s="58"/>
      <c r="AV102" s="58"/>
      <c r="AW102" s="58"/>
      <c r="AX102" s="58"/>
      <c r="AY102" s="58"/>
      <c r="AZ102" s="58"/>
      <c r="BA102" s="58"/>
      <c r="BB102" s="58"/>
      <c r="BC102" s="58"/>
      <c r="BD102" s="58"/>
      <c r="BE102" s="58"/>
      <c r="BF102" s="58"/>
      <c r="BG102" s="58"/>
      <c r="BH102" s="58"/>
      <c r="BI102" s="58"/>
      <c r="BJ102" s="58"/>
      <c r="BK102" s="58"/>
      <c r="BL102" s="58"/>
      <c r="BM102" s="58"/>
      <c r="BN102" s="58"/>
      <c r="BO102" s="58"/>
      <c r="BP102" s="58"/>
      <c r="BQ102" s="58"/>
      <c r="BR102" s="58"/>
      <c r="BS102" s="58"/>
      <c r="BT102" s="58"/>
      <c r="BU102" s="58"/>
      <c r="BV102" s="263"/>
      <c r="BW102" s="1"/>
    </row>
    <row r="103" spans="1:107" ht="21" x14ac:dyDescent="0.35">
      <c r="A103" s="524"/>
      <c r="L103" s="385">
        <f>SUM(L91:L99)</f>
        <v>2259</v>
      </c>
      <c r="M103" s="385">
        <f t="shared" ref="M103:S103" si="217">SUM(M91:M99)</f>
        <v>838</v>
      </c>
      <c r="N103" s="120">
        <f t="shared" si="217"/>
        <v>0</v>
      </c>
      <c r="O103" s="120">
        <f t="shared" si="217"/>
        <v>308</v>
      </c>
      <c r="P103" s="120">
        <f t="shared" si="217"/>
        <v>308</v>
      </c>
      <c r="Q103" s="120">
        <f t="shared" si="217"/>
        <v>909</v>
      </c>
      <c r="R103" s="120">
        <f t="shared" si="217"/>
        <v>909</v>
      </c>
      <c r="S103" s="385">
        <f t="shared" si="217"/>
        <v>3046</v>
      </c>
      <c r="U103" s="120">
        <f>SUM(U91:U99)</f>
        <v>2259</v>
      </c>
      <c r="V103" s="120">
        <f t="shared" ref="V103:AB103" si="218">SUM(V91:V99)</f>
        <v>838</v>
      </c>
      <c r="W103" s="120">
        <f t="shared" si="218"/>
        <v>0</v>
      </c>
      <c r="X103" s="120">
        <f t="shared" si="218"/>
        <v>308</v>
      </c>
      <c r="Y103" s="120">
        <f t="shared" si="218"/>
        <v>308</v>
      </c>
      <c r="Z103" s="120">
        <f t="shared" si="218"/>
        <v>909</v>
      </c>
      <c r="AA103" s="120">
        <f t="shared" si="218"/>
        <v>909</v>
      </c>
      <c r="AB103" s="120">
        <f t="shared" si="218"/>
        <v>3046</v>
      </c>
      <c r="BW103" s="1"/>
    </row>
    <row r="104" spans="1:107" x14ac:dyDescent="0.25">
      <c r="A104" s="524"/>
      <c r="BW104" s="1"/>
    </row>
    <row r="105" spans="1:107" x14ac:dyDescent="0.25">
      <c r="A105" s="524"/>
      <c r="BW105" s="1"/>
    </row>
    <row r="106" spans="1:107" x14ac:dyDescent="0.25">
      <c r="I106" t="s">
        <v>4</v>
      </c>
      <c r="BW106" s="1"/>
    </row>
    <row r="107" spans="1:107" x14ac:dyDescent="0.25">
      <c r="BW107" s="1"/>
    </row>
    <row r="108" spans="1:107" ht="15.75" thickBot="1" x14ac:dyDescent="0.3">
      <c r="C108" s="57"/>
      <c r="D108" s="360"/>
      <c r="E108" s="360"/>
      <c r="F108" s="75"/>
      <c r="G108" s="75"/>
      <c r="H108" s="75"/>
      <c r="I108" s="75"/>
      <c r="J108" s="75"/>
      <c r="K108" s="373"/>
      <c r="L108" s="384"/>
      <c r="M108" s="360"/>
      <c r="N108" s="75"/>
      <c r="O108" s="75"/>
      <c r="P108" s="75"/>
      <c r="Q108" s="75"/>
      <c r="R108" s="75"/>
      <c r="S108" s="360"/>
      <c r="T108" s="4"/>
      <c r="U108" s="104"/>
      <c r="V108" s="75"/>
      <c r="W108" s="75"/>
      <c r="X108" s="75"/>
      <c r="Y108" s="75"/>
      <c r="Z108" s="75"/>
      <c r="AA108" s="75"/>
      <c r="AB108" s="75"/>
      <c r="AC108" s="55"/>
      <c r="AD108" s="49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78"/>
      <c r="BA108" s="78"/>
      <c r="BB108" s="78"/>
      <c r="BC108" s="78"/>
      <c r="BD108" s="78"/>
      <c r="BE108" s="78"/>
      <c r="BF108" s="78"/>
      <c r="BG108" s="78"/>
      <c r="BH108" s="78"/>
      <c r="BI108" s="78"/>
      <c r="BJ108" s="78"/>
      <c r="BK108" s="78"/>
      <c r="BL108" s="78"/>
      <c r="BM108" s="78"/>
      <c r="BN108" s="78"/>
      <c r="BO108" s="78"/>
      <c r="BP108" s="78"/>
      <c r="BQ108" s="78"/>
      <c r="BR108" s="78"/>
      <c r="BS108" s="49"/>
      <c r="BT108" s="49"/>
      <c r="BU108" s="49"/>
      <c r="BV108" s="263"/>
      <c r="BW108" s="1"/>
    </row>
    <row r="109" spans="1:107" s="2" customFormat="1" ht="15" customHeight="1" x14ac:dyDescent="0.25">
      <c r="A109" s="523" t="s">
        <v>66</v>
      </c>
      <c r="B109" s="125"/>
      <c r="C109" s="121">
        <v>1005.78</v>
      </c>
      <c r="D109" s="347">
        <f>SUM(AE109:AU109)</f>
        <v>74.953999999999994</v>
      </c>
      <c r="E109" s="347">
        <f>SUM(AV109:BD109)</f>
        <v>0</v>
      </c>
      <c r="F109" s="58">
        <f>SUM(BF109:BH109)</f>
        <v>0</v>
      </c>
      <c r="G109" s="58">
        <f t="shared" ref="G109:G117" si="219">SUM(BI109:BK109)</f>
        <v>0</v>
      </c>
      <c r="H109" s="58">
        <f t="shared" ref="H109:H117" si="220">SUM(BL109:BN109)</f>
        <v>0</v>
      </c>
      <c r="I109" s="58">
        <f t="shared" ref="I109:I117" si="221">SUM(BO109:BP109)</f>
        <v>0</v>
      </c>
      <c r="J109" s="51">
        <f t="shared" ref="J109:J117" si="222">BQ109+BR109</f>
        <v>0</v>
      </c>
      <c r="K109" s="347">
        <f>SUM(BS109:BV109)</f>
        <v>8</v>
      </c>
      <c r="L109" s="353"/>
      <c r="M109" s="347"/>
      <c r="N109" s="58"/>
      <c r="O109" s="58"/>
      <c r="P109" s="58"/>
      <c r="Q109" s="58"/>
      <c r="R109" s="58"/>
      <c r="S109" s="347"/>
      <c r="T109" s="56"/>
      <c r="U109" s="105"/>
      <c r="V109" s="58"/>
      <c r="W109" s="58"/>
      <c r="X109" s="58"/>
      <c r="Y109" s="58"/>
      <c r="Z109" s="58"/>
      <c r="AA109" s="58"/>
      <c r="AB109" s="58"/>
      <c r="AC109" s="55"/>
      <c r="AD109" s="57">
        <f t="shared" ref="AD109:AD116" si="223">C109</f>
        <v>1005.78</v>
      </c>
      <c r="AE109" s="58">
        <v>74.953999999999994</v>
      </c>
      <c r="AF109" s="58"/>
      <c r="AG109" s="58"/>
      <c r="AH109" s="58"/>
      <c r="AI109" s="58"/>
      <c r="AJ109" s="58"/>
      <c r="AK109" s="58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58"/>
      <c r="BH109" s="58"/>
      <c r="BI109" s="58"/>
      <c r="BJ109" s="58"/>
      <c r="BK109" s="58"/>
      <c r="BL109" s="58"/>
      <c r="BM109" s="58"/>
      <c r="BN109" s="58"/>
      <c r="BO109" s="58"/>
      <c r="BP109" s="58"/>
      <c r="BQ109" s="58"/>
      <c r="BR109" s="58"/>
      <c r="BS109" s="58"/>
      <c r="BT109" s="58"/>
      <c r="BU109" s="58"/>
      <c r="BV109" s="263">
        <v>8</v>
      </c>
      <c r="BW109" s="1">
        <f t="shared" si="122"/>
        <v>1005.78</v>
      </c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 s="41"/>
    </row>
    <row r="110" spans="1:107" x14ac:dyDescent="0.25">
      <c r="A110" s="524"/>
      <c r="B110" s="125"/>
      <c r="C110" s="121">
        <v>1025</v>
      </c>
      <c r="D110" s="347">
        <f t="shared" ref="D110:D116" si="224">SUM(AE110:AU110)</f>
        <v>203.708</v>
      </c>
      <c r="E110" s="347">
        <f t="shared" ref="E110:E116" si="225">SUM(AV110:BD110)</f>
        <v>0</v>
      </c>
      <c r="F110" s="58">
        <f t="shared" ref="F110:F116" si="226">SUM(BF110:BH110)</f>
        <v>0</v>
      </c>
      <c r="G110" s="58">
        <f t="shared" si="219"/>
        <v>0</v>
      </c>
      <c r="H110" s="58">
        <f t="shared" si="220"/>
        <v>0</v>
      </c>
      <c r="I110" s="58">
        <f t="shared" si="221"/>
        <v>0</v>
      </c>
      <c r="J110" s="51">
        <f t="shared" si="222"/>
        <v>0</v>
      </c>
      <c r="K110" s="347">
        <f t="shared" ref="K110:K116" si="227">SUM(BS110:BV110)</f>
        <v>70.400000000000006</v>
      </c>
      <c r="L110" s="353">
        <f>ROUNDUP(((D109+D110)*0.5)*(C110-C109)/27,0)</f>
        <v>100</v>
      </c>
      <c r="M110" s="347">
        <f>ROUNDUP(((E109+E110)*0.5)*(C110-C109)/27,0)</f>
        <v>0</v>
      </c>
      <c r="N110" s="58">
        <f>ROUNDUP(((F109+F110)*0.5)*(C110-C109)/27,0)</f>
        <v>0</v>
      </c>
      <c r="O110" s="58">
        <f>ROUNDUP(((G110+G109)*0.5)*(C110-C109)/27,0)</f>
        <v>0</v>
      </c>
      <c r="P110" s="58">
        <f>ROUNDUP(((H110+H109)*0.5)*(C110-C109)/27,0)</f>
        <v>0</v>
      </c>
      <c r="Q110" s="58">
        <f>ROUNDUP(((I110+I109)*0.5)*(C110-C109)/9,0)</f>
        <v>0</v>
      </c>
      <c r="R110" s="58">
        <f>ROUNDUP(((J110+J109)*0.5)*(C110-C109)/9,0)</f>
        <v>0</v>
      </c>
      <c r="S110" s="347">
        <f>ROUNDUP(((K110+K109)*0.5)*(C110-C109)/9,0)</f>
        <v>84</v>
      </c>
      <c r="T110" s="56"/>
      <c r="U110" s="105"/>
      <c r="V110" s="58"/>
      <c r="W110" s="58"/>
      <c r="X110" s="58"/>
      <c r="Y110" s="58"/>
      <c r="Z110" s="58"/>
      <c r="AA110" s="58"/>
      <c r="AB110" s="58"/>
      <c r="AC110" s="55"/>
      <c r="AD110" s="57">
        <v>1025</v>
      </c>
      <c r="AE110" s="58">
        <v>203.708</v>
      </c>
      <c r="AF110" s="58"/>
      <c r="AG110" s="58"/>
      <c r="AH110" s="58"/>
      <c r="AI110" s="58"/>
      <c r="AJ110" s="58"/>
      <c r="AK110" s="58"/>
      <c r="AL110" s="58"/>
      <c r="AM110" s="58"/>
      <c r="AN110" s="58"/>
      <c r="AO110" s="58"/>
      <c r="AP110" s="58"/>
      <c r="AQ110" s="58"/>
      <c r="AR110" s="58"/>
      <c r="AS110" s="58"/>
      <c r="AT110" s="58"/>
      <c r="AU110" s="58"/>
      <c r="AV110" s="58"/>
      <c r="AW110" s="58"/>
      <c r="AX110" s="58"/>
      <c r="AY110" s="58"/>
      <c r="AZ110" s="58"/>
      <c r="BA110" s="58"/>
      <c r="BB110" s="58"/>
      <c r="BC110" s="58"/>
      <c r="BD110" s="58"/>
      <c r="BE110" s="58"/>
      <c r="BF110" s="58"/>
      <c r="BG110" s="58"/>
      <c r="BH110" s="58"/>
      <c r="BI110" s="58"/>
      <c r="BJ110" s="58"/>
      <c r="BK110" s="58"/>
      <c r="BL110" s="58"/>
      <c r="BM110" s="58"/>
      <c r="BN110" s="58"/>
      <c r="BO110" s="58"/>
      <c r="BP110" s="58"/>
      <c r="BQ110" s="58"/>
      <c r="BR110" s="58"/>
      <c r="BS110" s="58"/>
      <c r="BT110" s="58"/>
      <c r="BU110" s="58"/>
      <c r="BV110" s="263">
        <f>66.4+4</f>
        <v>70.400000000000006</v>
      </c>
      <c r="BW110" s="1">
        <f t="shared" si="122"/>
        <v>1025</v>
      </c>
    </row>
    <row r="111" spans="1:107" s="3" customFormat="1" ht="15.75" thickBot="1" x14ac:dyDescent="0.3">
      <c r="A111" s="524"/>
      <c r="B111" s="211"/>
      <c r="C111" s="212">
        <v>1050</v>
      </c>
      <c r="D111" s="348">
        <f t="shared" si="224"/>
        <v>236.084</v>
      </c>
      <c r="E111" s="348">
        <f t="shared" si="225"/>
        <v>0</v>
      </c>
      <c r="F111" s="144">
        <f t="shared" si="226"/>
        <v>0</v>
      </c>
      <c r="G111" s="144">
        <f t="shared" si="219"/>
        <v>0</v>
      </c>
      <c r="H111" s="144">
        <f t="shared" si="220"/>
        <v>0</v>
      </c>
      <c r="I111" s="144">
        <f t="shared" si="221"/>
        <v>0</v>
      </c>
      <c r="J111" s="159">
        <f t="shared" si="222"/>
        <v>0</v>
      </c>
      <c r="K111" s="348">
        <f t="shared" si="227"/>
        <v>67.400000000000006</v>
      </c>
      <c r="L111" s="354">
        <f>ROUNDUP(((D110+D111)*0.5)*(C111-C110)/27,0)</f>
        <v>204</v>
      </c>
      <c r="M111" s="348">
        <f>ROUNDUP(((E110+E111)*0.5)*(C111-C110)/27,0)</f>
        <v>0</v>
      </c>
      <c r="N111" s="144">
        <f t="shared" ref="N111:N116" si="228">ROUNDUP(((F110+F111)*0.5)*(C111-C110)/27,0)</f>
        <v>0</v>
      </c>
      <c r="O111" s="144">
        <f t="shared" ref="O111:O116" si="229">ROUNDUP(((G111+G110)*0.5)*(C111-C110)/27,0)</f>
        <v>0</v>
      </c>
      <c r="P111" s="144">
        <f t="shared" ref="P111:P116" si="230">ROUNDUP(((H111+H110)*0.5)*(C111-C110)/27,0)</f>
        <v>0</v>
      </c>
      <c r="Q111" s="144">
        <f t="shared" ref="Q111:Q116" si="231">ROUNDUP(((I111+I110)*0.5)*(C111-C110)/9,0)</f>
        <v>0</v>
      </c>
      <c r="R111" s="144">
        <f t="shared" ref="R111:R116" si="232">ROUNDUP(((J111+J110)*0.5)*(C111-C110)/9,0)</f>
        <v>0</v>
      </c>
      <c r="S111" s="348">
        <f>ROUNDUP(((K111+K110)*0.5)*(C111-C110)/9,0)</f>
        <v>192</v>
      </c>
      <c r="T111" s="154"/>
      <c r="U111" s="255">
        <f>L108+L109+L110+L111</f>
        <v>304</v>
      </c>
      <c r="V111" s="255">
        <f t="shared" ref="V111" si="233">M108+M109+M110+M111</f>
        <v>0</v>
      </c>
      <c r="W111" s="255">
        <f t="shared" ref="W111" si="234">N108+N109+N110+N111</f>
        <v>0</v>
      </c>
      <c r="X111" s="255">
        <f t="shared" ref="X111" si="235">O108+O109+O110+O111</f>
        <v>0</v>
      </c>
      <c r="Y111" s="255">
        <f t="shared" ref="Y111" si="236">P108+P109+P110+P111</f>
        <v>0</v>
      </c>
      <c r="Z111" s="255">
        <f t="shared" ref="Z111" si="237">Q108+Q109+Q110+Q111</f>
        <v>0</v>
      </c>
      <c r="AA111" s="255">
        <f t="shared" ref="AA111" si="238">R108+R109+R110+R111</f>
        <v>0</v>
      </c>
      <c r="AB111" s="255">
        <f t="shared" ref="AB111" si="239">S108+S109+S110+S111</f>
        <v>276</v>
      </c>
      <c r="AC111" s="153"/>
      <c r="AD111" s="158">
        <f t="shared" si="223"/>
        <v>1050</v>
      </c>
      <c r="AE111" s="144">
        <v>236.084</v>
      </c>
      <c r="AF111" s="144"/>
      <c r="AG111" s="144"/>
      <c r="AH111" s="144"/>
      <c r="AI111" s="144"/>
      <c r="AJ111" s="144"/>
      <c r="AK111" s="144"/>
      <c r="AL111" s="144"/>
      <c r="AM111" s="144"/>
      <c r="AN111" s="144"/>
      <c r="AO111" s="144"/>
      <c r="AP111" s="144"/>
      <c r="AQ111" s="144"/>
      <c r="AR111" s="144"/>
      <c r="AS111" s="144"/>
      <c r="AT111" s="144"/>
      <c r="AU111" s="144"/>
      <c r="AV111" s="144"/>
      <c r="AW111" s="144"/>
      <c r="AX111" s="144"/>
      <c r="AY111" s="144"/>
      <c r="AZ111" s="144"/>
      <c r="BA111" s="144"/>
      <c r="BB111" s="144"/>
      <c r="BC111" s="144"/>
      <c r="BD111" s="144"/>
      <c r="BE111" s="144"/>
      <c r="BF111" s="144"/>
      <c r="BG111" s="144"/>
      <c r="BH111" s="144"/>
      <c r="BI111" s="144"/>
      <c r="BJ111" s="144"/>
      <c r="BK111" s="144"/>
      <c r="BL111" s="144"/>
      <c r="BM111" s="144"/>
      <c r="BN111" s="144"/>
      <c r="BO111" s="144"/>
      <c r="BP111" s="144"/>
      <c r="BQ111" s="144"/>
      <c r="BR111" s="144"/>
      <c r="BS111" s="144"/>
      <c r="BT111" s="144"/>
      <c r="BU111" s="144"/>
      <c r="BV111" s="265">
        <f>67.4</f>
        <v>67.400000000000006</v>
      </c>
      <c r="BW111" s="1">
        <f t="shared" si="122"/>
        <v>1050</v>
      </c>
      <c r="BX111"/>
      <c r="BY111"/>
    </row>
    <row r="112" spans="1:107" s="2" customFormat="1" x14ac:dyDescent="0.25">
      <c r="A112" s="524"/>
      <c r="B112" s="125"/>
      <c r="C112" s="210">
        <v>1100</v>
      </c>
      <c r="D112" s="349">
        <f t="shared" si="224"/>
        <v>45.475999999999999</v>
      </c>
      <c r="E112" s="349">
        <f t="shared" si="225"/>
        <v>0</v>
      </c>
      <c r="F112" s="147">
        <f t="shared" si="226"/>
        <v>0</v>
      </c>
      <c r="G112" s="147">
        <f t="shared" si="219"/>
        <v>0</v>
      </c>
      <c r="H112" s="147">
        <f t="shared" si="220"/>
        <v>0</v>
      </c>
      <c r="I112" s="147">
        <f t="shared" si="221"/>
        <v>0</v>
      </c>
      <c r="J112" s="156">
        <f t="shared" si="222"/>
        <v>0</v>
      </c>
      <c r="K112" s="349">
        <f t="shared" si="227"/>
        <v>35.1</v>
      </c>
      <c r="L112" s="355">
        <f t="shared" ref="L112:L115" si="240">ROUNDUP(((D111+D112)*0.5)*(C112-C111)/27,0)</f>
        <v>261</v>
      </c>
      <c r="M112" s="349">
        <f t="shared" ref="M112:M116" si="241">ROUNDUP(((E111+E112)*0.5)*(C112-C111)/27,0)</f>
        <v>0</v>
      </c>
      <c r="N112" s="147">
        <f t="shared" si="228"/>
        <v>0</v>
      </c>
      <c r="O112" s="147">
        <f t="shared" si="229"/>
        <v>0</v>
      </c>
      <c r="P112" s="147">
        <f t="shared" si="230"/>
        <v>0</v>
      </c>
      <c r="Q112" s="147">
        <f t="shared" si="231"/>
        <v>0</v>
      </c>
      <c r="R112" s="147">
        <f t="shared" si="232"/>
        <v>0</v>
      </c>
      <c r="S112" s="349">
        <f t="shared" ref="S112:S116" si="242">ROUNDUP(((K112+K111)*0.5)*(C112-C111)/9,0)</f>
        <v>285</v>
      </c>
      <c r="T112" s="56"/>
      <c r="U112" s="151"/>
      <c r="V112" s="147"/>
      <c r="W112" s="147"/>
      <c r="X112" s="147"/>
      <c r="Y112" s="147"/>
      <c r="Z112" s="147"/>
      <c r="AA112" s="147"/>
      <c r="AB112" s="147"/>
      <c r="AC112" s="55"/>
      <c r="AD112" s="155">
        <f t="shared" si="223"/>
        <v>1100</v>
      </c>
      <c r="AE112" s="147">
        <v>45.475999999999999</v>
      </c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  <c r="BI112" s="147"/>
      <c r="BJ112" s="147"/>
      <c r="BK112" s="147"/>
      <c r="BL112" s="147"/>
      <c r="BM112" s="147"/>
      <c r="BN112" s="147"/>
      <c r="BO112" s="147"/>
      <c r="BP112" s="147"/>
      <c r="BQ112" s="147"/>
      <c r="BR112" s="147"/>
      <c r="BS112" s="147"/>
      <c r="BT112" s="147"/>
      <c r="BU112" s="147"/>
      <c r="BV112" s="266">
        <f>31.1+4</f>
        <v>35.1</v>
      </c>
      <c r="BW112" s="1">
        <f t="shared" si="122"/>
        <v>1100</v>
      </c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 s="41"/>
    </row>
    <row r="113" spans="1:107" s="2" customFormat="1" x14ac:dyDescent="0.25">
      <c r="A113" s="524"/>
      <c r="B113" s="125"/>
      <c r="C113" s="121">
        <v>1150</v>
      </c>
      <c r="D113" s="347">
        <f t="shared" si="224"/>
        <v>0</v>
      </c>
      <c r="E113" s="347">
        <f t="shared" si="225"/>
        <v>42.18</v>
      </c>
      <c r="F113" s="58">
        <f t="shared" si="226"/>
        <v>0</v>
      </c>
      <c r="G113" s="58">
        <f t="shared" si="219"/>
        <v>0</v>
      </c>
      <c r="H113" s="58">
        <f t="shared" si="220"/>
        <v>0</v>
      </c>
      <c r="I113" s="58">
        <f t="shared" si="221"/>
        <v>0</v>
      </c>
      <c r="J113" s="51">
        <f t="shared" si="222"/>
        <v>0</v>
      </c>
      <c r="K113" s="347">
        <f t="shared" si="227"/>
        <v>29</v>
      </c>
      <c r="L113" s="353">
        <f t="shared" si="240"/>
        <v>43</v>
      </c>
      <c r="M113" s="347">
        <f t="shared" si="241"/>
        <v>40</v>
      </c>
      <c r="N113" s="58">
        <f t="shared" si="228"/>
        <v>0</v>
      </c>
      <c r="O113" s="58">
        <f t="shared" si="229"/>
        <v>0</v>
      </c>
      <c r="P113" s="58">
        <f t="shared" si="230"/>
        <v>0</v>
      </c>
      <c r="Q113" s="58">
        <f t="shared" si="231"/>
        <v>0</v>
      </c>
      <c r="R113" s="58">
        <f t="shared" si="232"/>
        <v>0</v>
      </c>
      <c r="S113" s="347">
        <f t="shared" si="242"/>
        <v>179</v>
      </c>
      <c r="T113" s="56"/>
      <c r="U113" s="105"/>
      <c r="V113" s="58"/>
      <c r="W113" s="58"/>
      <c r="X113" s="58"/>
      <c r="Y113" s="58"/>
      <c r="Z113" s="58"/>
      <c r="AA113" s="58"/>
      <c r="AB113" s="58"/>
      <c r="AC113" s="55"/>
      <c r="AD113" s="57">
        <f t="shared" si="223"/>
        <v>1150</v>
      </c>
      <c r="AE113" s="58"/>
      <c r="AF113" s="58"/>
      <c r="AG113" s="58"/>
      <c r="AH113" s="58"/>
      <c r="AI113" s="58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>
        <v>42.18</v>
      </c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58"/>
      <c r="BH113" s="58"/>
      <c r="BI113" s="58"/>
      <c r="BJ113" s="58"/>
      <c r="BK113" s="58"/>
      <c r="BL113" s="58"/>
      <c r="BM113" s="58"/>
      <c r="BN113" s="58"/>
      <c r="BO113" s="58"/>
      <c r="BP113" s="58"/>
      <c r="BQ113" s="58"/>
      <c r="BR113" s="58"/>
      <c r="BS113" s="58"/>
      <c r="BT113" s="58"/>
      <c r="BU113" s="58"/>
      <c r="BV113" s="263">
        <f>25+4</f>
        <v>29</v>
      </c>
      <c r="BW113" s="1">
        <f t="shared" si="122"/>
        <v>1150</v>
      </c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 s="41"/>
    </row>
    <row r="114" spans="1:107" s="3" customFormat="1" ht="15.75" thickBot="1" x14ac:dyDescent="0.3">
      <c r="A114" s="524"/>
      <c r="B114" s="211"/>
      <c r="C114" s="212">
        <v>1200</v>
      </c>
      <c r="D114" s="348">
        <f t="shared" si="224"/>
        <v>0</v>
      </c>
      <c r="E114" s="348">
        <f t="shared" si="225"/>
        <v>64.111999999999995</v>
      </c>
      <c r="F114" s="144">
        <f t="shared" si="226"/>
        <v>0</v>
      </c>
      <c r="G114" s="144">
        <f t="shared" si="219"/>
        <v>0</v>
      </c>
      <c r="H114" s="144">
        <f t="shared" si="220"/>
        <v>0</v>
      </c>
      <c r="I114" s="144">
        <f t="shared" si="221"/>
        <v>0</v>
      </c>
      <c r="J114" s="159">
        <f t="shared" si="222"/>
        <v>0</v>
      </c>
      <c r="K114" s="348">
        <f t="shared" si="227"/>
        <v>33.299999999999997</v>
      </c>
      <c r="L114" s="354">
        <f t="shared" si="240"/>
        <v>0</v>
      </c>
      <c r="M114" s="348">
        <f t="shared" si="241"/>
        <v>99</v>
      </c>
      <c r="N114" s="144">
        <f t="shared" si="228"/>
        <v>0</v>
      </c>
      <c r="O114" s="144">
        <f t="shared" si="229"/>
        <v>0</v>
      </c>
      <c r="P114" s="144">
        <f t="shared" si="230"/>
        <v>0</v>
      </c>
      <c r="Q114" s="144">
        <f t="shared" si="231"/>
        <v>0</v>
      </c>
      <c r="R114" s="144">
        <f t="shared" si="232"/>
        <v>0</v>
      </c>
      <c r="S114" s="348">
        <f t="shared" si="242"/>
        <v>174</v>
      </c>
      <c r="U114" s="255">
        <f>L112+L113+L114</f>
        <v>304</v>
      </c>
      <c r="V114" s="255">
        <f t="shared" ref="V114" si="243">M112+M113+M114</f>
        <v>139</v>
      </c>
      <c r="W114" s="255">
        <f t="shared" ref="W114" si="244">N112+N113+N114</f>
        <v>0</v>
      </c>
      <c r="X114" s="255">
        <f t="shared" ref="X114" si="245">O112+O113+O114</f>
        <v>0</v>
      </c>
      <c r="Y114" s="255">
        <f t="shared" ref="Y114" si="246">P112+P113+P114</f>
        <v>0</v>
      </c>
      <c r="Z114" s="255">
        <f t="shared" ref="Z114" si="247">Q112+Q113+Q114</f>
        <v>0</v>
      </c>
      <c r="AA114" s="255">
        <f t="shared" ref="AA114" si="248">R112+R113+R114</f>
        <v>0</v>
      </c>
      <c r="AB114" s="255">
        <f t="shared" ref="AB114" si="249">S112+S113+S114</f>
        <v>638</v>
      </c>
      <c r="AD114" s="158">
        <f t="shared" si="223"/>
        <v>1200</v>
      </c>
      <c r="AE114" s="144"/>
      <c r="AF114" s="144"/>
      <c r="AG114" s="144"/>
      <c r="AH114" s="144"/>
      <c r="AI114" s="144"/>
      <c r="AJ114" s="144"/>
      <c r="AK114" s="144"/>
      <c r="AL114" s="144"/>
      <c r="AM114" s="144"/>
      <c r="AN114" s="144"/>
      <c r="AO114" s="144"/>
      <c r="AP114" s="144"/>
      <c r="AQ114" s="144"/>
      <c r="AR114" s="144"/>
      <c r="AS114" s="144"/>
      <c r="AT114" s="144"/>
      <c r="AU114" s="144"/>
      <c r="AV114" s="144">
        <v>64.111999999999995</v>
      </c>
      <c r="AW114" s="144"/>
      <c r="AX114" s="144"/>
      <c r="AY114" s="144"/>
      <c r="AZ114" s="144"/>
      <c r="BA114" s="144"/>
      <c r="BB114" s="144"/>
      <c r="BC114" s="144"/>
      <c r="BD114" s="144"/>
      <c r="BE114" s="144"/>
      <c r="BF114" s="144"/>
      <c r="BG114" s="144"/>
      <c r="BH114" s="144"/>
      <c r="BI114" s="144"/>
      <c r="BJ114" s="144"/>
      <c r="BK114" s="144"/>
      <c r="BL114" s="144"/>
      <c r="BM114" s="144"/>
      <c r="BN114" s="144"/>
      <c r="BO114" s="144"/>
      <c r="BP114" s="144"/>
      <c r="BQ114" s="144"/>
      <c r="BR114" s="144"/>
      <c r="BS114" s="144"/>
      <c r="BT114" s="144"/>
      <c r="BU114" s="144"/>
      <c r="BV114" s="265">
        <f>29.3+4</f>
        <v>33.299999999999997</v>
      </c>
      <c r="BW114" s="1">
        <f t="shared" si="122"/>
        <v>1200</v>
      </c>
      <c r="BX114"/>
      <c r="BY114"/>
    </row>
    <row r="115" spans="1:107" x14ac:dyDescent="0.25">
      <c r="A115" s="524"/>
      <c r="B115" s="125"/>
      <c r="C115" s="210">
        <v>1250</v>
      </c>
      <c r="D115" s="349">
        <f t="shared" si="224"/>
        <v>2.5270000000000001</v>
      </c>
      <c r="E115" s="349">
        <f t="shared" si="225"/>
        <v>18.178000000000001</v>
      </c>
      <c r="F115" s="147">
        <f t="shared" si="226"/>
        <v>0</v>
      </c>
      <c r="G115" s="147">
        <f t="shared" si="219"/>
        <v>0</v>
      </c>
      <c r="H115" s="147">
        <f t="shared" si="220"/>
        <v>0</v>
      </c>
      <c r="I115" s="147">
        <f t="shared" si="221"/>
        <v>0</v>
      </c>
      <c r="J115" s="156">
        <f t="shared" si="222"/>
        <v>0</v>
      </c>
      <c r="K115" s="349">
        <f t="shared" si="227"/>
        <v>31</v>
      </c>
      <c r="L115" s="355">
        <f t="shared" si="240"/>
        <v>3</v>
      </c>
      <c r="M115" s="349">
        <f>ROUNDUP(((E114+E115)*0.5)*(C115-C114)/27,0)</f>
        <v>77</v>
      </c>
      <c r="N115" s="147">
        <f t="shared" si="228"/>
        <v>0</v>
      </c>
      <c r="O115" s="147">
        <f t="shared" si="229"/>
        <v>0</v>
      </c>
      <c r="P115" s="147">
        <f t="shared" si="230"/>
        <v>0</v>
      </c>
      <c r="Q115" s="147">
        <f t="shared" si="231"/>
        <v>0</v>
      </c>
      <c r="R115" s="147">
        <f t="shared" si="232"/>
        <v>0</v>
      </c>
      <c r="S115" s="349">
        <f t="shared" si="242"/>
        <v>179</v>
      </c>
      <c r="U115" s="151"/>
      <c r="V115" s="147"/>
      <c r="W115" s="147"/>
      <c r="X115" s="147"/>
      <c r="Y115" s="147"/>
      <c r="Z115" s="147"/>
      <c r="AA115" s="147"/>
      <c r="AB115" s="147"/>
      <c r="AD115" s="155">
        <f t="shared" si="223"/>
        <v>1250</v>
      </c>
      <c r="AE115" s="147">
        <v>2.4990000000000001</v>
      </c>
      <c r="AF115" s="147">
        <v>2.8000000000000001E-2</v>
      </c>
      <c r="AG115" s="147"/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>
        <v>1.002</v>
      </c>
      <c r="AW115" s="147">
        <v>2.4529999999999998</v>
      </c>
      <c r="AX115" s="147">
        <v>14.723000000000001</v>
      </c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  <c r="BI115" s="147"/>
      <c r="BJ115" s="147"/>
      <c r="BK115" s="147"/>
      <c r="BL115" s="147"/>
      <c r="BM115" s="147"/>
      <c r="BN115" s="147"/>
      <c r="BO115" s="147"/>
      <c r="BP115" s="147"/>
      <c r="BQ115" s="147"/>
      <c r="BR115" s="147"/>
      <c r="BS115" s="147"/>
      <c r="BT115" s="147"/>
      <c r="BU115" s="147"/>
      <c r="BV115" s="266">
        <f>27+4</f>
        <v>31</v>
      </c>
      <c r="BW115" s="1">
        <f t="shared" si="122"/>
        <v>1250</v>
      </c>
    </row>
    <row r="116" spans="1:107" x14ac:dyDescent="0.25">
      <c r="A116" s="524"/>
      <c r="C116" s="121">
        <v>1300</v>
      </c>
      <c r="D116" s="347">
        <f t="shared" si="224"/>
        <v>26.864999999999998</v>
      </c>
      <c r="E116" s="347">
        <f t="shared" si="225"/>
        <v>0</v>
      </c>
      <c r="F116" s="58">
        <f t="shared" si="226"/>
        <v>0</v>
      </c>
      <c r="G116" s="58">
        <f t="shared" si="219"/>
        <v>0</v>
      </c>
      <c r="H116" s="58">
        <f t="shared" si="220"/>
        <v>0</v>
      </c>
      <c r="I116" s="58">
        <f t="shared" si="221"/>
        <v>0</v>
      </c>
      <c r="J116" s="51">
        <f t="shared" si="222"/>
        <v>0</v>
      </c>
      <c r="K116" s="347">
        <f t="shared" si="227"/>
        <v>31.3</v>
      </c>
      <c r="L116" s="353">
        <f>ROUNDUP(((D115+D116)*0.5)*(C116-C115)/27,0)</f>
        <v>28</v>
      </c>
      <c r="M116" s="347">
        <f t="shared" si="241"/>
        <v>17</v>
      </c>
      <c r="N116" s="58">
        <f t="shared" si="228"/>
        <v>0</v>
      </c>
      <c r="O116" s="58">
        <f t="shared" si="229"/>
        <v>0</v>
      </c>
      <c r="P116" s="58">
        <f t="shared" si="230"/>
        <v>0</v>
      </c>
      <c r="Q116" s="58">
        <f t="shared" si="231"/>
        <v>0</v>
      </c>
      <c r="R116" s="58">
        <f t="shared" si="232"/>
        <v>0</v>
      </c>
      <c r="S116" s="347">
        <f t="shared" si="242"/>
        <v>174</v>
      </c>
      <c r="U116" s="105"/>
      <c r="V116" s="58"/>
      <c r="W116" s="58"/>
      <c r="X116" s="58"/>
      <c r="Y116" s="58"/>
      <c r="Z116" s="58"/>
      <c r="AA116" s="58"/>
      <c r="AB116" s="58"/>
      <c r="AD116" s="57">
        <f t="shared" si="223"/>
        <v>1300</v>
      </c>
      <c r="AE116" s="58">
        <v>26.864999999999998</v>
      </c>
      <c r="AF116" s="58"/>
      <c r="AG116" s="58"/>
      <c r="AH116" s="58"/>
      <c r="AI116" s="58"/>
      <c r="AJ116" s="58"/>
      <c r="AK116" s="58"/>
      <c r="AL116" s="58"/>
      <c r="AM116" s="58"/>
      <c r="AN116" s="58"/>
      <c r="AO116" s="58"/>
      <c r="AP116" s="58"/>
      <c r="AQ116" s="58"/>
      <c r="AR116" s="58"/>
      <c r="AS116" s="58"/>
      <c r="AT116" s="58"/>
      <c r="AU116" s="58"/>
      <c r="AV116" s="58"/>
      <c r="AW116" s="58"/>
      <c r="AX116" s="58"/>
      <c r="AY116" s="58"/>
      <c r="AZ116" s="58"/>
      <c r="BA116" s="58"/>
      <c r="BB116" s="58"/>
      <c r="BC116" s="58"/>
      <c r="BD116" s="58"/>
      <c r="BE116" s="58"/>
      <c r="BF116" s="58"/>
      <c r="BG116" s="58"/>
      <c r="BH116" s="58"/>
      <c r="BI116" s="58"/>
      <c r="BJ116" s="58"/>
      <c r="BK116" s="58"/>
      <c r="BL116" s="58"/>
      <c r="BM116" s="58"/>
      <c r="BN116" s="58"/>
      <c r="BO116" s="58"/>
      <c r="BP116" s="58"/>
      <c r="BQ116" s="58"/>
      <c r="BR116" s="58"/>
      <c r="BS116" s="58"/>
      <c r="BT116" s="58"/>
      <c r="BU116" s="58"/>
      <c r="BV116" s="263">
        <f>27.3+4</f>
        <v>31.3</v>
      </c>
      <c r="BW116" s="1">
        <f t="shared" si="122"/>
        <v>1300</v>
      </c>
    </row>
    <row r="117" spans="1:107" ht="15.75" thickBot="1" x14ac:dyDescent="0.3">
      <c r="A117" s="524"/>
      <c r="C117" s="121">
        <v>1346.62</v>
      </c>
      <c r="D117" s="347">
        <f t="shared" ref="D117" si="250">SUM(AE117:AU117)</f>
        <v>31.058</v>
      </c>
      <c r="E117" s="347">
        <f t="shared" ref="E117" si="251">SUM(AV117:BD117)</f>
        <v>0</v>
      </c>
      <c r="F117" s="58">
        <f t="shared" ref="F117" si="252">SUM(BF117:BH117)</f>
        <v>0</v>
      </c>
      <c r="G117" s="58">
        <f t="shared" si="219"/>
        <v>0</v>
      </c>
      <c r="H117" s="58">
        <f t="shared" si="220"/>
        <v>0</v>
      </c>
      <c r="I117" s="58">
        <f t="shared" si="221"/>
        <v>0</v>
      </c>
      <c r="J117" s="51">
        <f t="shared" si="222"/>
        <v>0</v>
      </c>
      <c r="K117" s="347">
        <f t="shared" ref="K117" si="253">SUM(BS117:BV117)</f>
        <v>8</v>
      </c>
      <c r="L117" s="353">
        <f>ROUNDUP(((D116+D117)*0.5)*(C117-C116)/27,0)</f>
        <v>51</v>
      </c>
      <c r="M117" s="347">
        <f t="shared" ref="M117" si="254">ROUNDUP(((E116+E117)*0.5)*(C117-C116)/27,0)</f>
        <v>0</v>
      </c>
      <c r="N117" s="58">
        <f t="shared" ref="N117" si="255">ROUNDUP(((F116+F117)*0.5)*(C117-C116)/27,0)</f>
        <v>0</v>
      </c>
      <c r="O117" s="58">
        <f t="shared" ref="O117" si="256">ROUNDUP(((G117+G116)*0.5)*(C117-C116)/27,0)</f>
        <v>0</v>
      </c>
      <c r="P117" s="58">
        <f t="shared" ref="P117" si="257">ROUNDUP(((H117+H116)*0.5)*(C117-C116)/27,0)</f>
        <v>0</v>
      </c>
      <c r="Q117" s="58">
        <f t="shared" ref="Q117" si="258">ROUNDUP(((I117+I116)*0.5)*(C117-C116)/9,0)</f>
        <v>0</v>
      </c>
      <c r="R117" s="58">
        <f t="shared" ref="R117" si="259">ROUNDUP(((J117+J116)*0.5)*(C117-C116)/9,0)</f>
        <v>0</v>
      </c>
      <c r="S117" s="347">
        <f t="shared" ref="S117" si="260">ROUNDUP(((K117+K116)*0.5)*(C117-C116)/9,0)</f>
        <v>102</v>
      </c>
      <c r="U117" s="255">
        <f>L115+L116+L117</f>
        <v>82</v>
      </c>
      <c r="V117" s="255">
        <f t="shared" ref="V117" si="261">M115+M116+M117</f>
        <v>94</v>
      </c>
      <c r="W117" s="255">
        <f t="shared" ref="W117" si="262">N115+N116+N117</f>
        <v>0</v>
      </c>
      <c r="X117" s="255">
        <f t="shared" ref="X117" si="263">O115+O116+O117</f>
        <v>0</v>
      </c>
      <c r="Y117" s="255">
        <f t="shared" ref="Y117" si="264">P115+P116+P117</f>
        <v>0</v>
      </c>
      <c r="Z117" s="255">
        <f t="shared" ref="Z117" si="265">Q115+Q116+Q117</f>
        <v>0</v>
      </c>
      <c r="AA117" s="255">
        <f t="shared" ref="AA117" si="266">R115+R116+R117</f>
        <v>0</v>
      </c>
      <c r="AB117" s="255">
        <f t="shared" ref="AB117" si="267">S115+S116+S117</f>
        <v>455</v>
      </c>
      <c r="AD117" s="57">
        <f t="shared" ref="AD117" si="268">C117</f>
        <v>1346.62</v>
      </c>
      <c r="AE117" s="58">
        <v>31.058</v>
      </c>
      <c r="AF117" s="58"/>
      <c r="AG117" s="58"/>
      <c r="AH117" s="58"/>
      <c r="AI117" s="58"/>
      <c r="AJ117" s="58"/>
      <c r="AK117" s="58"/>
      <c r="AL117" s="58"/>
      <c r="AM117" s="58"/>
      <c r="AN117" s="58"/>
      <c r="AO117" s="58"/>
      <c r="AP117" s="58"/>
      <c r="AQ117" s="58"/>
      <c r="AR117" s="58"/>
      <c r="AS117" s="58"/>
      <c r="AT117" s="58"/>
      <c r="AU117" s="58"/>
      <c r="AV117" s="58"/>
      <c r="AW117" s="58"/>
      <c r="AX117" s="58"/>
      <c r="AY117" s="58"/>
      <c r="AZ117" s="58"/>
      <c r="BA117" s="58"/>
      <c r="BB117" s="58"/>
      <c r="BC117" s="58"/>
      <c r="BD117" s="58"/>
      <c r="BE117" s="58"/>
      <c r="BF117" s="58"/>
      <c r="BG117" s="58"/>
      <c r="BH117" s="58"/>
      <c r="BI117" s="58"/>
      <c r="BJ117" s="58"/>
      <c r="BK117" s="58"/>
      <c r="BL117" s="58"/>
      <c r="BM117" s="58"/>
      <c r="BN117" s="58"/>
      <c r="BO117" s="58"/>
      <c r="BP117" s="58"/>
      <c r="BQ117" s="58"/>
      <c r="BR117" s="58"/>
      <c r="BS117" s="58"/>
      <c r="BT117" s="58"/>
      <c r="BU117" s="58"/>
      <c r="BV117" s="263">
        <v>8</v>
      </c>
      <c r="BW117" s="1">
        <f t="shared" ref="BW117" si="269">C117</f>
        <v>1346.62</v>
      </c>
    </row>
    <row r="118" spans="1:107" x14ac:dyDescent="0.25">
      <c r="A118" s="524"/>
      <c r="AD118" s="57"/>
      <c r="AE118" s="58"/>
      <c r="AF118" s="58"/>
      <c r="AG118" s="58"/>
      <c r="AH118" s="58"/>
      <c r="AI118" s="58"/>
      <c r="AJ118" s="58"/>
      <c r="AK118" s="58"/>
      <c r="AL118" s="58"/>
      <c r="AM118" s="58"/>
      <c r="AN118" s="58"/>
      <c r="AO118" s="58"/>
      <c r="AP118" s="58"/>
      <c r="AQ118" s="58"/>
      <c r="AR118" s="58"/>
      <c r="AS118" s="58"/>
      <c r="AT118" s="58"/>
      <c r="AU118" s="58"/>
      <c r="AV118" s="58"/>
      <c r="AW118" s="58"/>
      <c r="AX118" s="58"/>
      <c r="AY118" s="58"/>
      <c r="AZ118" s="58"/>
      <c r="BA118" s="58"/>
      <c r="BB118" s="58"/>
      <c r="BC118" s="58"/>
      <c r="BD118" s="58"/>
      <c r="BE118" s="58"/>
      <c r="BF118" s="58"/>
      <c r="BG118" s="58"/>
      <c r="BH118" s="58"/>
      <c r="BI118" s="58"/>
      <c r="BJ118" s="58"/>
      <c r="BK118" s="58"/>
      <c r="BL118" s="58"/>
      <c r="BM118" s="58"/>
      <c r="BN118" s="58"/>
      <c r="BO118" s="58"/>
      <c r="BP118" s="58"/>
      <c r="BQ118" s="58"/>
      <c r="BR118" s="58"/>
      <c r="BS118" s="58"/>
      <c r="BT118" s="58"/>
      <c r="BU118" s="58"/>
      <c r="BV118" s="263"/>
      <c r="BW118" s="1"/>
    </row>
    <row r="119" spans="1:107" x14ac:dyDescent="0.25">
      <c r="A119" s="524"/>
      <c r="AD119" s="57"/>
      <c r="AE119" s="58"/>
      <c r="AF119" s="58"/>
      <c r="AG119" s="58"/>
      <c r="AH119" s="58"/>
      <c r="AI119" s="58"/>
      <c r="AJ119" s="58"/>
      <c r="AK119" s="58"/>
      <c r="AL119" s="58"/>
      <c r="AM119" s="58"/>
      <c r="AN119" s="58"/>
      <c r="AO119" s="58"/>
      <c r="AP119" s="58"/>
      <c r="AQ119" s="58"/>
      <c r="AR119" s="58"/>
      <c r="AS119" s="58"/>
      <c r="AT119" s="58"/>
      <c r="AU119" s="58"/>
      <c r="AV119" s="58"/>
      <c r="AW119" s="58"/>
      <c r="AX119" s="58"/>
      <c r="AY119" s="58"/>
      <c r="AZ119" s="58"/>
      <c r="BA119" s="58"/>
      <c r="BB119" s="58"/>
      <c r="BC119" s="58"/>
      <c r="BD119" s="58"/>
      <c r="BE119" s="58"/>
      <c r="BF119" s="58"/>
      <c r="BG119" s="58"/>
      <c r="BH119" s="58"/>
      <c r="BI119" s="58"/>
      <c r="BJ119" s="58"/>
      <c r="BK119" s="58"/>
      <c r="BL119" s="58"/>
      <c r="BM119" s="58"/>
      <c r="BN119" s="58"/>
      <c r="BO119" s="58"/>
      <c r="BP119" s="58"/>
      <c r="BQ119" s="58"/>
      <c r="BR119" s="58"/>
      <c r="BS119" s="58"/>
      <c r="BT119" s="58"/>
      <c r="BU119" s="58"/>
      <c r="BV119" s="263"/>
      <c r="BW119" s="1"/>
    </row>
    <row r="120" spans="1:107" ht="21" x14ac:dyDescent="0.35">
      <c r="A120" s="524"/>
      <c r="L120" s="385">
        <f>SUM(L109:L117)</f>
        <v>690</v>
      </c>
      <c r="M120" s="385">
        <f t="shared" ref="M120:S120" si="270">SUM(M109:M117)</f>
        <v>233</v>
      </c>
      <c r="N120" s="120">
        <f t="shared" si="270"/>
        <v>0</v>
      </c>
      <c r="O120" s="120">
        <f t="shared" si="270"/>
        <v>0</v>
      </c>
      <c r="P120" s="120">
        <f t="shared" si="270"/>
        <v>0</v>
      </c>
      <c r="Q120" s="120">
        <f t="shared" si="270"/>
        <v>0</v>
      </c>
      <c r="R120" s="120">
        <f t="shared" si="270"/>
        <v>0</v>
      </c>
      <c r="S120" s="385">
        <f t="shared" si="270"/>
        <v>1369</v>
      </c>
      <c r="U120" s="120">
        <f>SUM(U109:U117)</f>
        <v>690</v>
      </c>
      <c r="V120" s="120">
        <f t="shared" ref="V120:AB120" si="271">SUM(V109:V117)</f>
        <v>233</v>
      </c>
      <c r="W120" s="120">
        <f t="shared" si="271"/>
        <v>0</v>
      </c>
      <c r="X120" s="120">
        <f t="shared" si="271"/>
        <v>0</v>
      </c>
      <c r="Y120" s="120">
        <f t="shared" si="271"/>
        <v>0</v>
      </c>
      <c r="Z120" s="120">
        <f t="shared" si="271"/>
        <v>0</v>
      </c>
      <c r="AA120" s="120">
        <f t="shared" si="271"/>
        <v>0</v>
      </c>
      <c r="AB120" s="120">
        <f t="shared" si="271"/>
        <v>1369</v>
      </c>
      <c r="BW120" s="1"/>
    </row>
    <row r="121" spans="1:107" x14ac:dyDescent="0.25">
      <c r="A121" s="524"/>
      <c r="BW121" s="1"/>
    </row>
    <row r="122" spans="1:107" x14ac:dyDescent="0.25">
      <c r="A122" s="524"/>
      <c r="BW122" s="1"/>
    </row>
    <row r="123" spans="1:107" x14ac:dyDescent="0.25">
      <c r="BW123" s="1"/>
    </row>
    <row r="124" spans="1:107" x14ac:dyDescent="0.25">
      <c r="BW124" s="1"/>
    </row>
    <row r="125" spans="1:107" ht="15.75" thickBot="1" x14ac:dyDescent="0.3">
      <c r="C125" s="57"/>
      <c r="D125" s="360"/>
      <c r="E125" s="360"/>
      <c r="F125" s="75"/>
      <c r="G125" s="75"/>
      <c r="H125" s="75"/>
      <c r="I125" s="75"/>
      <c r="J125" s="75"/>
      <c r="K125" s="373"/>
      <c r="L125" s="384"/>
      <c r="M125" s="360"/>
      <c r="N125" s="75"/>
      <c r="O125" s="75"/>
      <c r="P125" s="75"/>
      <c r="Q125" s="75"/>
      <c r="R125" s="75"/>
      <c r="S125" s="360"/>
      <c r="T125" s="4"/>
      <c r="U125" s="104"/>
      <c r="V125" s="75"/>
      <c r="W125" s="75"/>
      <c r="X125" s="75"/>
      <c r="Y125" s="75"/>
      <c r="Z125" s="75"/>
      <c r="AA125" s="75"/>
      <c r="AB125" s="75"/>
      <c r="AC125" s="55"/>
      <c r="AD125" s="49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  <c r="BF125" s="78"/>
      <c r="BG125" s="78"/>
      <c r="BH125" s="78"/>
      <c r="BI125" s="78"/>
      <c r="BJ125" s="78"/>
      <c r="BK125" s="78"/>
      <c r="BL125" s="78"/>
      <c r="BM125" s="78"/>
      <c r="BN125" s="78"/>
      <c r="BO125" s="78"/>
      <c r="BP125" s="78"/>
      <c r="BQ125" s="78"/>
      <c r="BR125" s="78"/>
      <c r="BS125" s="49"/>
      <c r="BT125" s="49"/>
      <c r="BU125" s="49"/>
      <c r="BV125" s="263"/>
      <c r="BW125" s="1"/>
    </row>
    <row r="126" spans="1:107" s="2" customFormat="1" ht="15" customHeight="1" x14ac:dyDescent="0.25">
      <c r="A126" s="523" t="s">
        <v>69</v>
      </c>
      <c r="B126" s="125"/>
      <c r="C126" s="121">
        <v>990.51</v>
      </c>
      <c r="D126" s="347">
        <f>SUM(AE126:AU126)</f>
        <v>3253.0118000000002</v>
      </c>
      <c r="E126" s="347">
        <f>SUM(AV126:BD126)</f>
        <v>0</v>
      </c>
      <c r="F126" s="58">
        <f>SUM(BF126:BH126)</f>
        <v>0</v>
      </c>
      <c r="G126" s="58">
        <f t="shared" ref="G126:G189" si="272">SUM(BI126:BK126)</f>
        <v>66.349999999999994</v>
      </c>
      <c r="H126" s="58">
        <f t="shared" ref="H126:H189" si="273">SUM(BL126:BN126)</f>
        <v>66.349999999999994</v>
      </c>
      <c r="I126" s="58">
        <f t="shared" ref="I126:I189" si="274">SUM(BO126:BP126)</f>
        <v>132.73580000000001</v>
      </c>
      <c r="J126" s="51">
        <f t="shared" ref="J126:J189" si="275">BQ126+BR126</f>
        <v>132.73580000000001</v>
      </c>
      <c r="K126" s="347">
        <f>SUM(BS126:BV126)</f>
        <v>0</v>
      </c>
      <c r="L126" s="353"/>
      <c r="M126" s="347"/>
      <c r="N126" s="58"/>
      <c r="O126" s="58"/>
      <c r="P126" s="58"/>
      <c r="Q126" s="58"/>
      <c r="R126" s="58"/>
      <c r="S126" s="347"/>
      <c r="T126" s="56"/>
      <c r="U126" s="105"/>
      <c r="V126" s="58"/>
      <c r="W126" s="58"/>
      <c r="X126" s="58"/>
      <c r="Y126" s="58"/>
      <c r="Z126" s="58"/>
      <c r="AA126" s="58"/>
      <c r="AB126" s="58"/>
      <c r="AC126" s="55"/>
      <c r="AD126" s="57">
        <f t="shared" ref="AD126" si="276">C126</f>
        <v>990.51</v>
      </c>
      <c r="AE126" s="58">
        <v>3253.0118000000002</v>
      </c>
      <c r="AF126" s="58"/>
      <c r="AG126" s="58"/>
      <c r="AH126" s="58"/>
      <c r="AI126" s="58"/>
      <c r="AJ126" s="58"/>
      <c r="AK126" s="58"/>
      <c r="AL126" s="58"/>
      <c r="AM126" s="58"/>
      <c r="AN126" s="58"/>
      <c r="AO126" s="58"/>
      <c r="AP126" s="58"/>
      <c r="AQ126" s="58"/>
      <c r="AR126" s="58"/>
      <c r="AS126" s="58"/>
      <c r="AT126" s="58"/>
      <c r="AU126" s="58"/>
      <c r="AV126" s="58"/>
      <c r="AW126" s="58"/>
      <c r="AX126" s="58"/>
      <c r="AY126" s="58"/>
      <c r="AZ126" s="58"/>
      <c r="BA126" s="58"/>
      <c r="BB126" s="58"/>
      <c r="BC126" s="58"/>
      <c r="BD126" s="58"/>
      <c r="BE126" s="58"/>
      <c r="BF126" s="58"/>
      <c r="BG126" s="58"/>
      <c r="BH126" s="58"/>
      <c r="BI126" s="58">
        <v>66.349999999999994</v>
      </c>
      <c r="BJ126" s="58"/>
      <c r="BK126" s="58"/>
      <c r="BL126" s="58">
        <f t="shared" ref="BL126:BL127" si="277">BI126</f>
        <v>66.349999999999994</v>
      </c>
      <c r="BM126" s="58"/>
      <c r="BN126" s="58"/>
      <c r="BO126" s="58">
        <v>132.73580000000001</v>
      </c>
      <c r="BP126" s="58"/>
      <c r="BQ126" s="58">
        <f t="shared" ref="BQ126:BQ127" si="278">BO126</f>
        <v>132.73580000000001</v>
      </c>
      <c r="BR126" s="58"/>
      <c r="BS126" s="58"/>
      <c r="BT126" s="58"/>
      <c r="BU126" s="58"/>
      <c r="BV126" s="263">
        <v>0</v>
      </c>
      <c r="BW126" s="1">
        <f t="shared" ref="BW126:BW186" si="279">C126</f>
        <v>990.51</v>
      </c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 s="41"/>
    </row>
    <row r="127" spans="1:107" x14ac:dyDescent="0.25">
      <c r="A127" s="524"/>
      <c r="B127" s="125"/>
      <c r="C127" s="121">
        <v>1000</v>
      </c>
      <c r="D127" s="347">
        <f>SUM(AE127:AU127)</f>
        <v>2828.4454999999998</v>
      </c>
      <c r="E127" s="347">
        <f t="shared" ref="E127" si="280">SUM(AV127:BD127)</f>
        <v>0</v>
      </c>
      <c r="F127" s="58">
        <f t="shared" ref="F127" si="281">SUM(BF127:BH127)</f>
        <v>0</v>
      </c>
      <c r="G127" s="58">
        <f t="shared" si="272"/>
        <v>56.497100000000003</v>
      </c>
      <c r="H127" s="58">
        <f t="shared" si="273"/>
        <v>56.497100000000003</v>
      </c>
      <c r="I127" s="58">
        <f t="shared" si="274"/>
        <v>112.7165</v>
      </c>
      <c r="J127" s="51">
        <f t="shared" si="275"/>
        <v>112.7165</v>
      </c>
      <c r="K127" s="347">
        <f t="shared" ref="K127" si="282">SUM(BS127:BV127)</f>
        <v>21.8</v>
      </c>
      <c r="L127" s="353">
        <f>ROUNDUP(((D126+D127)*0.5)*(C127-C126)/27,0)</f>
        <v>1069</v>
      </c>
      <c r="M127" s="347">
        <f>ROUNDUP(((E126+E127)*0.5)*(C127-C126)/27,0)</f>
        <v>0</v>
      </c>
      <c r="N127" s="58">
        <f>ROUNDUP(((F126+F127)*0.5)*(C127-C126)/27,0)</f>
        <v>0</v>
      </c>
      <c r="O127" s="58">
        <f>ROUNDUP(((G127+G126)*0.5)*(C127-C126)/27,0)</f>
        <v>22</v>
      </c>
      <c r="P127" s="58">
        <f>ROUNDUP(((H127+H126)*0.5)*(C127-C126)/27,0)</f>
        <v>22</v>
      </c>
      <c r="Q127" s="58">
        <f>ROUNDUP(((I127+I126)*0.5)*(C127-C126)/9,0)</f>
        <v>130</v>
      </c>
      <c r="R127" s="58">
        <f>ROUNDUP(((J127+J126)*0.5)*(C127-C126)/9,0)</f>
        <v>130</v>
      </c>
      <c r="S127" s="347">
        <f>ROUNDUP(((K127+K126)*0.5)*(C127-C126)/9,0)</f>
        <v>12</v>
      </c>
      <c r="T127" s="56"/>
      <c r="U127" s="105"/>
      <c r="V127" s="58"/>
      <c r="W127" s="58"/>
      <c r="X127" s="58"/>
      <c r="Y127" s="58"/>
      <c r="Z127" s="58"/>
      <c r="AA127" s="58"/>
      <c r="AB127" s="58"/>
      <c r="AC127" s="55"/>
      <c r="AD127" s="57">
        <f t="shared" ref="AD127" si="283">C127</f>
        <v>1000</v>
      </c>
      <c r="AE127" s="58">
        <v>2828.4454999999998</v>
      </c>
      <c r="AF127" s="58"/>
      <c r="AG127" s="58"/>
      <c r="AH127" s="58"/>
      <c r="AI127" s="58"/>
      <c r="AJ127" s="58"/>
      <c r="AK127" s="58"/>
      <c r="AL127" s="58"/>
      <c r="AM127" s="58"/>
      <c r="AN127" s="58"/>
      <c r="AO127" s="58"/>
      <c r="AP127" s="58"/>
      <c r="AQ127" s="58"/>
      <c r="AR127" s="58"/>
      <c r="AS127" s="58"/>
      <c r="AT127" s="58"/>
      <c r="AU127" s="58"/>
      <c r="AV127" s="58"/>
      <c r="AW127" s="58"/>
      <c r="AX127" s="58"/>
      <c r="AY127" s="58"/>
      <c r="AZ127" s="58"/>
      <c r="BA127" s="58"/>
      <c r="BB127" s="58"/>
      <c r="BC127" s="58"/>
      <c r="BD127" s="58"/>
      <c r="BE127" s="58"/>
      <c r="BF127" s="58"/>
      <c r="BG127" s="58"/>
      <c r="BH127" s="58"/>
      <c r="BI127" s="58">
        <v>56.497100000000003</v>
      </c>
      <c r="BJ127" s="58"/>
      <c r="BK127" s="58"/>
      <c r="BL127" s="58">
        <f t="shared" si="277"/>
        <v>56.497100000000003</v>
      </c>
      <c r="BM127" s="58"/>
      <c r="BN127" s="58"/>
      <c r="BO127" s="58">
        <v>112.7165</v>
      </c>
      <c r="BP127" s="58"/>
      <c r="BQ127" s="58">
        <f t="shared" si="278"/>
        <v>112.7165</v>
      </c>
      <c r="BR127" s="58"/>
      <c r="BS127" s="58"/>
      <c r="BT127" s="58"/>
      <c r="BU127" s="58"/>
      <c r="BV127" s="263">
        <v>21.8</v>
      </c>
      <c r="BW127" s="1">
        <f t="shared" si="279"/>
        <v>1000</v>
      </c>
    </row>
    <row r="128" spans="1:107" s="3" customFormat="1" ht="15.75" thickBot="1" x14ac:dyDescent="0.3">
      <c r="A128" s="524"/>
      <c r="B128" s="211"/>
      <c r="C128" s="212">
        <v>1050</v>
      </c>
      <c r="D128" s="348">
        <f t="shared" ref="D128:D191" si="284">SUM(AE128:AU128)</f>
        <v>1233.3294000000001</v>
      </c>
      <c r="E128" s="348">
        <f t="shared" ref="E128:E191" si="285">SUM(AV128:BD128)</f>
        <v>0.17810000000000001</v>
      </c>
      <c r="F128" s="144">
        <f t="shared" ref="F128:F191" si="286">SUM(BF128:BH128)</f>
        <v>0</v>
      </c>
      <c r="G128" s="144">
        <f t="shared" si="272"/>
        <v>0</v>
      </c>
      <c r="H128" s="144">
        <f t="shared" si="273"/>
        <v>0</v>
      </c>
      <c r="I128" s="144">
        <f t="shared" si="274"/>
        <v>0</v>
      </c>
      <c r="J128" s="159">
        <f t="shared" si="275"/>
        <v>0</v>
      </c>
      <c r="K128" s="348">
        <f t="shared" ref="K128:K191" si="287">SUM(BS128:BV128)</f>
        <v>141.19999999999999</v>
      </c>
      <c r="L128" s="354">
        <f t="shared" ref="L128:L191" si="288">ROUNDUP(((D127+D128)*0.5)*(C128-C127)/27,0)</f>
        <v>3761</v>
      </c>
      <c r="M128" s="348">
        <f t="shared" ref="M128:M191" si="289">ROUNDUP(((E127+E128)*0.5)*(C128-C127)/27,0)</f>
        <v>1</v>
      </c>
      <c r="N128" s="144">
        <f t="shared" ref="N128:N191" si="290">ROUNDUP(((F127+F128)*0.5)*(C128-C127)/27,0)</f>
        <v>0</v>
      </c>
      <c r="O128" s="144">
        <f t="shared" ref="O128:O191" si="291">ROUNDUP(((G128+G127)*0.5)*(C128-C127)/27,0)</f>
        <v>53</v>
      </c>
      <c r="P128" s="144">
        <f t="shared" ref="P128:P191" si="292">ROUNDUP(((H128+H127)*0.5)*(C128-C127)/27,0)</f>
        <v>53</v>
      </c>
      <c r="Q128" s="144">
        <f t="shared" ref="Q128:Q191" si="293">ROUNDUP(((I128+I127)*0.5)*(C128-C127)/9,0)</f>
        <v>314</v>
      </c>
      <c r="R128" s="144">
        <f t="shared" ref="R128:R191" si="294">ROUNDUP(((J128+J127)*0.5)*(C128-C127)/9,0)</f>
        <v>314</v>
      </c>
      <c r="S128" s="348">
        <f t="shared" ref="S128:S191" si="295">ROUNDUP(((K128+K127)*0.5)*(C128-C127)/9,0)</f>
        <v>453</v>
      </c>
      <c r="T128" s="154"/>
      <c r="U128" s="255">
        <f>L126+L127+L128</f>
        <v>4830</v>
      </c>
      <c r="V128" s="255">
        <f t="shared" ref="V128" si="296">M126+M127+M128</f>
        <v>1</v>
      </c>
      <c r="W128" s="255">
        <f t="shared" ref="W128" si="297">N126+N127+N128</f>
        <v>0</v>
      </c>
      <c r="X128" s="255">
        <f t="shared" ref="X128" si="298">O126+O127+O128</f>
        <v>75</v>
      </c>
      <c r="Y128" s="255">
        <f t="shared" ref="Y128" si="299">P126+P127+P128</f>
        <v>75</v>
      </c>
      <c r="Z128" s="255">
        <f t="shared" ref="Z128" si="300">Q126+Q127+Q128</f>
        <v>444</v>
      </c>
      <c r="AA128" s="255">
        <f t="shared" ref="AA128" si="301">R126+R127+R128</f>
        <v>444</v>
      </c>
      <c r="AB128" s="255">
        <f t="shared" ref="AB128" si="302">S126+S127+S128</f>
        <v>465</v>
      </c>
      <c r="AC128" s="153"/>
      <c r="AD128" s="158">
        <f t="shared" ref="AD128:AD191" si="303">C128</f>
        <v>1050</v>
      </c>
      <c r="AE128" s="144">
        <v>2.4281999999999999</v>
      </c>
      <c r="AF128" s="144">
        <v>1230.9012</v>
      </c>
      <c r="AG128" s="144"/>
      <c r="AH128" s="144"/>
      <c r="AI128" s="144"/>
      <c r="AJ128" s="144"/>
      <c r="AK128" s="144"/>
      <c r="AL128" s="144"/>
      <c r="AM128" s="144"/>
      <c r="AN128" s="144"/>
      <c r="AO128" s="144"/>
      <c r="AP128" s="144"/>
      <c r="AQ128" s="144"/>
      <c r="AR128" s="144"/>
      <c r="AS128" s="144"/>
      <c r="AT128" s="144"/>
      <c r="AU128" s="144"/>
      <c r="AV128" s="144">
        <v>0.17810000000000001</v>
      </c>
      <c r="AW128" s="144"/>
      <c r="AX128" s="144"/>
      <c r="AY128" s="144"/>
      <c r="AZ128" s="144"/>
      <c r="BA128" s="144"/>
      <c r="BB128" s="144"/>
      <c r="BC128" s="144"/>
      <c r="BD128" s="144"/>
      <c r="BE128" s="144"/>
      <c r="BF128" s="144"/>
      <c r="BG128" s="144"/>
      <c r="BH128" s="144"/>
      <c r="BI128" s="144"/>
      <c r="BJ128" s="144"/>
      <c r="BK128" s="144"/>
      <c r="BL128" s="144"/>
      <c r="BM128" s="144"/>
      <c r="BN128" s="144"/>
      <c r="BO128" s="144"/>
      <c r="BP128" s="144"/>
      <c r="BQ128" s="144"/>
      <c r="BR128" s="144"/>
      <c r="BS128" s="144"/>
      <c r="BT128" s="144"/>
      <c r="BU128" s="144"/>
      <c r="BV128" s="265">
        <f>137.2+4</f>
        <v>141.19999999999999</v>
      </c>
      <c r="BW128" s="1">
        <f t="shared" si="279"/>
        <v>1050</v>
      </c>
      <c r="BX128"/>
      <c r="BY128"/>
    </row>
    <row r="129" spans="1:107" s="2" customFormat="1" x14ac:dyDescent="0.25">
      <c r="A129" s="524"/>
      <c r="B129" s="125"/>
      <c r="C129" s="210">
        <v>1100</v>
      </c>
      <c r="D129" s="349">
        <f t="shared" si="284"/>
        <v>66.080500000000001</v>
      </c>
      <c r="E129" s="349">
        <f t="shared" si="285"/>
        <v>559.27260000000001</v>
      </c>
      <c r="F129" s="147">
        <f t="shared" si="286"/>
        <v>0</v>
      </c>
      <c r="G129" s="147">
        <f t="shared" si="272"/>
        <v>0</v>
      </c>
      <c r="H129" s="147">
        <f t="shared" si="273"/>
        <v>0</v>
      </c>
      <c r="I129" s="147">
        <f t="shared" si="274"/>
        <v>0</v>
      </c>
      <c r="J129" s="156">
        <f t="shared" si="275"/>
        <v>0</v>
      </c>
      <c r="K129" s="349">
        <f t="shared" si="287"/>
        <v>126.3</v>
      </c>
      <c r="L129" s="355">
        <f t="shared" si="288"/>
        <v>1204</v>
      </c>
      <c r="M129" s="349">
        <f t="shared" si="289"/>
        <v>519</v>
      </c>
      <c r="N129" s="147">
        <f t="shared" si="290"/>
        <v>0</v>
      </c>
      <c r="O129" s="147">
        <f t="shared" si="291"/>
        <v>0</v>
      </c>
      <c r="P129" s="147">
        <f t="shared" si="292"/>
        <v>0</v>
      </c>
      <c r="Q129" s="147">
        <f t="shared" si="293"/>
        <v>0</v>
      </c>
      <c r="R129" s="147">
        <f t="shared" si="294"/>
        <v>0</v>
      </c>
      <c r="S129" s="349">
        <f t="shared" si="295"/>
        <v>744</v>
      </c>
      <c r="T129" s="56"/>
      <c r="U129" s="151"/>
      <c r="V129" s="147"/>
      <c r="W129" s="147"/>
      <c r="X129" s="147"/>
      <c r="Y129" s="147"/>
      <c r="Z129" s="147"/>
      <c r="AA129" s="147"/>
      <c r="AB129" s="147"/>
      <c r="AC129" s="55"/>
      <c r="AD129" s="155">
        <f t="shared" si="303"/>
        <v>1100</v>
      </c>
      <c r="AE129" s="147">
        <v>66.080500000000001</v>
      </c>
      <c r="AF129" s="147"/>
      <c r="AG129" s="147"/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>
        <v>543.43820000000005</v>
      </c>
      <c r="AW129" s="147">
        <v>15.8344</v>
      </c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  <c r="BI129" s="147"/>
      <c r="BJ129" s="147"/>
      <c r="BK129" s="147"/>
      <c r="BL129" s="147"/>
      <c r="BM129" s="147"/>
      <c r="BN129" s="147"/>
      <c r="BO129" s="147"/>
      <c r="BP129" s="147"/>
      <c r="BQ129" s="147"/>
      <c r="BR129" s="147"/>
      <c r="BS129" s="147"/>
      <c r="BT129" s="147"/>
      <c r="BU129" s="147"/>
      <c r="BV129" s="266">
        <f>122.3+4</f>
        <v>126.3</v>
      </c>
      <c r="BW129" s="1">
        <f t="shared" si="279"/>
        <v>1100</v>
      </c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 s="41"/>
    </row>
    <row r="130" spans="1:107" s="2" customFormat="1" x14ac:dyDescent="0.25">
      <c r="A130" s="524"/>
      <c r="B130" s="125"/>
      <c r="C130" s="121">
        <v>1150</v>
      </c>
      <c r="D130" s="347">
        <f t="shared" si="284"/>
        <v>136.23349999999999</v>
      </c>
      <c r="E130" s="347">
        <f t="shared" si="285"/>
        <v>1169.9093</v>
      </c>
      <c r="F130" s="58">
        <f t="shared" si="286"/>
        <v>0</v>
      </c>
      <c r="G130" s="58">
        <f t="shared" si="272"/>
        <v>0</v>
      </c>
      <c r="H130" s="58">
        <f t="shared" si="273"/>
        <v>0</v>
      </c>
      <c r="I130" s="58">
        <f t="shared" si="274"/>
        <v>0</v>
      </c>
      <c r="J130" s="51">
        <f t="shared" si="275"/>
        <v>0</v>
      </c>
      <c r="K130" s="347">
        <f t="shared" si="287"/>
        <v>166.4</v>
      </c>
      <c r="L130" s="353">
        <f t="shared" si="288"/>
        <v>188</v>
      </c>
      <c r="M130" s="347">
        <f t="shared" si="289"/>
        <v>1602</v>
      </c>
      <c r="N130" s="58">
        <f t="shared" si="290"/>
        <v>0</v>
      </c>
      <c r="O130" s="58">
        <f t="shared" si="291"/>
        <v>0</v>
      </c>
      <c r="P130" s="58">
        <f t="shared" si="292"/>
        <v>0</v>
      </c>
      <c r="Q130" s="58">
        <f t="shared" si="293"/>
        <v>0</v>
      </c>
      <c r="R130" s="58">
        <f t="shared" si="294"/>
        <v>0</v>
      </c>
      <c r="S130" s="347">
        <f t="shared" si="295"/>
        <v>814</v>
      </c>
      <c r="T130" s="56"/>
      <c r="U130" s="105"/>
      <c r="V130" s="58"/>
      <c r="W130" s="58"/>
      <c r="X130" s="58"/>
      <c r="Y130" s="58"/>
      <c r="Z130" s="58"/>
      <c r="AA130" s="58"/>
      <c r="AB130" s="58"/>
      <c r="AC130" s="55"/>
      <c r="AD130" s="57">
        <f t="shared" si="303"/>
        <v>1150</v>
      </c>
      <c r="AE130" s="58">
        <v>12.026400000000001</v>
      </c>
      <c r="AF130" s="58">
        <v>124.2071</v>
      </c>
      <c r="AG130" s="58"/>
      <c r="AH130" s="58"/>
      <c r="AI130" s="58"/>
      <c r="AJ130" s="58"/>
      <c r="AK130" s="58"/>
      <c r="AL130" s="58"/>
      <c r="AM130" s="58"/>
      <c r="AN130" s="58"/>
      <c r="AO130" s="58"/>
      <c r="AP130" s="58"/>
      <c r="AQ130" s="58"/>
      <c r="AR130" s="58"/>
      <c r="AS130" s="58"/>
      <c r="AT130" s="58"/>
      <c r="AU130" s="58"/>
      <c r="AV130" s="58">
        <v>1146.3922</v>
      </c>
      <c r="AW130" s="58">
        <v>23.517099999999999</v>
      </c>
      <c r="AX130" s="58"/>
      <c r="AY130" s="58"/>
      <c r="AZ130" s="58"/>
      <c r="BA130" s="58"/>
      <c r="BB130" s="58"/>
      <c r="BC130" s="58"/>
      <c r="BD130" s="58"/>
      <c r="BE130" s="58"/>
      <c r="BF130" s="58"/>
      <c r="BG130" s="58"/>
      <c r="BH130" s="58"/>
      <c r="BI130" s="58"/>
      <c r="BJ130" s="58"/>
      <c r="BK130" s="58"/>
      <c r="BL130" s="58"/>
      <c r="BM130" s="58"/>
      <c r="BN130" s="58"/>
      <c r="BO130" s="58"/>
      <c r="BP130" s="58"/>
      <c r="BQ130" s="58"/>
      <c r="BR130" s="58"/>
      <c r="BS130" s="58"/>
      <c r="BT130" s="58"/>
      <c r="BU130" s="58"/>
      <c r="BV130" s="263">
        <f>162.4+4</f>
        <v>166.4</v>
      </c>
      <c r="BW130" s="1">
        <f t="shared" si="279"/>
        <v>1150</v>
      </c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 s="41"/>
    </row>
    <row r="131" spans="1:107" s="3" customFormat="1" ht="15.75" thickBot="1" x14ac:dyDescent="0.3">
      <c r="A131" s="524"/>
      <c r="B131" s="211"/>
      <c r="C131" s="334">
        <v>1200</v>
      </c>
      <c r="D131" s="348">
        <f>SUM(AF131:AU131)</f>
        <v>56.104300000000002</v>
      </c>
      <c r="E131" s="348">
        <f t="shared" si="285"/>
        <v>1318.5046</v>
      </c>
      <c r="F131" s="144">
        <f t="shared" si="286"/>
        <v>0</v>
      </c>
      <c r="G131" s="144">
        <f t="shared" si="272"/>
        <v>0</v>
      </c>
      <c r="H131" s="144">
        <f t="shared" si="273"/>
        <v>0</v>
      </c>
      <c r="I131" s="144">
        <f t="shared" si="274"/>
        <v>0</v>
      </c>
      <c r="J131" s="159">
        <f t="shared" si="275"/>
        <v>0</v>
      </c>
      <c r="K131" s="348">
        <f t="shared" si="287"/>
        <v>139.08420000000001</v>
      </c>
      <c r="L131" s="354">
        <f t="shared" si="288"/>
        <v>179</v>
      </c>
      <c r="M131" s="348">
        <f t="shared" si="289"/>
        <v>2305</v>
      </c>
      <c r="N131" s="144">
        <f t="shared" si="290"/>
        <v>0</v>
      </c>
      <c r="O131" s="144">
        <f t="shared" si="291"/>
        <v>0</v>
      </c>
      <c r="P131" s="144">
        <f t="shared" si="292"/>
        <v>0</v>
      </c>
      <c r="Q131" s="144">
        <f t="shared" si="293"/>
        <v>0</v>
      </c>
      <c r="R131" s="144">
        <f t="shared" si="294"/>
        <v>0</v>
      </c>
      <c r="S131" s="348">
        <f t="shared" si="295"/>
        <v>849</v>
      </c>
      <c r="T131" s="154"/>
      <c r="U131" s="255">
        <f>L129+L130+L131</f>
        <v>1571</v>
      </c>
      <c r="V131" s="255">
        <f t="shared" ref="V131" si="304">M129+M130+M131</f>
        <v>4426</v>
      </c>
      <c r="W131" s="255">
        <f t="shared" ref="W131" si="305">N129+N130+N131</f>
        <v>0</v>
      </c>
      <c r="X131" s="255">
        <f t="shared" ref="X131" si="306">O129+O130+O131</f>
        <v>0</v>
      </c>
      <c r="Y131" s="255">
        <f t="shared" ref="Y131" si="307">P129+P130+P131</f>
        <v>0</v>
      </c>
      <c r="Z131" s="255">
        <f t="shared" ref="Z131" si="308">Q129+Q130+Q131</f>
        <v>0</v>
      </c>
      <c r="AA131" s="255">
        <f t="shared" ref="AA131" si="309">R129+R130+R131</f>
        <v>0</v>
      </c>
      <c r="AB131" s="255">
        <f t="shared" ref="AB131" si="310">S129+S130+S131</f>
        <v>2407</v>
      </c>
      <c r="AC131" s="153"/>
      <c r="AD131" s="158">
        <f t="shared" si="303"/>
        <v>1200</v>
      </c>
      <c r="AE131" s="3">
        <v>75.966899999999995</v>
      </c>
      <c r="AF131" s="144">
        <v>56.104300000000002</v>
      </c>
      <c r="AG131" s="144"/>
      <c r="AH131" s="144"/>
      <c r="AI131" s="144"/>
      <c r="AJ131" s="144"/>
      <c r="AK131" s="144"/>
      <c r="AL131" s="144"/>
      <c r="AM131" s="144"/>
      <c r="AN131" s="144"/>
      <c r="AO131" s="144"/>
      <c r="AP131" s="144"/>
      <c r="AQ131" s="144"/>
      <c r="AR131" s="144"/>
      <c r="AS131" s="144"/>
      <c r="AT131" s="144"/>
      <c r="AU131" s="144"/>
      <c r="AV131" s="144">
        <v>1295.777</v>
      </c>
      <c r="AW131" s="144">
        <v>22.727599999999999</v>
      </c>
      <c r="AX131" s="144"/>
      <c r="AY131" s="144"/>
      <c r="AZ131" s="144"/>
      <c r="BA131" s="144"/>
      <c r="BB131" s="144"/>
      <c r="BC131" s="144"/>
      <c r="BD131" s="144"/>
      <c r="BE131" s="144"/>
      <c r="BF131" s="144"/>
      <c r="BG131" s="144"/>
      <c r="BH131" s="144"/>
      <c r="BI131" s="144"/>
      <c r="BJ131" s="144"/>
      <c r="BK131" s="144"/>
      <c r="BL131" s="144"/>
      <c r="BM131" s="144"/>
      <c r="BN131" s="144"/>
      <c r="BO131" s="144"/>
      <c r="BP131" s="144"/>
      <c r="BQ131" s="144"/>
      <c r="BR131" s="144"/>
      <c r="BS131" s="144"/>
      <c r="BT131" s="144"/>
      <c r="BU131" s="144"/>
      <c r="BV131" s="265">
        <f>135.0842+4</f>
        <v>139.08420000000001</v>
      </c>
      <c r="BW131" s="1">
        <f t="shared" si="279"/>
        <v>1200</v>
      </c>
      <c r="BX131"/>
      <c r="BY131"/>
    </row>
    <row r="132" spans="1:107" x14ac:dyDescent="0.25">
      <c r="A132" s="524"/>
      <c r="B132" s="125"/>
      <c r="C132" s="335">
        <v>1250</v>
      </c>
      <c r="D132" s="349">
        <f t="shared" si="284"/>
        <v>463.21559999999999</v>
      </c>
      <c r="E132" s="349">
        <f t="shared" si="285"/>
        <v>1503.1394</v>
      </c>
      <c r="F132" s="147">
        <f t="shared" si="286"/>
        <v>0</v>
      </c>
      <c r="G132" s="147">
        <f t="shared" si="272"/>
        <v>0</v>
      </c>
      <c r="H132" s="147">
        <f t="shared" si="273"/>
        <v>0</v>
      </c>
      <c r="I132" s="147">
        <f t="shared" si="274"/>
        <v>0</v>
      </c>
      <c r="J132" s="156">
        <f t="shared" si="275"/>
        <v>0</v>
      </c>
      <c r="K132" s="349">
        <f t="shared" si="287"/>
        <v>226.82749999999999</v>
      </c>
      <c r="L132" s="355">
        <f t="shared" si="288"/>
        <v>481</v>
      </c>
      <c r="M132" s="349">
        <f t="shared" si="289"/>
        <v>2613</v>
      </c>
      <c r="N132" s="147">
        <f t="shared" si="290"/>
        <v>0</v>
      </c>
      <c r="O132" s="147">
        <f t="shared" si="291"/>
        <v>0</v>
      </c>
      <c r="P132" s="147">
        <f t="shared" si="292"/>
        <v>0</v>
      </c>
      <c r="Q132" s="147">
        <f t="shared" si="293"/>
        <v>0</v>
      </c>
      <c r="R132" s="147">
        <f t="shared" si="294"/>
        <v>0</v>
      </c>
      <c r="S132" s="349">
        <f t="shared" si="295"/>
        <v>1017</v>
      </c>
      <c r="T132" s="56"/>
      <c r="U132" s="151"/>
      <c r="V132" s="147"/>
      <c r="W132" s="147"/>
      <c r="X132" s="147"/>
      <c r="Y132" s="147"/>
      <c r="Z132" s="147"/>
      <c r="AA132" s="147"/>
      <c r="AB132" s="147"/>
      <c r="AC132" s="55"/>
      <c r="AD132" s="155">
        <f t="shared" si="303"/>
        <v>1250</v>
      </c>
      <c r="AE132" s="147">
        <v>463.21559999999999</v>
      </c>
      <c r="AF132" s="147"/>
      <c r="AG132" s="147"/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>
        <v>1479.8657000000001</v>
      </c>
      <c r="AW132" s="147"/>
      <c r="AX132" s="147">
        <v>23.273700000000002</v>
      </c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  <c r="BI132" s="147"/>
      <c r="BJ132" s="147"/>
      <c r="BK132" s="147"/>
      <c r="BL132" s="147"/>
      <c r="BM132" s="147"/>
      <c r="BN132" s="147"/>
      <c r="BO132" s="147"/>
      <c r="BP132" s="147"/>
      <c r="BQ132" s="147"/>
      <c r="BR132" s="147"/>
      <c r="BS132" s="147"/>
      <c r="BT132" s="147"/>
      <c r="BU132" s="147"/>
      <c r="BV132" s="266">
        <f>222.8275+4</f>
        <v>226.82749999999999</v>
      </c>
      <c r="BW132" s="1">
        <f t="shared" si="279"/>
        <v>1250</v>
      </c>
    </row>
    <row r="133" spans="1:107" x14ac:dyDescent="0.25">
      <c r="A133" s="524"/>
      <c r="C133" s="336">
        <v>1300</v>
      </c>
      <c r="D133" s="347">
        <f t="shared" si="284"/>
        <v>532.80529999999999</v>
      </c>
      <c r="E133" s="347">
        <f t="shared" si="285"/>
        <v>1449.1292999999998</v>
      </c>
      <c r="F133" s="58">
        <f t="shared" si="286"/>
        <v>0</v>
      </c>
      <c r="G133" s="58">
        <f t="shared" si="272"/>
        <v>0</v>
      </c>
      <c r="H133" s="58">
        <f t="shared" si="273"/>
        <v>0</v>
      </c>
      <c r="I133" s="58">
        <f t="shared" si="274"/>
        <v>0</v>
      </c>
      <c r="J133" s="51">
        <f t="shared" si="275"/>
        <v>0</v>
      </c>
      <c r="K133" s="347">
        <f t="shared" si="287"/>
        <v>157.34280000000001</v>
      </c>
      <c r="L133" s="353">
        <f t="shared" si="288"/>
        <v>923</v>
      </c>
      <c r="M133" s="347">
        <f t="shared" si="289"/>
        <v>2734</v>
      </c>
      <c r="N133" s="58">
        <f t="shared" si="290"/>
        <v>0</v>
      </c>
      <c r="O133" s="58">
        <f t="shared" si="291"/>
        <v>0</v>
      </c>
      <c r="P133" s="58">
        <f t="shared" si="292"/>
        <v>0</v>
      </c>
      <c r="Q133" s="58">
        <f t="shared" si="293"/>
        <v>0</v>
      </c>
      <c r="R133" s="58">
        <f t="shared" si="294"/>
        <v>0</v>
      </c>
      <c r="S133" s="347">
        <f t="shared" si="295"/>
        <v>1068</v>
      </c>
      <c r="T133" s="56"/>
      <c r="U133" s="105"/>
      <c r="V133" s="58"/>
      <c r="W133" s="58"/>
      <c r="X133" s="58"/>
      <c r="Y133" s="58"/>
      <c r="Z133" s="58"/>
      <c r="AA133" s="58"/>
      <c r="AB133" s="58"/>
      <c r="AC133" s="55"/>
      <c r="AD133" s="57">
        <f t="shared" si="303"/>
        <v>1300</v>
      </c>
      <c r="AE133" s="58">
        <v>263.19569999999999</v>
      </c>
      <c r="AF133" s="119">
        <v>105.5189</v>
      </c>
      <c r="AG133" s="119">
        <v>164.0907</v>
      </c>
      <c r="AH133" s="58"/>
      <c r="AI133" s="58"/>
      <c r="AJ133" s="58"/>
      <c r="AK133" s="58"/>
      <c r="AL133" s="58"/>
      <c r="AM133" s="58"/>
      <c r="AN133" s="58"/>
      <c r="AO133" s="58"/>
      <c r="AP133" s="58"/>
      <c r="AQ133" s="58"/>
      <c r="AR133" s="58"/>
      <c r="AS133" s="58"/>
      <c r="AT133" s="58"/>
      <c r="AU133" s="58"/>
      <c r="AV133" s="119">
        <v>105.5189</v>
      </c>
      <c r="AW133" s="119">
        <v>164.0907</v>
      </c>
      <c r="AX133" s="58">
        <v>1155.8536999999999</v>
      </c>
      <c r="AY133" s="58">
        <v>23.666</v>
      </c>
      <c r="AZ133" s="58"/>
      <c r="BA133" s="58"/>
      <c r="BB133" s="58"/>
      <c r="BC133" s="58"/>
      <c r="BD133" s="58"/>
      <c r="BE133" s="58"/>
      <c r="BF133" s="58"/>
      <c r="BG133" s="58"/>
      <c r="BH133" s="58"/>
      <c r="BI133" s="58"/>
      <c r="BJ133" s="58"/>
      <c r="BK133" s="58"/>
      <c r="BL133" s="58"/>
      <c r="BM133" s="58"/>
      <c r="BN133" s="58"/>
      <c r="BO133" s="58"/>
      <c r="BP133" s="58"/>
      <c r="BQ133" s="58"/>
      <c r="BR133" s="58"/>
      <c r="BS133" s="58"/>
      <c r="BT133" s="58"/>
      <c r="BU133" s="58"/>
      <c r="BV133" s="263">
        <f>153.3428+4</f>
        <v>157.34280000000001</v>
      </c>
      <c r="BW133" s="1">
        <f t="shared" si="279"/>
        <v>1300</v>
      </c>
    </row>
    <row r="134" spans="1:107" s="3" customFormat="1" ht="15.75" thickBot="1" x14ac:dyDescent="0.3">
      <c r="A134" s="524"/>
      <c r="C134" s="334">
        <v>1350</v>
      </c>
      <c r="D134" s="348">
        <f t="shared" si="284"/>
        <v>712.60739999999998</v>
      </c>
      <c r="E134" s="348">
        <f>SUM(AV134:BD134)</f>
        <v>867.94039999999995</v>
      </c>
      <c r="F134" s="144">
        <f t="shared" si="286"/>
        <v>0</v>
      </c>
      <c r="G134" s="144">
        <f t="shared" si="272"/>
        <v>0</v>
      </c>
      <c r="H134" s="144">
        <f t="shared" si="273"/>
        <v>0</v>
      </c>
      <c r="I134" s="144">
        <f t="shared" si="274"/>
        <v>0</v>
      </c>
      <c r="J134" s="159">
        <f t="shared" si="275"/>
        <v>0</v>
      </c>
      <c r="K134" s="348">
        <f t="shared" si="287"/>
        <v>162.53960000000001</v>
      </c>
      <c r="L134" s="354">
        <f t="shared" si="288"/>
        <v>1154</v>
      </c>
      <c r="M134" s="348">
        <f t="shared" si="289"/>
        <v>2146</v>
      </c>
      <c r="N134" s="144">
        <f t="shared" si="290"/>
        <v>0</v>
      </c>
      <c r="O134" s="144">
        <f t="shared" si="291"/>
        <v>0</v>
      </c>
      <c r="P134" s="144">
        <f t="shared" si="292"/>
        <v>0</v>
      </c>
      <c r="Q134" s="144">
        <f t="shared" si="293"/>
        <v>0</v>
      </c>
      <c r="R134" s="144">
        <f t="shared" si="294"/>
        <v>0</v>
      </c>
      <c r="S134" s="348">
        <f t="shared" si="295"/>
        <v>889</v>
      </c>
      <c r="T134" s="154"/>
      <c r="U134" s="255">
        <f>L132+L133+L134</f>
        <v>2558</v>
      </c>
      <c r="V134" s="255">
        <f t="shared" ref="V134" si="311">M132+M133+M134</f>
        <v>7493</v>
      </c>
      <c r="W134" s="255">
        <f t="shared" ref="W134" si="312">N132+N133+N134</f>
        <v>0</v>
      </c>
      <c r="X134" s="255">
        <f t="shared" ref="X134" si="313">O132+O133+O134</f>
        <v>0</v>
      </c>
      <c r="Y134" s="255">
        <f t="shared" ref="Y134" si="314">P132+P133+P134</f>
        <v>0</v>
      </c>
      <c r="Z134" s="255">
        <f t="shared" ref="Z134" si="315">Q132+Q133+Q134</f>
        <v>0</v>
      </c>
      <c r="AA134" s="255">
        <f t="shared" ref="AA134" si="316">R132+R133+R134</f>
        <v>0</v>
      </c>
      <c r="AB134" s="255">
        <f t="shared" ref="AB134" si="317">S132+S133+S134</f>
        <v>2974</v>
      </c>
      <c r="AC134" s="153"/>
      <c r="AD134" s="158">
        <f t="shared" si="303"/>
        <v>1350</v>
      </c>
      <c r="AE134" s="144">
        <v>412.3322</v>
      </c>
      <c r="AF134" s="247">
        <v>182.11080000000001</v>
      </c>
      <c r="AG134" s="247">
        <v>118.1644</v>
      </c>
      <c r="AH134" s="144"/>
      <c r="AI134" s="144"/>
      <c r="AJ134" s="144"/>
      <c r="AK134" s="144"/>
      <c r="AL134" s="144"/>
      <c r="AM134" s="144"/>
      <c r="AN134" s="144"/>
      <c r="AO134" s="144"/>
      <c r="AP134" s="144"/>
      <c r="AQ134" s="144"/>
      <c r="AR134" s="144"/>
      <c r="AS134" s="144"/>
      <c r="AT134" s="144"/>
      <c r="AU134" s="144"/>
      <c r="AV134" s="247">
        <v>182.11080000000001</v>
      </c>
      <c r="AW134" s="247">
        <v>118.1644</v>
      </c>
      <c r="AX134" s="144">
        <v>543.32989999999995</v>
      </c>
      <c r="AY134" s="144"/>
      <c r="AZ134" s="144">
        <v>24.3353</v>
      </c>
      <c r="BA134" s="144"/>
      <c r="BB134" s="144"/>
      <c r="BC134" s="144"/>
      <c r="BD134" s="144"/>
      <c r="BE134" s="144"/>
      <c r="BF134" s="144"/>
      <c r="BG134" s="144"/>
      <c r="BH134" s="144"/>
      <c r="BI134" s="144"/>
      <c r="BJ134" s="144"/>
      <c r="BK134" s="144"/>
      <c r="BL134" s="144"/>
      <c r="BM134" s="144"/>
      <c r="BN134" s="144"/>
      <c r="BO134" s="144"/>
      <c r="BP134" s="144"/>
      <c r="BQ134" s="144"/>
      <c r="BR134" s="144"/>
      <c r="BS134" s="144"/>
      <c r="BT134" s="144"/>
      <c r="BU134" s="144"/>
      <c r="BV134" s="265">
        <f>158.5396+4</f>
        <v>162.53960000000001</v>
      </c>
      <c r="BW134" s="1">
        <f t="shared" si="279"/>
        <v>1350</v>
      </c>
      <c r="BX134"/>
      <c r="BY134"/>
    </row>
    <row r="135" spans="1:107" x14ac:dyDescent="0.25">
      <c r="A135" s="524"/>
      <c r="C135" s="335">
        <v>1400</v>
      </c>
      <c r="D135" s="349">
        <f t="shared" si="284"/>
        <v>1891.2451999999998</v>
      </c>
      <c r="E135" s="349">
        <f t="shared" si="285"/>
        <v>511.96080000000001</v>
      </c>
      <c r="F135" s="147">
        <f t="shared" si="286"/>
        <v>0</v>
      </c>
      <c r="G135" s="147">
        <f t="shared" si="272"/>
        <v>0</v>
      </c>
      <c r="H135" s="147">
        <f t="shared" si="273"/>
        <v>0</v>
      </c>
      <c r="I135" s="147">
        <f t="shared" si="274"/>
        <v>0</v>
      </c>
      <c r="J135" s="156">
        <f t="shared" si="275"/>
        <v>0</v>
      </c>
      <c r="K135" s="349">
        <f t="shared" si="287"/>
        <v>253.00110000000001</v>
      </c>
      <c r="L135" s="355">
        <f t="shared" si="288"/>
        <v>2411</v>
      </c>
      <c r="M135" s="349">
        <f t="shared" si="289"/>
        <v>1278</v>
      </c>
      <c r="N135" s="147">
        <f t="shared" si="290"/>
        <v>0</v>
      </c>
      <c r="O135" s="147">
        <f t="shared" si="291"/>
        <v>0</v>
      </c>
      <c r="P135" s="147">
        <f t="shared" si="292"/>
        <v>0</v>
      </c>
      <c r="Q135" s="147">
        <f t="shared" si="293"/>
        <v>0</v>
      </c>
      <c r="R135" s="147">
        <f t="shared" si="294"/>
        <v>0</v>
      </c>
      <c r="S135" s="349">
        <f t="shared" si="295"/>
        <v>1155</v>
      </c>
      <c r="T135" s="56"/>
      <c r="U135" s="151"/>
      <c r="V135" s="147"/>
      <c r="W135" s="147"/>
      <c r="X135" s="147"/>
      <c r="Y135" s="147"/>
      <c r="Z135" s="147"/>
      <c r="AA135" s="147"/>
      <c r="AB135" s="147"/>
      <c r="AC135" s="55"/>
      <c r="AD135" s="155">
        <f t="shared" si="303"/>
        <v>1400</v>
      </c>
      <c r="AE135" s="147">
        <v>1624.9885999999999</v>
      </c>
      <c r="AF135" s="246">
        <v>94.172399999999996</v>
      </c>
      <c r="AG135" s="246">
        <v>172.08420000000001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246">
        <v>94.172399999999996</v>
      </c>
      <c r="AW135" s="246">
        <v>172.08420000000001</v>
      </c>
      <c r="AX135" s="147">
        <v>221.197</v>
      </c>
      <c r="AY135" s="147">
        <v>24.507200000000001</v>
      </c>
      <c r="AZ135" s="147"/>
      <c r="BA135" s="147"/>
      <c r="BB135" s="147"/>
      <c r="BC135" s="147"/>
      <c r="BD135" s="147"/>
      <c r="BE135" s="147"/>
      <c r="BF135" s="147"/>
      <c r="BG135" s="147"/>
      <c r="BH135" s="147"/>
      <c r="BI135" s="147"/>
      <c r="BJ135" s="147"/>
      <c r="BK135" s="147"/>
      <c r="BL135" s="147"/>
      <c r="BM135" s="147"/>
      <c r="BN135" s="147"/>
      <c r="BO135" s="147"/>
      <c r="BP135" s="147"/>
      <c r="BQ135" s="147"/>
      <c r="BR135" s="147"/>
      <c r="BS135" s="147"/>
      <c r="BT135" s="147"/>
      <c r="BU135" s="147"/>
      <c r="BV135" s="266">
        <f>249.0011+4</f>
        <v>253.00110000000001</v>
      </c>
      <c r="BW135" s="1">
        <f t="shared" si="279"/>
        <v>1400</v>
      </c>
    </row>
    <row r="136" spans="1:107" s="3" customFormat="1" ht="15.75" thickBot="1" x14ac:dyDescent="0.3">
      <c r="A136" s="524"/>
      <c r="C136" s="334">
        <v>1450</v>
      </c>
      <c r="D136" s="348">
        <f t="shared" si="284"/>
        <v>2450.9372000000003</v>
      </c>
      <c r="E136" s="348">
        <f t="shared" si="285"/>
        <v>563.05650000000003</v>
      </c>
      <c r="F136" s="144">
        <f t="shared" si="286"/>
        <v>0</v>
      </c>
      <c r="G136" s="144">
        <f t="shared" si="272"/>
        <v>0</v>
      </c>
      <c r="H136" s="144">
        <f t="shared" si="273"/>
        <v>0</v>
      </c>
      <c r="I136" s="144">
        <f t="shared" si="274"/>
        <v>0</v>
      </c>
      <c r="J136" s="159">
        <f t="shared" si="275"/>
        <v>0</v>
      </c>
      <c r="K136" s="348">
        <f t="shared" si="287"/>
        <v>356.75700000000001</v>
      </c>
      <c r="L136" s="354">
        <f t="shared" si="288"/>
        <v>4021</v>
      </c>
      <c r="M136" s="348">
        <f t="shared" si="289"/>
        <v>996</v>
      </c>
      <c r="N136" s="144">
        <f t="shared" si="290"/>
        <v>0</v>
      </c>
      <c r="O136" s="144">
        <f t="shared" si="291"/>
        <v>0</v>
      </c>
      <c r="P136" s="144">
        <f t="shared" si="292"/>
        <v>0</v>
      </c>
      <c r="Q136" s="144">
        <f t="shared" si="293"/>
        <v>0</v>
      </c>
      <c r="R136" s="144">
        <f t="shared" si="294"/>
        <v>0</v>
      </c>
      <c r="S136" s="348">
        <f t="shared" si="295"/>
        <v>1694</v>
      </c>
      <c r="T136" s="154"/>
      <c r="U136" s="255">
        <f>L135+L136</f>
        <v>6432</v>
      </c>
      <c r="V136" s="255">
        <f t="shared" ref="V136" si="318">M135+M136</f>
        <v>2274</v>
      </c>
      <c r="W136" s="255">
        <f t="shared" ref="W136" si="319">N135+N136</f>
        <v>0</v>
      </c>
      <c r="X136" s="255">
        <f t="shared" ref="X136" si="320">O135+O136</f>
        <v>0</v>
      </c>
      <c r="Y136" s="255">
        <f t="shared" ref="Y136" si="321">P135+P136</f>
        <v>0</v>
      </c>
      <c r="Z136" s="255">
        <f t="shared" ref="Z136" si="322">Q135+Q136</f>
        <v>0</v>
      </c>
      <c r="AA136" s="255">
        <f t="shared" ref="AA136" si="323">R135+R136</f>
        <v>0</v>
      </c>
      <c r="AB136" s="255">
        <f t="shared" ref="AB136" si="324">S135+S136</f>
        <v>2849</v>
      </c>
      <c r="AC136" s="153"/>
      <c r="AD136" s="158">
        <f t="shared" si="303"/>
        <v>1450</v>
      </c>
      <c r="AE136" s="144">
        <v>2190.0542</v>
      </c>
      <c r="AF136" s="247">
        <v>83.192999999999998</v>
      </c>
      <c r="AG136" s="247">
        <v>177.69</v>
      </c>
      <c r="AH136" s="144"/>
      <c r="AI136" s="144"/>
      <c r="AJ136" s="144"/>
      <c r="AK136" s="144"/>
      <c r="AL136" s="144"/>
      <c r="AM136" s="144"/>
      <c r="AN136" s="144"/>
      <c r="AO136" s="144"/>
      <c r="AP136" s="144"/>
      <c r="AQ136" s="144"/>
      <c r="AR136" s="144"/>
      <c r="AS136" s="144"/>
      <c r="AT136" s="144"/>
      <c r="AU136" s="144"/>
      <c r="AV136" s="247">
        <v>83.192999999999998</v>
      </c>
      <c r="AW136" s="247">
        <v>177.69</v>
      </c>
      <c r="AX136" s="144">
        <v>276.18990000000002</v>
      </c>
      <c r="AY136" s="144">
        <v>25.983599999999999</v>
      </c>
      <c r="AZ136" s="144"/>
      <c r="BA136" s="144"/>
      <c r="BB136" s="144"/>
      <c r="BC136" s="144"/>
      <c r="BD136" s="144"/>
      <c r="BE136" s="144"/>
      <c r="BF136" s="144"/>
      <c r="BG136" s="144"/>
      <c r="BH136" s="144"/>
      <c r="BI136" s="144"/>
      <c r="BJ136" s="144"/>
      <c r="BK136" s="144"/>
      <c r="BL136" s="144"/>
      <c r="BM136" s="144"/>
      <c r="BN136" s="144"/>
      <c r="BO136" s="144"/>
      <c r="BP136" s="144"/>
      <c r="BQ136" s="144"/>
      <c r="BR136" s="144"/>
      <c r="BS136" s="144"/>
      <c r="BT136" s="144"/>
      <c r="BU136" s="144"/>
      <c r="BV136" s="265">
        <f>352.757+4</f>
        <v>356.75700000000001</v>
      </c>
      <c r="BW136" s="1">
        <f t="shared" si="279"/>
        <v>1450</v>
      </c>
      <c r="BX136"/>
      <c r="BY136"/>
    </row>
    <row r="137" spans="1:107" x14ac:dyDescent="0.25">
      <c r="A137" s="524"/>
      <c r="C137" s="210">
        <v>1500</v>
      </c>
      <c r="D137" s="349">
        <f t="shared" si="284"/>
        <v>2726.8349000000003</v>
      </c>
      <c r="E137" s="349">
        <f t="shared" si="285"/>
        <v>740.09670000000006</v>
      </c>
      <c r="F137" s="147">
        <f t="shared" si="286"/>
        <v>0</v>
      </c>
      <c r="G137" s="147">
        <f t="shared" si="272"/>
        <v>0</v>
      </c>
      <c r="H137" s="147">
        <f t="shared" si="273"/>
        <v>0</v>
      </c>
      <c r="I137" s="147">
        <f t="shared" si="274"/>
        <v>0</v>
      </c>
      <c r="J137" s="156">
        <f t="shared" si="275"/>
        <v>0</v>
      </c>
      <c r="K137" s="349">
        <f t="shared" si="287"/>
        <v>526.1</v>
      </c>
      <c r="L137" s="355">
        <f t="shared" si="288"/>
        <v>4795</v>
      </c>
      <c r="M137" s="349">
        <f t="shared" si="289"/>
        <v>1207</v>
      </c>
      <c r="N137" s="147">
        <f t="shared" si="290"/>
        <v>0</v>
      </c>
      <c r="O137" s="147">
        <f t="shared" si="291"/>
        <v>0</v>
      </c>
      <c r="P137" s="147">
        <f t="shared" si="292"/>
        <v>0</v>
      </c>
      <c r="Q137" s="147">
        <f t="shared" si="293"/>
        <v>0</v>
      </c>
      <c r="R137" s="147">
        <f t="shared" si="294"/>
        <v>0</v>
      </c>
      <c r="S137" s="349">
        <f t="shared" si="295"/>
        <v>2453</v>
      </c>
      <c r="T137" s="56"/>
      <c r="U137" s="151"/>
      <c r="V137" s="147"/>
      <c r="W137" s="147"/>
      <c r="X137" s="147"/>
      <c r="Y137" s="147"/>
      <c r="Z137" s="147"/>
      <c r="AA137" s="147"/>
      <c r="AB137" s="147"/>
      <c r="AC137" s="55"/>
      <c r="AD137" s="155">
        <f t="shared" si="303"/>
        <v>1500</v>
      </c>
      <c r="AE137" s="147">
        <v>2479.1462000000001</v>
      </c>
      <c r="AF137" s="246">
        <v>247.68870000000001</v>
      </c>
      <c r="AG137" s="147"/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246">
        <v>247.68870000000001</v>
      </c>
      <c r="AW137" s="147">
        <v>492.40800000000002</v>
      </c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  <c r="BI137" s="147"/>
      <c r="BJ137" s="147"/>
      <c r="BK137" s="147"/>
      <c r="BL137" s="147"/>
      <c r="BM137" s="147"/>
      <c r="BN137" s="147"/>
      <c r="BO137" s="147"/>
      <c r="BP137" s="147"/>
      <c r="BQ137" s="147"/>
      <c r="BR137" s="147"/>
      <c r="BS137" s="147"/>
      <c r="BT137" s="147"/>
      <c r="BU137" s="147"/>
      <c r="BV137" s="266">
        <f>522.1+4</f>
        <v>526.1</v>
      </c>
      <c r="BW137" s="1">
        <f t="shared" si="279"/>
        <v>1500</v>
      </c>
    </row>
    <row r="138" spans="1:107" s="3" customFormat="1" ht="15.75" thickBot="1" x14ac:dyDescent="0.3">
      <c r="A138" s="524"/>
      <c r="C138" s="212">
        <v>1550</v>
      </c>
      <c r="D138" s="348">
        <f t="shared" si="284"/>
        <v>2008.4398999999999</v>
      </c>
      <c r="E138" s="348">
        <f t="shared" si="285"/>
        <v>860.18100000000004</v>
      </c>
      <c r="F138" s="144">
        <f t="shared" si="286"/>
        <v>0</v>
      </c>
      <c r="G138" s="144">
        <f t="shared" si="272"/>
        <v>0</v>
      </c>
      <c r="H138" s="144">
        <f t="shared" si="273"/>
        <v>0</v>
      </c>
      <c r="I138" s="144">
        <f t="shared" si="274"/>
        <v>0</v>
      </c>
      <c r="J138" s="159">
        <f t="shared" si="275"/>
        <v>0</v>
      </c>
      <c r="K138" s="348">
        <f t="shared" si="287"/>
        <v>487.9</v>
      </c>
      <c r="L138" s="354">
        <f t="shared" si="288"/>
        <v>4385</v>
      </c>
      <c r="M138" s="348">
        <f t="shared" si="289"/>
        <v>1482</v>
      </c>
      <c r="N138" s="144">
        <f t="shared" si="290"/>
        <v>0</v>
      </c>
      <c r="O138" s="144">
        <f t="shared" si="291"/>
        <v>0</v>
      </c>
      <c r="P138" s="144">
        <f t="shared" si="292"/>
        <v>0</v>
      </c>
      <c r="Q138" s="144">
        <f t="shared" si="293"/>
        <v>0</v>
      </c>
      <c r="R138" s="144">
        <f t="shared" si="294"/>
        <v>0</v>
      </c>
      <c r="S138" s="348">
        <f t="shared" si="295"/>
        <v>2817</v>
      </c>
      <c r="T138" s="154"/>
      <c r="U138" s="255">
        <f>L137+L138</f>
        <v>9180</v>
      </c>
      <c r="V138" s="255">
        <f t="shared" ref="V138" si="325">M137+M138</f>
        <v>2689</v>
      </c>
      <c r="W138" s="255">
        <f t="shared" ref="W138" si="326">N137+N138</f>
        <v>0</v>
      </c>
      <c r="X138" s="255">
        <f t="shared" ref="X138" si="327">O137+O138</f>
        <v>0</v>
      </c>
      <c r="Y138" s="255">
        <f t="shared" ref="Y138" si="328">P137+P138</f>
        <v>0</v>
      </c>
      <c r="Z138" s="255">
        <f t="shared" ref="Z138" si="329">Q137+Q138</f>
        <v>0</v>
      </c>
      <c r="AA138" s="255">
        <f t="shared" ref="AA138" si="330">R137+R138</f>
        <v>0</v>
      </c>
      <c r="AB138" s="255">
        <f t="shared" ref="AB138" si="331">S137+S138</f>
        <v>5270</v>
      </c>
      <c r="AC138" s="153"/>
      <c r="AD138" s="158">
        <f t="shared" si="303"/>
        <v>1550</v>
      </c>
      <c r="AE138" s="144">
        <v>1876.6525999999999</v>
      </c>
      <c r="AF138" s="247">
        <v>74.1631</v>
      </c>
      <c r="AG138" s="247">
        <v>57.624200000000002</v>
      </c>
      <c r="AH138" s="144"/>
      <c r="AI138" s="144"/>
      <c r="AJ138" s="144"/>
      <c r="AK138" s="144"/>
      <c r="AL138" s="144"/>
      <c r="AM138" s="144"/>
      <c r="AN138" s="144"/>
      <c r="AO138" s="144"/>
      <c r="AP138" s="144"/>
      <c r="AQ138" s="144"/>
      <c r="AR138" s="144"/>
      <c r="AS138" s="144"/>
      <c r="AT138" s="144"/>
      <c r="AU138" s="144"/>
      <c r="AV138" s="247">
        <v>74.1631</v>
      </c>
      <c r="AW138" s="247">
        <v>57.624200000000002</v>
      </c>
      <c r="AX138" s="144">
        <v>728.39369999999997</v>
      </c>
      <c r="AY138" s="144"/>
      <c r="AZ138" s="144"/>
      <c r="BA138" s="144"/>
      <c r="BB138" s="144"/>
      <c r="BC138" s="144"/>
      <c r="BD138" s="144"/>
      <c r="BE138" s="144"/>
      <c r="BF138" s="144"/>
      <c r="BG138" s="144"/>
      <c r="BH138" s="144"/>
      <c r="BI138" s="144"/>
      <c r="BJ138" s="144"/>
      <c r="BK138" s="144"/>
      <c r="BL138" s="144"/>
      <c r="BM138" s="144"/>
      <c r="BN138" s="144"/>
      <c r="BO138" s="144"/>
      <c r="BP138" s="144"/>
      <c r="BQ138" s="144"/>
      <c r="BR138" s="144"/>
      <c r="BS138" s="144"/>
      <c r="BT138" s="144"/>
      <c r="BU138" s="144"/>
      <c r="BV138" s="265">
        <f>483.9+4</f>
        <v>487.9</v>
      </c>
      <c r="BW138" s="1">
        <f t="shared" si="279"/>
        <v>1550</v>
      </c>
      <c r="BX138"/>
      <c r="BY138"/>
    </row>
    <row r="139" spans="1:107" x14ac:dyDescent="0.25">
      <c r="A139" s="524"/>
      <c r="C139" s="210">
        <v>1600</v>
      </c>
      <c r="D139" s="349">
        <f t="shared" si="284"/>
        <v>2644.6215999999999</v>
      </c>
      <c r="E139" s="349">
        <f t="shared" si="285"/>
        <v>850.17930000000001</v>
      </c>
      <c r="F139" s="147">
        <f t="shared" si="286"/>
        <v>0</v>
      </c>
      <c r="G139" s="147">
        <f t="shared" si="272"/>
        <v>0</v>
      </c>
      <c r="H139" s="147">
        <f t="shared" si="273"/>
        <v>0</v>
      </c>
      <c r="I139" s="147">
        <f t="shared" si="274"/>
        <v>0</v>
      </c>
      <c r="J139" s="156">
        <f t="shared" si="275"/>
        <v>0</v>
      </c>
      <c r="K139" s="349">
        <f t="shared" si="287"/>
        <v>433.5</v>
      </c>
      <c r="L139" s="355">
        <f t="shared" si="288"/>
        <v>4309</v>
      </c>
      <c r="M139" s="349">
        <f t="shared" si="289"/>
        <v>1584</v>
      </c>
      <c r="N139" s="147">
        <f t="shared" si="290"/>
        <v>0</v>
      </c>
      <c r="O139" s="147">
        <f t="shared" si="291"/>
        <v>0</v>
      </c>
      <c r="P139" s="147">
        <f t="shared" si="292"/>
        <v>0</v>
      </c>
      <c r="Q139" s="147">
        <f t="shared" si="293"/>
        <v>0</v>
      </c>
      <c r="R139" s="147">
        <f t="shared" si="294"/>
        <v>0</v>
      </c>
      <c r="S139" s="349">
        <f t="shared" si="295"/>
        <v>2560</v>
      </c>
      <c r="T139" s="56"/>
      <c r="U139" s="151"/>
      <c r="V139" s="147"/>
      <c r="W139" s="147"/>
      <c r="X139" s="147"/>
      <c r="Y139" s="147"/>
      <c r="Z139" s="147"/>
      <c r="AA139" s="147"/>
      <c r="AB139" s="147"/>
      <c r="AC139" s="55"/>
      <c r="AD139" s="155">
        <f t="shared" si="303"/>
        <v>1600</v>
      </c>
      <c r="AE139" s="147">
        <v>2515.3841000000002</v>
      </c>
      <c r="AF139" s="246">
        <v>49.010300000000001</v>
      </c>
      <c r="AG139" s="246">
        <v>80.227199999999996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246">
        <v>49.010300000000001</v>
      </c>
      <c r="AW139" s="246">
        <v>80.227199999999996</v>
      </c>
      <c r="AX139" s="147">
        <v>720.94179999999994</v>
      </c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  <c r="BI139" s="147"/>
      <c r="BJ139" s="147"/>
      <c r="BK139" s="147"/>
      <c r="BL139" s="147"/>
      <c r="BM139" s="147"/>
      <c r="BN139" s="147"/>
      <c r="BO139" s="147"/>
      <c r="BP139" s="147"/>
      <c r="BQ139" s="147"/>
      <c r="BR139" s="147"/>
      <c r="BS139" s="147"/>
      <c r="BT139" s="147"/>
      <c r="BU139" s="147"/>
      <c r="BV139" s="266">
        <f>429.5+4</f>
        <v>433.5</v>
      </c>
      <c r="BW139" s="1">
        <f t="shared" si="279"/>
        <v>1600</v>
      </c>
    </row>
    <row r="140" spans="1:107" s="3" customFormat="1" ht="15.75" thickBot="1" x14ac:dyDescent="0.3">
      <c r="A140" s="524"/>
      <c r="C140" s="212">
        <v>1650</v>
      </c>
      <c r="D140" s="348">
        <f t="shared" si="284"/>
        <v>3881.1136000000001</v>
      </c>
      <c r="E140" s="348">
        <f t="shared" si="285"/>
        <v>986.83489999999995</v>
      </c>
      <c r="F140" s="144">
        <f t="shared" si="286"/>
        <v>0</v>
      </c>
      <c r="G140" s="144">
        <f t="shared" si="272"/>
        <v>0</v>
      </c>
      <c r="H140" s="144">
        <f t="shared" si="273"/>
        <v>0</v>
      </c>
      <c r="I140" s="144">
        <f t="shared" si="274"/>
        <v>0</v>
      </c>
      <c r="J140" s="159">
        <f t="shared" si="275"/>
        <v>0</v>
      </c>
      <c r="K140" s="348">
        <f t="shared" si="287"/>
        <v>409.3</v>
      </c>
      <c r="L140" s="354">
        <f t="shared" si="288"/>
        <v>6043</v>
      </c>
      <c r="M140" s="348">
        <f t="shared" si="289"/>
        <v>1701</v>
      </c>
      <c r="N140" s="144">
        <f t="shared" si="290"/>
        <v>0</v>
      </c>
      <c r="O140" s="144">
        <f t="shared" si="291"/>
        <v>0</v>
      </c>
      <c r="P140" s="144">
        <f t="shared" si="292"/>
        <v>0</v>
      </c>
      <c r="Q140" s="144">
        <f t="shared" si="293"/>
        <v>0</v>
      </c>
      <c r="R140" s="144">
        <f t="shared" si="294"/>
        <v>0</v>
      </c>
      <c r="S140" s="348">
        <f t="shared" si="295"/>
        <v>2342</v>
      </c>
      <c r="T140" s="154"/>
      <c r="U140" s="255">
        <f>L139+L140</f>
        <v>10352</v>
      </c>
      <c r="V140" s="255">
        <f t="shared" ref="V140" si="332">M139+M140</f>
        <v>3285</v>
      </c>
      <c r="W140" s="255">
        <f t="shared" ref="W140" si="333">N139+N140</f>
        <v>0</v>
      </c>
      <c r="X140" s="255">
        <f t="shared" ref="X140" si="334">O139+O140</f>
        <v>0</v>
      </c>
      <c r="Y140" s="255">
        <f t="shared" ref="Y140" si="335">P139+P140</f>
        <v>0</v>
      </c>
      <c r="Z140" s="255">
        <f t="shared" ref="Z140" si="336">Q139+Q140</f>
        <v>0</v>
      </c>
      <c r="AA140" s="255">
        <f t="shared" ref="AA140" si="337">R139+R140</f>
        <v>0</v>
      </c>
      <c r="AB140" s="255">
        <f t="shared" ref="AB140" si="338">S139+S140</f>
        <v>4902</v>
      </c>
      <c r="AC140" s="153"/>
      <c r="AD140" s="158">
        <f t="shared" si="303"/>
        <v>1650</v>
      </c>
      <c r="AE140" s="144">
        <v>3607.0837000000001</v>
      </c>
      <c r="AF140" s="247">
        <v>176.55279999999999</v>
      </c>
      <c r="AG140" s="247">
        <v>97.477099999999993</v>
      </c>
      <c r="AH140" s="144"/>
      <c r="AI140" s="144"/>
      <c r="AJ140" s="144"/>
      <c r="AK140" s="144"/>
      <c r="AL140" s="144"/>
      <c r="AM140" s="144"/>
      <c r="AN140" s="144"/>
      <c r="AO140" s="144"/>
      <c r="AP140" s="144"/>
      <c r="AQ140" s="144"/>
      <c r="AR140" s="144"/>
      <c r="AS140" s="144"/>
      <c r="AT140" s="144"/>
      <c r="AU140" s="144"/>
      <c r="AV140" s="247">
        <v>176.55279999999999</v>
      </c>
      <c r="AW140" s="247">
        <v>97.477099999999993</v>
      </c>
      <c r="AX140" s="144">
        <v>712.80499999999995</v>
      </c>
      <c r="AY140" s="144"/>
      <c r="AZ140" s="144"/>
      <c r="BA140" s="144"/>
      <c r="BB140" s="144"/>
      <c r="BC140" s="144"/>
      <c r="BD140" s="144"/>
      <c r="BE140" s="144"/>
      <c r="BF140" s="144"/>
      <c r="BG140" s="144"/>
      <c r="BH140" s="144"/>
      <c r="BI140" s="144"/>
      <c r="BJ140" s="144"/>
      <c r="BK140" s="144"/>
      <c r="BL140" s="144"/>
      <c r="BM140" s="144"/>
      <c r="BN140" s="144"/>
      <c r="BO140" s="144"/>
      <c r="BP140" s="144"/>
      <c r="BQ140" s="144"/>
      <c r="BR140" s="144"/>
      <c r="BS140" s="144"/>
      <c r="BT140" s="144"/>
      <c r="BU140" s="144"/>
      <c r="BV140" s="265">
        <f>405.3+4</f>
        <v>409.3</v>
      </c>
      <c r="BW140" s="1">
        <f t="shared" si="279"/>
        <v>1650</v>
      </c>
      <c r="BX140"/>
      <c r="BY140"/>
    </row>
    <row r="141" spans="1:107" x14ac:dyDescent="0.25">
      <c r="A141" s="524"/>
      <c r="C141" s="210">
        <v>1700</v>
      </c>
      <c r="D141" s="349">
        <f t="shared" si="284"/>
        <v>3796.4931999999999</v>
      </c>
      <c r="E141" s="349">
        <f t="shared" si="285"/>
        <v>1143.1277</v>
      </c>
      <c r="F141" s="147">
        <f t="shared" si="286"/>
        <v>0</v>
      </c>
      <c r="G141" s="147">
        <f t="shared" si="272"/>
        <v>0</v>
      </c>
      <c r="H141" s="147">
        <f t="shared" si="273"/>
        <v>0</v>
      </c>
      <c r="I141" s="147">
        <f t="shared" si="274"/>
        <v>0</v>
      </c>
      <c r="J141" s="156">
        <f t="shared" si="275"/>
        <v>0</v>
      </c>
      <c r="K141" s="349">
        <f t="shared" si="287"/>
        <v>374.4</v>
      </c>
      <c r="L141" s="355">
        <f t="shared" si="288"/>
        <v>7109</v>
      </c>
      <c r="M141" s="349">
        <f t="shared" si="289"/>
        <v>1973</v>
      </c>
      <c r="N141" s="147">
        <f t="shared" si="290"/>
        <v>0</v>
      </c>
      <c r="O141" s="147">
        <f t="shared" si="291"/>
        <v>0</v>
      </c>
      <c r="P141" s="147">
        <f t="shared" si="292"/>
        <v>0</v>
      </c>
      <c r="Q141" s="147">
        <f t="shared" si="293"/>
        <v>0</v>
      </c>
      <c r="R141" s="147">
        <f t="shared" si="294"/>
        <v>0</v>
      </c>
      <c r="S141" s="349">
        <f t="shared" si="295"/>
        <v>2177</v>
      </c>
      <c r="T141" s="56"/>
      <c r="U141" s="151"/>
      <c r="V141" s="147"/>
      <c r="W141" s="147"/>
      <c r="X141" s="147"/>
      <c r="Y141" s="147"/>
      <c r="Z141" s="147"/>
      <c r="AA141" s="147"/>
      <c r="AB141" s="147"/>
      <c r="AC141" s="55"/>
      <c r="AD141" s="155">
        <f t="shared" si="303"/>
        <v>1700</v>
      </c>
      <c r="AE141" s="147">
        <v>3518.6729999999998</v>
      </c>
      <c r="AF141" s="246">
        <v>185.2833</v>
      </c>
      <c r="AG141" s="246">
        <v>92.536900000000003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246">
        <v>185.2833</v>
      </c>
      <c r="AW141" s="246">
        <v>92.536900000000003</v>
      </c>
      <c r="AX141" s="147">
        <v>865.3075</v>
      </c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  <c r="BI141" s="147"/>
      <c r="BJ141" s="147"/>
      <c r="BK141" s="147"/>
      <c r="BL141" s="147"/>
      <c r="BM141" s="147"/>
      <c r="BN141" s="147"/>
      <c r="BO141" s="147"/>
      <c r="BP141" s="147"/>
      <c r="BQ141" s="147"/>
      <c r="BR141" s="147"/>
      <c r="BS141" s="147"/>
      <c r="BT141" s="147"/>
      <c r="BU141" s="147"/>
      <c r="BV141" s="266">
        <f>370.4+4</f>
        <v>374.4</v>
      </c>
      <c r="BW141" s="1">
        <f t="shared" si="279"/>
        <v>1700</v>
      </c>
    </row>
    <row r="142" spans="1:107" s="3" customFormat="1" ht="15.75" thickBot="1" x14ac:dyDescent="0.3">
      <c r="A142" s="524"/>
      <c r="C142" s="212">
        <v>1750</v>
      </c>
      <c r="D142" s="348">
        <f t="shared" si="284"/>
        <v>3151.0869000000002</v>
      </c>
      <c r="E142" s="348">
        <f t="shared" si="285"/>
        <v>1204.9413</v>
      </c>
      <c r="F142" s="144">
        <f t="shared" si="286"/>
        <v>0</v>
      </c>
      <c r="G142" s="144">
        <f t="shared" si="272"/>
        <v>0</v>
      </c>
      <c r="H142" s="144">
        <f t="shared" si="273"/>
        <v>0</v>
      </c>
      <c r="I142" s="144">
        <f t="shared" si="274"/>
        <v>0</v>
      </c>
      <c r="J142" s="159">
        <f t="shared" si="275"/>
        <v>0</v>
      </c>
      <c r="K142" s="348">
        <f t="shared" si="287"/>
        <v>335.5</v>
      </c>
      <c r="L142" s="354">
        <f t="shared" si="288"/>
        <v>6433</v>
      </c>
      <c r="M142" s="348">
        <f t="shared" si="289"/>
        <v>2175</v>
      </c>
      <c r="N142" s="144">
        <f t="shared" si="290"/>
        <v>0</v>
      </c>
      <c r="O142" s="144">
        <f t="shared" si="291"/>
        <v>0</v>
      </c>
      <c r="P142" s="144">
        <f t="shared" si="292"/>
        <v>0</v>
      </c>
      <c r="Q142" s="144">
        <f t="shared" si="293"/>
        <v>0</v>
      </c>
      <c r="R142" s="144">
        <f t="shared" si="294"/>
        <v>0</v>
      </c>
      <c r="S142" s="348">
        <f t="shared" si="295"/>
        <v>1972</v>
      </c>
      <c r="T142" s="154"/>
      <c r="U142" s="255">
        <f>L141+L142</f>
        <v>13542</v>
      </c>
      <c r="V142" s="255">
        <f t="shared" ref="V142" si="339">M141+M142</f>
        <v>4148</v>
      </c>
      <c r="W142" s="255">
        <f t="shared" ref="W142" si="340">N141+N142</f>
        <v>0</v>
      </c>
      <c r="X142" s="255">
        <f t="shared" ref="X142" si="341">O141+O142</f>
        <v>0</v>
      </c>
      <c r="Y142" s="255">
        <f t="shared" ref="Y142" si="342">P141+P142</f>
        <v>0</v>
      </c>
      <c r="Z142" s="255">
        <f t="shared" ref="Z142" si="343">Q141+Q142</f>
        <v>0</v>
      </c>
      <c r="AA142" s="255">
        <f t="shared" ref="AA142" si="344">R141+R142</f>
        <v>0</v>
      </c>
      <c r="AB142" s="255">
        <f t="shared" ref="AB142" si="345">S141+S142</f>
        <v>4149</v>
      </c>
      <c r="AC142" s="153"/>
      <c r="AD142" s="158">
        <f t="shared" si="303"/>
        <v>1750</v>
      </c>
      <c r="AE142" s="144">
        <v>2998.6293000000001</v>
      </c>
      <c r="AF142" s="247">
        <v>80.857299999999995</v>
      </c>
      <c r="AG142" s="247">
        <v>71.600300000000004</v>
      </c>
      <c r="AH142" s="144"/>
      <c r="AI142" s="144"/>
      <c r="AJ142" s="144"/>
      <c r="AK142" s="144"/>
      <c r="AL142" s="144"/>
      <c r="AM142" s="144"/>
      <c r="AN142" s="144"/>
      <c r="AO142" s="144"/>
      <c r="AP142" s="144"/>
      <c r="AQ142" s="144"/>
      <c r="AR142" s="144"/>
      <c r="AS142" s="144"/>
      <c r="AT142" s="144"/>
      <c r="AU142" s="144"/>
      <c r="AV142" s="247">
        <v>80.857299999999995</v>
      </c>
      <c r="AW142" s="247">
        <v>71.600300000000004</v>
      </c>
      <c r="AX142" s="144">
        <v>1052.4837</v>
      </c>
      <c r="AY142" s="144"/>
      <c r="AZ142" s="144"/>
      <c r="BA142" s="144"/>
      <c r="BB142" s="144"/>
      <c r="BC142" s="144"/>
      <c r="BD142" s="144"/>
      <c r="BE142" s="144"/>
      <c r="BF142" s="144"/>
      <c r="BG142" s="144"/>
      <c r="BH142" s="144"/>
      <c r="BI142" s="144"/>
      <c r="BJ142" s="144"/>
      <c r="BK142" s="144"/>
      <c r="BL142" s="144"/>
      <c r="BM142" s="144"/>
      <c r="BN142" s="144"/>
      <c r="BO142" s="144"/>
      <c r="BP142" s="144"/>
      <c r="BQ142" s="144"/>
      <c r="BR142" s="144"/>
      <c r="BS142" s="144"/>
      <c r="BT142" s="144"/>
      <c r="BU142" s="144"/>
      <c r="BV142" s="265">
        <f>331.5+4</f>
        <v>335.5</v>
      </c>
      <c r="BW142" s="1">
        <f t="shared" si="279"/>
        <v>1750</v>
      </c>
      <c r="BX142"/>
      <c r="BY142"/>
    </row>
    <row r="143" spans="1:107" x14ac:dyDescent="0.25">
      <c r="A143" s="524"/>
      <c r="C143" s="210">
        <v>1800</v>
      </c>
      <c r="D143" s="349">
        <f t="shared" si="284"/>
        <v>2893.4119999999998</v>
      </c>
      <c r="E143" s="349">
        <f t="shared" si="285"/>
        <v>1008.3086</v>
      </c>
      <c r="F143" s="147">
        <f t="shared" si="286"/>
        <v>0</v>
      </c>
      <c r="G143" s="147">
        <f t="shared" si="272"/>
        <v>0</v>
      </c>
      <c r="H143" s="147">
        <f t="shared" si="273"/>
        <v>0</v>
      </c>
      <c r="I143" s="147">
        <f t="shared" si="274"/>
        <v>0</v>
      </c>
      <c r="J143" s="156">
        <f t="shared" si="275"/>
        <v>0</v>
      </c>
      <c r="K143" s="349">
        <f t="shared" si="287"/>
        <v>297.2</v>
      </c>
      <c r="L143" s="355">
        <f t="shared" si="288"/>
        <v>5597</v>
      </c>
      <c r="M143" s="349">
        <f t="shared" si="289"/>
        <v>2050</v>
      </c>
      <c r="N143" s="147">
        <f t="shared" si="290"/>
        <v>0</v>
      </c>
      <c r="O143" s="147">
        <f t="shared" si="291"/>
        <v>0</v>
      </c>
      <c r="P143" s="147">
        <f t="shared" si="292"/>
        <v>0</v>
      </c>
      <c r="Q143" s="147">
        <f t="shared" si="293"/>
        <v>0</v>
      </c>
      <c r="R143" s="147">
        <f t="shared" si="294"/>
        <v>0</v>
      </c>
      <c r="S143" s="349">
        <f t="shared" si="295"/>
        <v>1758</v>
      </c>
      <c r="T143" s="56"/>
      <c r="U143" s="151"/>
      <c r="V143" s="147"/>
      <c r="W143" s="147"/>
      <c r="X143" s="147"/>
      <c r="Y143" s="147"/>
      <c r="Z143" s="147"/>
      <c r="AA143" s="147"/>
      <c r="AB143" s="147"/>
      <c r="AC143" s="55"/>
      <c r="AD143" s="155">
        <f t="shared" si="303"/>
        <v>1800</v>
      </c>
      <c r="AE143" s="147">
        <v>2893.4119999999998</v>
      </c>
      <c r="AF143" s="147"/>
      <c r="AG143" s="147"/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>
        <v>1008.3086</v>
      </c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  <c r="BI143" s="147"/>
      <c r="BJ143" s="147"/>
      <c r="BK143" s="147"/>
      <c r="BL143" s="147"/>
      <c r="BM143" s="147"/>
      <c r="BN143" s="147"/>
      <c r="BO143" s="147"/>
      <c r="BP143" s="147"/>
      <c r="BQ143" s="147"/>
      <c r="BR143" s="147"/>
      <c r="BS143" s="147"/>
      <c r="BT143" s="147"/>
      <c r="BU143" s="147"/>
      <c r="BV143" s="266">
        <f>293.2+4</f>
        <v>297.2</v>
      </c>
      <c r="BW143" s="1">
        <f t="shared" si="279"/>
        <v>1800</v>
      </c>
    </row>
    <row r="144" spans="1:107" s="3" customFormat="1" ht="15.75" thickBot="1" x14ac:dyDescent="0.3">
      <c r="A144" s="524"/>
      <c r="C144" s="212">
        <v>1850</v>
      </c>
      <c r="D144" s="348">
        <f t="shared" si="284"/>
        <v>0</v>
      </c>
      <c r="E144" s="348">
        <f t="shared" si="285"/>
        <v>1089.4974999999999</v>
      </c>
      <c r="F144" s="144">
        <f t="shared" si="286"/>
        <v>0</v>
      </c>
      <c r="G144" s="144">
        <f t="shared" si="272"/>
        <v>0</v>
      </c>
      <c r="H144" s="144">
        <f t="shared" si="273"/>
        <v>0</v>
      </c>
      <c r="I144" s="144">
        <f t="shared" si="274"/>
        <v>0</v>
      </c>
      <c r="J144" s="159">
        <f t="shared" si="275"/>
        <v>0</v>
      </c>
      <c r="K144" s="348">
        <f t="shared" si="287"/>
        <v>46.8</v>
      </c>
      <c r="L144" s="354">
        <f t="shared" si="288"/>
        <v>2680</v>
      </c>
      <c r="M144" s="348">
        <f t="shared" si="289"/>
        <v>1943</v>
      </c>
      <c r="N144" s="144">
        <f t="shared" si="290"/>
        <v>0</v>
      </c>
      <c r="O144" s="144">
        <f t="shared" si="291"/>
        <v>0</v>
      </c>
      <c r="P144" s="144">
        <f t="shared" si="292"/>
        <v>0</v>
      </c>
      <c r="Q144" s="144">
        <f t="shared" si="293"/>
        <v>0</v>
      </c>
      <c r="R144" s="144">
        <f t="shared" si="294"/>
        <v>0</v>
      </c>
      <c r="S144" s="348">
        <f t="shared" si="295"/>
        <v>956</v>
      </c>
      <c r="T144" s="154"/>
      <c r="U144" s="255">
        <f>L143+L144</f>
        <v>8277</v>
      </c>
      <c r="V144" s="255">
        <f t="shared" ref="V144" si="346">M143+M144</f>
        <v>3993</v>
      </c>
      <c r="W144" s="255">
        <f t="shared" ref="W144" si="347">N143+N144</f>
        <v>0</v>
      </c>
      <c r="X144" s="255">
        <f t="shared" ref="X144" si="348">O143+O144</f>
        <v>0</v>
      </c>
      <c r="Y144" s="255">
        <f t="shared" ref="Y144" si="349">P143+P144</f>
        <v>0</v>
      </c>
      <c r="Z144" s="255">
        <f t="shared" ref="Z144" si="350">Q143+Q144</f>
        <v>0</v>
      </c>
      <c r="AA144" s="255">
        <f t="shared" ref="AA144" si="351">R143+R144</f>
        <v>0</v>
      </c>
      <c r="AB144" s="255">
        <f t="shared" ref="AB144" si="352">S143+S144</f>
        <v>2714</v>
      </c>
      <c r="AC144" s="153"/>
      <c r="AD144" s="158">
        <f t="shared" si="303"/>
        <v>1850</v>
      </c>
      <c r="AE144" s="144"/>
      <c r="AF144" s="144"/>
      <c r="AG144" s="144"/>
      <c r="AH144" s="144"/>
      <c r="AI144" s="144"/>
      <c r="AJ144" s="144"/>
      <c r="AK144" s="144"/>
      <c r="AL144" s="144"/>
      <c r="AM144" s="144"/>
      <c r="AN144" s="144"/>
      <c r="AO144" s="144"/>
      <c r="AP144" s="144"/>
      <c r="AQ144" s="144"/>
      <c r="AR144" s="144"/>
      <c r="AS144" s="144"/>
      <c r="AT144" s="144"/>
      <c r="AU144" s="144"/>
      <c r="AV144" s="144">
        <v>1089.4974999999999</v>
      </c>
      <c r="AW144" s="144"/>
      <c r="AX144" s="144"/>
      <c r="AY144" s="144"/>
      <c r="AZ144" s="144"/>
      <c r="BA144" s="144"/>
      <c r="BB144" s="144"/>
      <c r="BC144" s="144"/>
      <c r="BD144" s="144"/>
      <c r="BE144" s="144"/>
      <c r="BF144" s="144"/>
      <c r="BG144" s="144"/>
      <c r="BH144" s="144"/>
      <c r="BI144" s="144"/>
      <c r="BJ144" s="144"/>
      <c r="BK144" s="144"/>
      <c r="BL144" s="144"/>
      <c r="BM144" s="144"/>
      <c r="BN144" s="144"/>
      <c r="BO144" s="144"/>
      <c r="BP144" s="144"/>
      <c r="BQ144" s="144"/>
      <c r="BR144" s="144"/>
      <c r="BS144" s="144"/>
      <c r="BT144" s="144"/>
      <c r="BU144" s="144"/>
      <c r="BV144" s="265">
        <f>42.8+4</f>
        <v>46.8</v>
      </c>
      <c r="BW144" s="1">
        <f t="shared" si="279"/>
        <v>1850</v>
      </c>
      <c r="BX144"/>
      <c r="BY144"/>
    </row>
    <row r="145" spans="1:77" x14ac:dyDescent="0.25">
      <c r="A145" s="524"/>
      <c r="C145" s="210">
        <v>1900</v>
      </c>
      <c r="D145" s="349">
        <f t="shared" si="284"/>
        <v>0</v>
      </c>
      <c r="E145" s="349">
        <f t="shared" si="285"/>
        <v>964.36950000000002</v>
      </c>
      <c r="F145" s="147">
        <f t="shared" si="286"/>
        <v>0</v>
      </c>
      <c r="G145" s="147">
        <f t="shared" si="272"/>
        <v>0</v>
      </c>
      <c r="H145" s="147">
        <f t="shared" si="273"/>
        <v>0</v>
      </c>
      <c r="I145" s="147">
        <f t="shared" si="274"/>
        <v>0</v>
      </c>
      <c r="J145" s="156">
        <f t="shared" si="275"/>
        <v>0</v>
      </c>
      <c r="K145" s="349">
        <f t="shared" si="287"/>
        <v>41.1</v>
      </c>
      <c r="L145" s="355">
        <f t="shared" si="288"/>
        <v>0</v>
      </c>
      <c r="M145" s="349">
        <f t="shared" si="289"/>
        <v>1902</v>
      </c>
      <c r="N145" s="147">
        <f t="shared" si="290"/>
        <v>0</v>
      </c>
      <c r="O145" s="147">
        <f t="shared" si="291"/>
        <v>0</v>
      </c>
      <c r="P145" s="147">
        <f t="shared" si="292"/>
        <v>0</v>
      </c>
      <c r="Q145" s="147">
        <f t="shared" si="293"/>
        <v>0</v>
      </c>
      <c r="R145" s="147">
        <f t="shared" si="294"/>
        <v>0</v>
      </c>
      <c r="S145" s="349">
        <f t="shared" si="295"/>
        <v>245</v>
      </c>
      <c r="T145" s="56"/>
      <c r="U145" s="151"/>
      <c r="V145" s="147"/>
      <c r="W145" s="147"/>
      <c r="X145" s="147"/>
      <c r="Y145" s="147"/>
      <c r="Z145" s="147"/>
      <c r="AA145" s="147"/>
      <c r="AB145" s="147"/>
      <c r="AC145" s="55"/>
      <c r="AD145" s="155">
        <f t="shared" si="303"/>
        <v>1900</v>
      </c>
      <c r="AE145" s="147"/>
      <c r="AF145" s="147"/>
      <c r="AG145" s="147"/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>
        <v>964.36950000000002</v>
      </c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  <c r="BI145" s="147"/>
      <c r="BJ145" s="147"/>
      <c r="BK145" s="147"/>
      <c r="BL145" s="147"/>
      <c r="BM145" s="147"/>
      <c r="BN145" s="147"/>
      <c r="BO145" s="147"/>
      <c r="BP145" s="147"/>
      <c r="BQ145" s="147"/>
      <c r="BR145" s="147"/>
      <c r="BS145" s="147"/>
      <c r="BT145" s="147"/>
      <c r="BU145" s="147"/>
      <c r="BV145" s="266">
        <f>37.1+4</f>
        <v>41.1</v>
      </c>
      <c r="BW145" s="1">
        <f t="shared" si="279"/>
        <v>1900</v>
      </c>
    </row>
    <row r="146" spans="1:77" x14ac:dyDescent="0.25">
      <c r="A146" s="524"/>
      <c r="C146" s="121">
        <v>1950</v>
      </c>
      <c r="D146" s="347">
        <f t="shared" si="284"/>
        <v>0</v>
      </c>
      <c r="E146" s="347">
        <f t="shared" si="285"/>
        <v>1016.38</v>
      </c>
      <c r="F146" s="58">
        <f t="shared" si="286"/>
        <v>0</v>
      </c>
      <c r="G146" s="58">
        <f t="shared" si="272"/>
        <v>0</v>
      </c>
      <c r="H146" s="58">
        <f t="shared" si="273"/>
        <v>0</v>
      </c>
      <c r="I146" s="58">
        <f t="shared" si="274"/>
        <v>0</v>
      </c>
      <c r="J146" s="51">
        <f t="shared" si="275"/>
        <v>0</v>
      </c>
      <c r="K146" s="347">
        <f t="shared" si="287"/>
        <v>42</v>
      </c>
      <c r="L146" s="353">
        <f t="shared" si="288"/>
        <v>0</v>
      </c>
      <c r="M146" s="347">
        <f t="shared" si="289"/>
        <v>1835</v>
      </c>
      <c r="N146" s="58">
        <f t="shared" si="290"/>
        <v>0</v>
      </c>
      <c r="O146" s="58">
        <f t="shared" si="291"/>
        <v>0</v>
      </c>
      <c r="P146" s="58">
        <f t="shared" si="292"/>
        <v>0</v>
      </c>
      <c r="Q146" s="58">
        <f t="shared" si="293"/>
        <v>0</v>
      </c>
      <c r="R146" s="58">
        <f t="shared" si="294"/>
        <v>0</v>
      </c>
      <c r="S146" s="347">
        <f t="shared" si="295"/>
        <v>231</v>
      </c>
      <c r="T146" s="56"/>
      <c r="U146" s="105"/>
      <c r="V146" s="58"/>
      <c r="W146" s="58"/>
      <c r="X146" s="58"/>
      <c r="Y146" s="58"/>
      <c r="Z146" s="58"/>
      <c r="AA146" s="58"/>
      <c r="AB146" s="58"/>
      <c r="AC146" s="55"/>
      <c r="AD146" s="57">
        <f t="shared" si="303"/>
        <v>1950</v>
      </c>
      <c r="AE146" s="58"/>
      <c r="AF146" s="58"/>
      <c r="AG146" s="58"/>
      <c r="AH146" s="58"/>
      <c r="AI146" s="58"/>
      <c r="AJ146" s="58"/>
      <c r="AK146" s="58"/>
      <c r="AL146" s="58"/>
      <c r="AM146" s="58"/>
      <c r="AN146" s="58"/>
      <c r="AO146" s="58"/>
      <c r="AP146" s="58"/>
      <c r="AQ146" s="58"/>
      <c r="AR146" s="58"/>
      <c r="AS146" s="58"/>
      <c r="AT146" s="58"/>
      <c r="AU146" s="58"/>
      <c r="AV146" s="58">
        <v>1016.38</v>
      </c>
      <c r="AW146" s="58"/>
      <c r="AX146" s="58"/>
      <c r="AY146" s="58"/>
      <c r="AZ146" s="58"/>
      <c r="BA146" s="58"/>
      <c r="BB146" s="58"/>
      <c r="BC146" s="58"/>
      <c r="BD146" s="58"/>
      <c r="BE146" s="58"/>
      <c r="BF146" s="58"/>
      <c r="BG146" s="58"/>
      <c r="BH146" s="58"/>
      <c r="BI146" s="58"/>
      <c r="BJ146" s="58"/>
      <c r="BK146" s="58"/>
      <c r="BL146" s="58"/>
      <c r="BM146" s="58"/>
      <c r="BN146" s="58"/>
      <c r="BO146" s="58"/>
      <c r="BP146" s="58"/>
      <c r="BQ146" s="58"/>
      <c r="BR146" s="58"/>
      <c r="BS146" s="58"/>
      <c r="BT146" s="58"/>
      <c r="BU146" s="58"/>
      <c r="BV146" s="263">
        <f>38+4</f>
        <v>42</v>
      </c>
      <c r="BW146" s="1">
        <f t="shared" si="279"/>
        <v>1950</v>
      </c>
    </row>
    <row r="147" spans="1:77" s="3" customFormat="1" ht="15.75" thickBot="1" x14ac:dyDescent="0.3">
      <c r="A147" s="524"/>
      <c r="C147" s="212">
        <v>2000</v>
      </c>
      <c r="D147" s="348">
        <f t="shared" si="284"/>
        <v>0</v>
      </c>
      <c r="E147" s="348">
        <f t="shared" si="285"/>
        <v>1191.2231999999999</v>
      </c>
      <c r="F147" s="144">
        <f t="shared" si="286"/>
        <v>0</v>
      </c>
      <c r="G147" s="144">
        <f t="shared" si="272"/>
        <v>0</v>
      </c>
      <c r="H147" s="144">
        <f t="shared" si="273"/>
        <v>0</v>
      </c>
      <c r="I147" s="144">
        <f t="shared" si="274"/>
        <v>0</v>
      </c>
      <c r="J147" s="159">
        <f t="shared" si="275"/>
        <v>0</v>
      </c>
      <c r="K147" s="348">
        <f t="shared" si="287"/>
        <v>52.2</v>
      </c>
      <c r="L147" s="354">
        <f t="shared" si="288"/>
        <v>0</v>
      </c>
      <c r="M147" s="348">
        <f t="shared" si="289"/>
        <v>2045</v>
      </c>
      <c r="N147" s="144">
        <f t="shared" si="290"/>
        <v>0</v>
      </c>
      <c r="O147" s="144">
        <f t="shared" si="291"/>
        <v>0</v>
      </c>
      <c r="P147" s="144">
        <f t="shared" si="292"/>
        <v>0</v>
      </c>
      <c r="Q147" s="144">
        <f t="shared" si="293"/>
        <v>0</v>
      </c>
      <c r="R147" s="144">
        <f t="shared" si="294"/>
        <v>0</v>
      </c>
      <c r="S147" s="348">
        <f t="shared" si="295"/>
        <v>262</v>
      </c>
      <c r="T147" s="154"/>
      <c r="U147" s="255">
        <f>L145+L146+L147</f>
        <v>0</v>
      </c>
      <c r="V147" s="255">
        <f t="shared" ref="V147" si="353">M145+M146+M147</f>
        <v>5782</v>
      </c>
      <c r="W147" s="255">
        <f t="shared" ref="W147" si="354">N145+N146+N147</f>
        <v>0</v>
      </c>
      <c r="X147" s="255">
        <f t="shared" ref="X147" si="355">O145+O146+O147</f>
        <v>0</v>
      </c>
      <c r="Y147" s="255">
        <f t="shared" ref="Y147" si="356">P145+P146+P147</f>
        <v>0</v>
      </c>
      <c r="Z147" s="255">
        <f t="shared" ref="Z147" si="357">Q145+Q146+Q147</f>
        <v>0</v>
      </c>
      <c r="AA147" s="255">
        <f t="shared" ref="AA147" si="358">R145+R146+R147</f>
        <v>0</v>
      </c>
      <c r="AB147" s="255">
        <f t="shared" ref="AB147" si="359">S145+S146+S147</f>
        <v>738</v>
      </c>
      <c r="AC147" s="153"/>
      <c r="AD147" s="158">
        <f t="shared" si="303"/>
        <v>2000</v>
      </c>
      <c r="AE147" s="144"/>
      <c r="AF147" s="144"/>
      <c r="AG147" s="144"/>
      <c r="AH147" s="144"/>
      <c r="AI147" s="144"/>
      <c r="AJ147" s="144"/>
      <c r="AK147" s="144"/>
      <c r="AL147" s="144"/>
      <c r="AM147" s="144"/>
      <c r="AN147" s="144"/>
      <c r="AO147" s="144"/>
      <c r="AP147" s="144"/>
      <c r="AQ147" s="144"/>
      <c r="AR147" s="144"/>
      <c r="AS147" s="144"/>
      <c r="AT147" s="144"/>
      <c r="AU147" s="144"/>
      <c r="AV147" s="144">
        <v>1191.2231999999999</v>
      </c>
      <c r="AW147" s="144"/>
      <c r="AX147" s="144"/>
      <c r="AY147" s="144"/>
      <c r="AZ147" s="144"/>
      <c r="BA147" s="144"/>
      <c r="BB147" s="144"/>
      <c r="BC147" s="144"/>
      <c r="BD147" s="144"/>
      <c r="BE147" s="144"/>
      <c r="BF147" s="144"/>
      <c r="BG147" s="144"/>
      <c r="BH147" s="144"/>
      <c r="BI147" s="144"/>
      <c r="BJ147" s="144"/>
      <c r="BK147" s="144"/>
      <c r="BL147" s="144"/>
      <c r="BM147" s="144"/>
      <c r="BN147" s="144"/>
      <c r="BO147" s="144"/>
      <c r="BP147" s="144"/>
      <c r="BQ147" s="144"/>
      <c r="BR147" s="144"/>
      <c r="BS147" s="144"/>
      <c r="BT147" s="144"/>
      <c r="BU147" s="144"/>
      <c r="BV147" s="265">
        <f>48.2+4</f>
        <v>52.2</v>
      </c>
      <c r="BW147" s="1">
        <f t="shared" si="279"/>
        <v>2000</v>
      </c>
      <c r="BX147"/>
      <c r="BY147"/>
    </row>
    <row r="148" spans="1:77" x14ac:dyDescent="0.25">
      <c r="A148" s="524"/>
      <c r="C148" s="210">
        <v>2050</v>
      </c>
      <c r="D148" s="349">
        <f t="shared" si="284"/>
        <v>0</v>
      </c>
      <c r="E148" s="349">
        <f t="shared" si="285"/>
        <v>3025.0394999999999</v>
      </c>
      <c r="F148" s="147">
        <f t="shared" si="286"/>
        <v>0</v>
      </c>
      <c r="G148" s="147">
        <f t="shared" si="272"/>
        <v>0</v>
      </c>
      <c r="H148" s="147">
        <f t="shared" si="273"/>
        <v>0</v>
      </c>
      <c r="I148" s="147">
        <f t="shared" si="274"/>
        <v>0</v>
      </c>
      <c r="J148" s="156">
        <f t="shared" si="275"/>
        <v>0</v>
      </c>
      <c r="K148" s="349">
        <f t="shared" si="287"/>
        <v>219.6</v>
      </c>
      <c r="L148" s="355">
        <f t="shared" si="288"/>
        <v>0</v>
      </c>
      <c r="M148" s="349">
        <f t="shared" si="289"/>
        <v>3904</v>
      </c>
      <c r="N148" s="147">
        <f t="shared" si="290"/>
        <v>0</v>
      </c>
      <c r="O148" s="147">
        <f t="shared" si="291"/>
        <v>0</v>
      </c>
      <c r="P148" s="147">
        <f t="shared" si="292"/>
        <v>0</v>
      </c>
      <c r="Q148" s="147">
        <f t="shared" si="293"/>
        <v>0</v>
      </c>
      <c r="R148" s="147">
        <f t="shared" si="294"/>
        <v>0</v>
      </c>
      <c r="S148" s="349">
        <f t="shared" si="295"/>
        <v>755</v>
      </c>
      <c r="T148" s="56"/>
      <c r="U148" s="151"/>
      <c r="V148" s="147"/>
      <c r="W148" s="147"/>
      <c r="X148" s="147"/>
      <c r="Y148" s="147"/>
      <c r="Z148" s="147"/>
      <c r="AA148" s="147"/>
      <c r="AB148" s="147"/>
      <c r="AC148" s="55"/>
      <c r="AD148" s="155">
        <f t="shared" si="303"/>
        <v>2050</v>
      </c>
      <c r="AE148" s="147"/>
      <c r="AF148" s="147"/>
      <c r="AG148" s="147"/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>
        <v>3025.0394999999999</v>
      </c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  <c r="BI148" s="147"/>
      <c r="BJ148" s="147"/>
      <c r="BK148" s="147"/>
      <c r="BL148" s="147"/>
      <c r="BM148" s="147"/>
      <c r="BN148" s="147"/>
      <c r="BO148" s="147"/>
      <c r="BP148" s="147"/>
      <c r="BQ148" s="147"/>
      <c r="BR148" s="147"/>
      <c r="BS148" s="147"/>
      <c r="BT148" s="147"/>
      <c r="BU148" s="147"/>
      <c r="BV148" s="266">
        <f>215.6+4</f>
        <v>219.6</v>
      </c>
      <c r="BW148" s="1">
        <f t="shared" si="279"/>
        <v>2050</v>
      </c>
    </row>
    <row r="149" spans="1:77" x14ac:dyDescent="0.25">
      <c r="A149" s="524"/>
      <c r="C149" s="121">
        <v>2100</v>
      </c>
      <c r="D149" s="347">
        <f t="shared" si="284"/>
        <v>0</v>
      </c>
      <c r="E149" s="347">
        <f t="shared" si="285"/>
        <v>1237.7867000000001</v>
      </c>
      <c r="F149" s="58">
        <f t="shared" si="286"/>
        <v>0</v>
      </c>
      <c r="G149" s="58">
        <f t="shared" si="272"/>
        <v>0</v>
      </c>
      <c r="H149" s="58">
        <f t="shared" si="273"/>
        <v>0</v>
      </c>
      <c r="I149" s="58">
        <f t="shared" si="274"/>
        <v>0</v>
      </c>
      <c r="J149" s="51">
        <f t="shared" si="275"/>
        <v>0</v>
      </c>
      <c r="K149" s="347">
        <f t="shared" si="287"/>
        <v>125.5</v>
      </c>
      <c r="L149" s="353">
        <f t="shared" si="288"/>
        <v>0</v>
      </c>
      <c r="M149" s="347">
        <f t="shared" si="289"/>
        <v>3948</v>
      </c>
      <c r="N149" s="58">
        <f t="shared" si="290"/>
        <v>0</v>
      </c>
      <c r="O149" s="58">
        <f t="shared" si="291"/>
        <v>0</v>
      </c>
      <c r="P149" s="58">
        <f t="shared" si="292"/>
        <v>0</v>
      </c>
      <c r="Q149" s="58">
        <f t="shared" si="293"/>
        <v>0</v>
      </c>
      <c r="R149" s="58">
        <f t="shared" si="294"/>
        <v>0</v>
      </c>
      <c r="S149" s="347">
        <f t="shared" si="295"/>
        <v>959</v>
      </c>
      <c r="T149" s="56"/>
      <c r="U149" s="105"/>
      <c r="V149" s="58"/>
      <c r="W149" s="58"/>
      <c r="X149" s="58"/>
      <c r="Y149" s="58"/>
      <c r="Z149" s="58"/>
      <c r="AA149" s="58"/>
      <c r="AB149" s="58"/>
      <c r="AC149" s="55"/>
      <c r="AD149" s="57">
        <f t="shared" si="303"/>
        <v>2100</v>
      </c>
      <c r="AE149" s="58"/>
      <c r="AF149" s="58"/>
      <c r="AG149" s="58"/>
      <c r="AH149" s="58"/>
      <c r="AI149" s="58"/>
      <c r="AJ149" s="58"/>
      <c r="AK149" s="58"/>
      <c r="AL149" s="58"/>
      <c r="AM149" s="58"/>
      <c r="AN149" s="58"/>
      <c r="AO149" s="58"/>
      <c r="AP149" s="58"/>
      <c r="AQ149" s="58"/>
      <c r="AR149" s="58"/>
      <c r="AS149" s="58"/>
      <c r="AT149" s="58"/>
      <c r="AU149" s="58"/>
      <c r="AV149" s="58">
        <v>1237.7867000000001</v>
      </c>
      <c r="AW149" s="58"/>
      <c r="AX149" s="58"/>
      <c r="AY149" s="58"/>
      <c r="AZ149" s="58"/>
      <c r="BA149" s="58"/>
      <c r="BB149" s="58"/>
      <c r="BC149" s="58"/>
      <c r="BD149" s="58"/>
      <c r="BE149" s="58"/>
      <c r="BF149" s="58"/>
      <c r="BG149" s="58"/>
      <c r="BH149" s="58"/>
      <c r="BI149" s="58"/>
      <c r="BJ149" s="58"/>
      <c r="BK149" s="58"/>
      <c r="BL149" s="58"/>
      <c r="BM149" s="58"/>
      <c r="BN149" s="58"/>
      <c r="BO149" s="58"/>
      <c r="BP149" s="58"/>
      <c r="BQ149" s="58"/>
      <c r="BR149" s="58"/>
      <c r="BS149" s="58"/>
      <c r="BT149" s="58"/>
      <c r="BU149" s="58"/>
      <c r="BV149" s="263">
        <f>121.5+4</f>
        <v>125.5</v>
      </c>
      <c r="BW149" s="1">
        <f t="shared" si="279"/>
        <v>2100</v>
      </c>
    </row>
    <row r="150" spans="1:77" s="3" customFormat="1" ht="15.75" thickBot="1" x14ac:dyDescent="0.3">
      <c r="A150" s="524"/>
      <c r="C150" s="212">
        <v>2150</v>
      </c>
      <c r="D150" s="348">
        <f t="shared" si="284"/>
        <v>0</v>
      </c>
      <c r="E150" s="348">
        <f t="shared" si="285"/>
        <v>877.16570000000002</v>
      </c>
      <c r="F150" s="144">
        <f t="shared" si="286"/>
        <v>0</v>
      </c>
      <c r="G150" s="144">
        <f t="shared" si="272"/>
        <v>0</v>
      </c>
      <c r="H150" s="144">
        <f t="shared" si="273"/>
        <v>0</v>
      </c>
      <c r="I150" s="144">
        <f t="shared" si="274"/>
        <v>0</v>
      </c>
      <c r="J150" s="159">
        <f t="shared" si="275"/>
        <v>0</v>
      </c>
      <c r="K150" s="348">
        <f t="shared" si="287"/>
        <v>71.400000000000006</v>
      </c>
      <c r="L150" s="354">
        <f t="shared" si="288"/>
        <v>0</v>
      </c>
      <c r="M150" s="348">
        <f t="shared" si="289"/>
        <v>1959</v>
      </c>
      <c r="N150" s="144">
        <f t="shared" si="290"/>
        <v>0</v>
      </c>
      <c r="O150" s="144">
        <f t="shared" si="291"/>
        <v>0</v>
      </c>
      <c r="P150" s="144">
        <f t="shared" si="292"/>
        <v>0</v>
      </c>
      <c r="Q150" s="144">
        <f t="shared" si="293"/>
        <v>0</v>
      </c>
      <c r="R150" s="144">
        <f t="shared" si="294"/>
        <v>0</v>
      </c>
      <c r="S150" s="348">
        <f t="shared" si="295"/>
        <v>547</v>
      </c>
      <c r="T150" s="154"/>
      <c r="U150" s="255">
        <f>L148+L149+L150</f>
        <v>0</v>
      </c>
      <c r="V150" s="255">
        <f t="shared" ref="V150" si="360">M148+M149+M150</f>
        <v>9811</v>
      </c>
      <c r="W150" s="255">
        <f t="shared" ref="W150" si="361">N148+N149+N150</f>
        <v>0</v>
      </c>
      <c r="X150" s="255">
        <f t="shared" ref="X150" si="362">O148+O149+O150</f>
        <v>0</v>
      </c>
      <c r="Y150" s="255">
        <f t="shared" ref="Y150" si="363">P148+P149+P150</f>
        <v>0</v>
      </c>
      <c r="Z150" s="255">
        <f t="shared" ref="Z150" si="364">Q148+Q149+Q150</f>
        <v>0</v>
      </c>
      <c r="AA150" s="255">
        <f t="shared" ref="AA150" si="365">R148+R149+R150</f>
        <v>0</v>
      </c>
      <c r="AB150" s="255">
        <f t="shared" ref="AB150" si="366">S148+S149+S150</f>
        <v>2261</v>
      </c>
      <c r="AC150" s="153"/>
      <c r="AD150" s="158">
        <f t="shared" si="303"/>
        <v>2150</v>
      </c>
      <c r="AE150" s="144"/>
      <c r="AF150" s="144"/>
      <c r="AG150" s="144"/>
      <c r="AH150" s="144"/>
      <c r="AI150" s="144"/>
      <c r="AJ150" s="144"/>
      <c r="AK150" s="144"/>
      <c r="AL150" s="144"/>
      <c r="AM150" s="144"/>
      <c r="AN150" s="144"/>
      <c r="AO150" s="144"/>
      <c r="AP150" s="144"/>
      <c r="AQ150" s="144"/>
      <c r="AR150" s="144"/>
      <c r="AS150" s="144"/>
      <c r="AT150" s="144"/>
      <c r="AU150" s="144"/>
      <c r="AV150" s="144">
        <v>877.16570000000002</v>
      </c>
      <c r="AW150" s="144"/>
      <c r="AX150" s="144"/>
      <c r="AY150" s="144"/>
      <c r="AZ150" s="144"/>
      <c r="BA150" s="144"/>
      <c r="BB150" s="144"/>
      <c r="BC150" s="144"/>
      <c r="BD150" s="144"/>
      <c r="BE150" s="144"/>
      <c r="BF150" s="144"/>
      <c r="BG150" s="144"/>
      <c r="BH150" s="144"/>
      <c r="BI150" s="144"/>
      <c r="BJ150" s="144"/>
      <c r="BK150" s="144"/>
      <c r="BL150" s="144"/>
      <c r="BM150" s="144"/>
      <c r="BN150" s="144"/>
      <c r="BO150" s="144"/>
      <c r="BP150" s="144"/>
      <c r="BQ150" s="144"/>
      <c r="BR150" s="144"/>
      <c r="BS150" s="144"/>
      <c r="BT150" s="144"/>
      <c r="BU150" s="144"/>
      <c r="BV150" s="265">
        <f>67.4+4</f>
        <v>71.400000000000006</v>
      </c>
      <c r="BW150" s="1">
        <f t="shared" si="279"/>
        <v>2150</v>
      </c>
      <c r="BX150"/>
      <c r="BY150"/>
    </row>
    <row r="151" spans="1:77" x14ac:dyDescent="0.25">
      <c r="A151" s="524"/>
      <c r="C151" s="210">
        <v>2200</v>
      </c>
      <c r="D151" s="349">
        <f t="shared" si="284"/>
        <v>0</v>
      </c>
      <c r="E151" s="349">
        <f t="shared" si="285"/>
        <v>564.76469999999995</v>
      </c>
      <c r="F151" s="147">
        <f t="shared" si="286"/>
        <v>0</v>
      </c>
      <c r="G151" s="147">
        <f t="shared" si="272"/>
        <v>0</v>
      </c>
      <c r="H151" s="147">
        <f t="shared" si="273"/>
        <v>0</v>
      </c>
      <c r="I151" s="147">
        <f t="shared" si="274"/>
        <v>0</v>
      </c>
      <c r="J151" s="156">
        <f t="shared" si="275"/>
        <v>0</v>
      </c>
      <c r="K151" s="349">
        <f t="shared" si="287"/>
        <v>38.299999999999997</v>
      </c>
      <c r="L151" s="355">
        <f t="shared" si="288"/>
        <v>0</v>
      </c>
      <c r="M151" s="349">
        <f t="shared" si="289"/>
        <v>1336</v>
      </c>
      <c r="N151" s="147">
        <f t="shared" si="290"/>
        <v>0</v>
      </c>
      <c r="O151" s="147">
        <f t="shared" si="291"/>
        <v>0</v>
      </c>
      <c r="P151" s="147">
        <f t="shared" si="292"/>
        <v>0</v>
      </c>
      <c r="Q151" s="147">
        <f t="shared" si="293"/>
        <v>0</v>
      </c>
      <c r="R151" s="147">
        <f t="shared" si="294"/>
        <v>0</v>
      </c>
      <c r="S151" s="349">
        <f t="shared" si="295"/>
        <v>305</v>
      </c>
      <c r="T151" s="56"/>
      <c r="U151" s="151"/>
      <c r="V151" s="147"/>
      <c r="W151" s="147"/>
      <c r="X151" s="147"/>
      <c r="Y151" s="147"/>
      <c r="Z151" s="147"/>
      <c r="AA151" s="147"/>
      <c r="AB151" s="147"/>
      <c r="AC151" s="55"/>
      <c r="AD151" s="155">
        <f t="shared" si="303"/>
        <v>2200</v>
      </c>
      <c r="AE151" s="147"/>
      <c r="AF151" s="147"/>
      <c r="AG151" s="147"/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>
        <v>564.76469999999995</v>
      </c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  <c r="BI151" s="147"/>
      <c r="BJ151" s="147"/>
      <c r="BK151" s="147"/>
      <c r="BL151" s="147"/>
      <c r="BM151" s="147"/>
      <c r="BN151" s="147"/>
      <c r="BO151" s="147"/>
      <c r="BP151" s="147"/>
      <c r="BQ151" s="147"/>
      <c r="BR151" s="147"/>
      <c r="BS151" s="147"/>
      <c r="BT151" s="147"/>
      <c r="BU151" s="147"/>
      <c r="BV151" s="266">
        <f>34.3+4</f>
        <v>38.299999999999997</v>
      </c>
      <c r="BW151" s="1">
        <f t="shared" si="279"/>
        <v>2200</v>
      </c>
    </row>
    <row r="152" spans="1:77" x14ac:dyDescent="0.25">
      <c r="A152" s="524"/>
      <c r="C152" s="121">
        <v>2250</v>
      </c>
      <c r="D152" s="347">
        <f t="shared" si="284"/>
        <v>1110.0351000000001</v>
      </c>
      <c r="E152" s="347">
        <f t="shared" si="285"/>
        <v>394.76400000000001</v>
      </c>
      <c r="F152" s="58">
        <f t="shared" si="286"/>
        <v>0</v>
      </c>
      <c r="G152" s="58">
        <f t="shared" si="272"/>
        <v>0</v>
      </c>
      <c r="H152" s="58">
        <f t="shared" si="273"/>
        <v>0</v>
      </c>
      <c r="I152" s="58">
        <f t="shared" si="274"/>
        <v>0</v>
      </c>
      <c r="J152" s="51">
        <f t="shared" si="275"/>
        <v>0</v>
      </c>
      <c r="K152" s="347">
        <f t="shared" si="287"/>
        <v>198.5</v>
      </c>
      <c r="L152" s="353">
        <f t="shared" si="288"/>
        <v>1028</v>
      </c>
      <c r="M152" s="347">
        <f t="shared" si="289"/>
        <v>889</v>
      </c>
      <c r="N152" s="58">
        <f t="shared" si="290"/>
        <v>0</v>
      </c>
      <c r="O152" s="58">
        <f t="shared" si="291"/>
        <v>0</v>
      </c>
      <c r="P152" s="58">
        <f t="shared" si="292"/>
        <v>0</v>
      </c>
      <c r="Q152" s="58">
        <f t="shared" si="293"/>
        <v>0</v>
      </c>
      <c r="R152" s="58">
        <f t="shared" si="294"/>
        <v>0</v>
      </c>
      <c r="S152" s="347">
        <f t="shared" si="295"/>
        <v>658</v>
      </c>
      <c r="T152" s="56"/>
      <c r="U152" s="105"/>
      <c r="V152" s="58"/>
      <c r="W152" s="58"/>
      <c r="X152" s="58"/>
      <c r="Y152" s="58"/>
      <c r="Z152" s="58"/>
      <c r="AA152" s="58"/>
      <c r="AB152" s="58"/>
      <c r="AC152" s="55"/>
      <c r="AD152" s="57">
        <f t="shared" si="303"/>
        <v>2250</v>
      </c>
      <c r="AE152" s="58">
        <v>1110.0351000000001</v>
      </c>
      <c r="AF152" s="58"/>
      <c r="AG152" s="58"/>
      <c r="AH152" s="58"/>
      <c r="AI152" s="58"/>
      <c r="AJ152" s="58"/>
      <c r="AK152" s="58"/>
      <c r="AL152" s="58"/>
      <c r="AM152" s="58"/>
      <c r="AN152" s="58"/>
      <c r="AO152" s="58"/>
      <c r="AP152" s="58"/>
      <c r="AQ152" s="58"/>
      <c r="AR152" s="58"/>
      <c r="AS152" s="58"/>
      <c r="AT152" s="58"/>
      <c r="AU152" s="58"/>
      <c r="AV152" s="58">
        <v>394.76400000000001</v>
      </c>
      <c r="AW152" s="58"/>
      <c r="AX152" s="58"/>
      <c r="AY152" s="58"/>
      <c r="AZ152" s="58"/>
      <c r="BA152" s="58"/>
      <c r="BB152" s="58"/>
      <c r="BC152" s="58"/>
      <c r="BD152" s="58"/>
      <c r="BE152" s="58"/>
      <c r="BF152" s="58"/>
      <c r="BG152" s="58"/>
      <c r="BH152" s="58"/>
      <c r="BI152" s="58"/>
      <c r="BJ152" s="58"/>
      <c r="BK152" s="58"/>
      <c r="BL152" s="58"/>
      <c r="BM152" s="58"/>
      <c r="BN152" s="58"/>
      <c r="BO152" s="58"/>
      <c r="BP152" s="58"/>
      <c r="BQ152" s="58"/>
      <c r="BR152" s="58"/>
      <c r="BS152" s="58"/>
      <c r="BT152" s="58"/>
      <c r="BU152" s="58"/>
      <c r="BV152" s="263">
        <f>194.5+4</f>
        <v>198.5</v>
      </c>
      <c r="BW152" s="1">
        <f t="shared" si="279"/>
        <v>2250</v>
      </c>
    </row>
    <row r="153" spans="1:77" s="3" customFormat="1" ht="15.75" thickBot="1" x14ac:dyDescent="0.3">
      <c r="A153" s="524"/>
      <c r="C153" s="212">
        <v>2300</v>
      </c>
      <c r="D153" s="348">
        <f t="shared" si="284"/>
        <v>1488.817</v>
      </c>
      <c r="E153" s="348">
        <f t="shared" si="285"/>
        <v>347.61970000000002</v>
      </c>
      <c r="F153" s="144">
        <f t="shared" si="286"/>
        <v>0</v>
      </c>
      <c r="G153" s="144">
        <f t="shared" si="272"/>
        <v>0</v>
      </c>
      <c r="H153" s="144">
        <f t="shared" si="273"/>
        <v>0</v>
      </c>
      <c r="I153" s="144">
        <f t="shared" si="274"/>
        <v>0</v>
      </c>
      <c r="J153" s="159">
        <f t="shared" si="275"/>
        <v>0</v>
      </c>
      <c r="K153" s="348">
        <f t="shared" si="287"/>
        <v>276</v>
      </c>
      <c r="L153" s="354">
        <f t="shared" si="288"/>
        <v>2407</v>
      </c>
      <c r="M153" s="348">
        <f t="shared" si="289"/>
        <v>688</v>
      </c>
      <c r="N153" s="144">
        <f t="shared" si="290"/>
        <v>0</v>
      </c>
      <c r="O153" s="144">
        <f t="shared" si="291"/>
        <v>0</v>
      </c>
      <c r="P153" s="144">
        <f t="shared" si="292"/>
        <v>0</v>
      </c>
      <c r="Q153" s="144">
        <f t="shared" si="293"/>
        <v>0</v>
      </c>
      <c r="R153" s="144">
        <f t="shared" si="294"/>
        <v>0</v>
      </c>
      <c r="S153" s="348">
        <f t="shared" si="295"/>
        <v>1319</v>
      </c>
      <c r="T153" s="154"/>
      <c r="U153" s="255">
        <f>L151+L152+L153</f>
        <v>3435</v>
      </c>
      <c r="V153" s="255">
        <f t="shared" ref="V153" si="367">M151+M152+M153</f>
        <v>2913</v>
      </c>
      <c r="W153" s="255">
        <f t="shared" ref="W153" si="368">N151+N152+N153</f>
        <v>0</v>
      </c>
      <c r="X153" s="255">
        <f t="shared" ref="X153" si="369">O151+O152+O153</f>
        <v>0</v>
      </c>
      <c r="Y153" s="255">
        <f t="shared" ref="Y153" si="370">P151+P152+P153</f>
        <v>0</v>
      </c>
      <c r="Z153" s="255">
        <f t="shared" ref="Z153" si="371">Q151+Q152+Q153</f>
        <v>0</v>
      </c>
      <c r="AA153" s="255">
        <f t="shared" ref="AA153" si="372">R151+R152+R153</f>
        <v>0</v>
      </c>
      <c r="AB153" s="255">
        <f t="shared" ref="AB153" si="373">S151+S152+S153</f>
        <v>2282</v>
      </c>
      <c r="AC153" s="153"/>
      <c r="AD153" s="158">
        <f t="shared" si="303"/>
        <v>2300</v>
      </c>
      <c r="AE153" s="144">
        <v>1488.817</v>
      </c>
      <c r="AF153" s="144"/>
      <c r="AG153" s="144"/>
      <c r="AH153" s="144"/>
      <c r="AI153" s="144"/>
      <c r="AJ153" s="144"/>
      <c r="AK153" s="144"/>
      <c r="AL153" s="144"/>
      <c r="AM153" s="144"/>
      <c r="AN153" s="144"/>
      <c r="AO153" s="144"/>
      <c r="AP153" s="144"/>
      <c r="AQ153" s="144"/>
      <c r="AR153" s="144"/>
      <c r="AS153" s="144"/>
      <c r="AT153" s="144"/>
      <c r="AU153" s="144"/>
      <c r="AV153" s="144">
        <v>347.61970000000002</v>
      </c>
      <c r="AW153" s="144"/>
      <c r="AX153" s="144"/>
      <c r="AY153" s="144"/>
      <c r="AZ153" s="144"/>
      <c r="BA153" s="144"/>
      <c r="BB153" s="144"/>
      <c r="BC153" s="144"/>
      <c r="BD153" s="144"/>
      <c r="BE153" s="144"/>
      <c r="BF153" s="144"/>
      <c r="BG153" s="144"/>
      <c r="BH153" s="144"/>
      <c r="BI153" s="144"/>
      <c r="BJ153" s="144"/>
      <c r="BK153" s="144"/>
      <c r="BL153" s="144"/>
      <c r="BM153" s="144"/>
      <c r="BN153" s="144"/>
      <c r="BO153" s="144"/>
      <c r="BP153" s="144"/>
      <c r="BQ153" s="144"/>
      <c r="BR153" s="144"/>
      <c r="BS153" s="144"/>
      <c r="BT153" s="144"/>
      <c r="BU153" s="144"/>
      <c r="BV153" s="265">
        <f>272+4</f>
        <v>276</v>
      </c>
      <c r="BW153" s="1">
        <f t="shared" si="279"/>
        <v>2300</v>
      </c>
      <c r="BX153"/>
      <c r="BY153"/>
    </row>
    <row r="154" spans="1:77" x14ac:dyDescent="0.25">
      <c r="A154" s="524"/>
      <c r="C154" s="210">
        <v>2350</v>
      </c>
      <c r="D154" s="349">
        <f t="shared" si="284"/>
        <v>1350.1813</v>
      </c>
      <c r="E154" s="349">
        <f t="shared" si="285"/>
        <v>404.57780000000002</v>
      </c>
      <c r="F154" s="147">
        <f t="shared" si="286"/>
        <v>76.738299999999995</v>
      </c>
      <c r="G154" s="147">
        <f t="shared" si="272"/>
        <v>0</v>
      </c>
      <c r="H154" s="147">
        <f t="shared" si="273"/>
        <v>0</v>
      </c>
      <c r="I154" s="147">
        <f t="shared" si="274"/>
        <v>0</v>
      </c>
      <c r="J154" s="156">
        <f t="shared" si="275"/>
        <v>0</v>
      </c>
      <c r="K154" s="349">
        <f t="shared" si="287"/>
        <v>288</v>
      </c>
      <c r="L154" s="355">
        <f t="shared" si="288"/>
        <v>2629</v>
      </c>
      <c r="M154" s="349">
        <f t="shared" si="289"/>
        <v>697</v>
      </c>
      <c r="N154" s="147">
        <f t="shared" si="290"/>
        <v>72</v>
      </c>
      <c r="O154" s="147">
        <f t="shared" si="291"/>
        <v>0</v>
      </c>
      <c r="P154" s="147">
        <f t="shared" si="292"/>
        <v>0</v>
      </c>
      <c r="Q154" s="147">
        <f t="shared" si="293"/>
        <v>0</v>
      </c>
      <c r="R154" s="147">
        <f t="shared" si="294"/>
        <v>0</v>
      </c>
      <c r="S154" s="349">
        <f t="shared" si="295"/>
        <v>1567</v>
      </c>
      <c r="T154" s="56"/>
      <c r="U154" s="151"/>
      <c r="V154" s="147"/>
      <c r="W154" s="147"/>
      <c r="X154" s="147"/>
      <c r="Y154" s="147"/>
      <c r="Z154" s="147"/>
      <c r="AA154" s="147"/>
      <c r="AB154" s="147"/>
      <c r="AC154" s="55"/>
      <c r="AD154" s="155">
        <f t="shared" si="303"/>
        <v>2350</v>
      </c>
      <c r="AE154" s="147">
        <v>1153.9835</v>
      </c>
      <c r="AF154" s="246">
        <v>109.96599999999999</v>
      </c>
      <c r="AG154" s="246">
        <v>86.231800000000007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246">
        <v>109.96599999999999</v>
      </c>
      <c r="AW154" s="246"/>
      <c r="AX154" s="147">
        <v>294.61180000000002</v>
      </c>
      <c r="AY154" s="147"/>
      <c r="AZ154" s="147"/>
      <c r="BA154" s="147"/>
      <c r="BB154" s="147"/>
      <c r="BC154" s="147"/>
      <c r="BD154" s="147"/>
      <c r="BE154" s="147"/>
      <c r="BF154" s="147">
        <v>76.738299999999995</v>
      </c>
      <c r="BG154" s="147"/>
      <c r="BH154" s="147"/>
      <c r="BI154" s="147"/>
      <c r="BJ154" s="147"/>
      <c r="BK154" s="147"/>
      <c r="BL154" s="147"/>
      <c r="BM154" s="147"/>
      <c r="BN154" s="147"/>
      <c r="BO154" s="147"/>
      <c r="BP154" s="147"/>
      <c r="BQ154" s="147"/>
      <c r="BR154" s="147"/>
      <c r="BS154" s="147"/>
      <c r="BT154" s="147"/>
      <c r="BU154" s="147"/>
      <c r="BV154" s="266">
        <f>284+4</f>
        <v>288</v>
      </c>
      <c r="BW154" s="1">
        <f t="shared" si="279"/>
        <v>2350</v>
      </c>
    </row>
    <row r="155" spans="1:77" s="3" customFormat="1" ht="15.75" thickBot="1" x14ac:dyDescent="0.3">
      <c r="A155" s="524"/>
      <c r="C155" s="212">
        <v>2400</v>
      </c>
      <c r="D155" s="348">
        <f t="shared" si="284"/>
        <v>1828.4744999999998</v>
      </c>
      <c r="E155" s="348">
        <f t="shared" si="285"/>
        <v>346.68880000000001</v>
      </c>
      <c r="F155" s="144">
        <f t="shared" si="286"/>
        <v>122.39919999999999</v>
      </c>
      <c r="G155" s="144">
        <f t="shared" si="272"/>
        <v>0</v>
      </c>
      <c r="H155" s="144">
        <f t="shared" si="273"/>
        <v>0</v>
      </c>
      <c r="I155" s="144">
        <f t="shared" si="274"/>
        <v>0</v>
      </c>
      <c r="J155" s="159">
        <f t="shared" si="275"/>
        <v>0</v>
      </c>
      <c r="K155" s="348">
        <f t="shared" si="287"/>
        <v>292.5</v>
      </c>
      <c r="L155" s="354">
        <f t="shared" si="288"/>
        <v>2944</v>
      </c>
      <c r="M155" s="348">
        <f t="shared" si="289"/>
        <v>696</v>
      </c>
      <c r="N155" s="144">
        <f t="shared" si="290"/>
        <v>185</v>
      </c>
      <c r="O155" s="144">
        <f t="shared" si="291"/>
        <v>0</v>
      </c>
      <c r="P155" s="144">
        <f t="shared" si="292"/>
        <v>0</v>
      </c>
      <c r="Q155" s="144">
        <f t="shared" si="293"/>
        <v>0</v>
      </c>
      <c r="R155" s="144">
        <f t="shared" si="294"/>
        <v>0</v>
      </c>
      <c r="S155" s="348">
        <f t="shared" si="295"/>
        <v>1613</v>
      </c>
      <c r="T155" s="154"/>
      <c r="U155" s="255">
        <f>L154+L155</f>
        <v>5573</v>
      </c>
      <c r="V155" s="255">
        <f t="shared" ref="V155" si="374">M154+M155</f>
        <v>1393</v>
      </c>
      <c r="W155" s="255">
        <f t="shared" ref="W155" si="375">N154+N155</f>
        <v>257</v>
      </c>
      <c r="X155" s="255">
        <f t="shared" ref="X155" si="376">O154+O155</f>
        <v>0</v>
      </c>
      <c r="Y155" s="255">
        <f t="shared" ref="Y155" si="377">P154+P155</f>
        <v>0</v>
      </c>
      <c r="Z155" s="255">
        <f t="shared" ref="Z155" si="378">Q154+Q155</f>
        <v>0</v>
      </c>
      <c r="AA155" s="255">
        <f t="shared" ref="AA155" si="379">R154+R155</f>
        <v>0</v>
      </c>
      <c r="AB155" s="255">
        <f t="shared" ref="AB155" si="380">S154+S155</f>
        <v>3180</v>
      </c>
      <c r="AC155" s="153"/>
      <c r="AD155" s="158">
        <f t="shared" si="303"/>
        <v>2400</v>
      </c>
      <c r="AE155" s="144">
        <v>1582.5663999999999</v>
      </c>
      <c r="AF155" s="247">
        <v>112.34059999999999</v>
      </c>
      <c r="AG155" s="247">
        <v>133.5675</v>
      </c>
      <c r="AH155" s="144"/>
      <c r="AI155" s="144"/>
      <c r="AJ155" s="144"/>
      <c r="AK155" s="144"/>
      <c r="AL155" s="144"/>
      <c r="AM155" s="144"/>
      <c r="AN155" s="144"/>
      <c r="AO155" s="144"/>
      <c r="AP155" s="144"/>
      <c r="AQ155" s="144"/>
      <c r="AR155" s="144"/>
      <c r="AS155" s="144"/>
      <c r="AT155" s="144"/>
      <c r="AU155" s="144"/>
      <c r="AV155" s="247">
        <v>112.34059999999999</v>
      </c>
      <c r="AW155" s="247"/>
      <c r="AX155" s="144">
        <v>234.34819999999999</v>
      </c>
      <c r="AY155" s="144"/>
      <c r="AZ155" s="144"/>
      <c r="BA155" s="144"/>
      <c r="BB155" s="144"/>
      <c r="BC155" s="144"/>
      <c r="BD155" s="144"/>
      <c r="BE155" s="144"/>
      <c r="BF155" s="144">
        <v>122.39919999999999</v>
      </c>
      <c r="BG155" s="144"/>
      <c r="BH155" s="144"/>
      <c r="BI155" s="144"/>
      <c r="BJ155" s="144"/>
      <c r="BK155" s="144"/>
      <c r="BL155" s="144"/>
      <c r="BM155" s="144"/>
      <c r="BN155" s="144"/>
      <c r="BO155" s="144"/>
      <c r="BP155" s="144"/>
      <c r="BQ155" s="144"/>
      <c r="BR155" s="144"/>
      <c r="BS155" s="144"/>
      <c r="BT155" s="144"/>
      <c r="BU155" s="144"/>
      <c r="BV155" s="265">
        <f>288.5+4</f>
        <v>292.5</v>
      </c>
      <c r="BW155" s="1">
        <f t="shared" si="279"/>
        <v>2400</v>
      </c>
      <c r="BX155"/>
      <c r="BY155"/>
    </row>
    <row r="156" spans="1:77" x14ac:dyDescent="0.25">
      <c r="A156" s="524"/>
      <c r="C156" s="210">
        <v>2450</v>
      </c>
      <c r="D156" s="349">
        <f t="shared" si="284"/>
        <v>1643.4311</v>
      </c>
      <c r="E156" s="349">
        <f t="shared" si="285"/>
        <v>311.89409999999998</v>
      </c>
      <c r="F156" s="147">
        <f t="shared" si="286"/>
        <v>98.789000000000001</v>
      </c>
      <c r="G156" s="147">
        <f t="shared" si="272"/>
        <v>0</v>
      </c>
      <c r="H156" s="147">
        <f t="shared" si="273"/>
        <v>0</v>
      </c>
      <c r="I156" s="147">
        <f t="shared" si="274"/>
        <v>0</v>
      </c>
      <c r="J156" s="156">
        <f t="shared" si="275"/>
        <v>0</v>
      </c>
      <c r="K156" s="349">
        <f t="shared" si="287"/>
        <v>245.3</v>
      </c>
      <c r="L156" s="355">
        <f t="shared" si="288"/>
        <v>3215</v>
      </c>
      <c r="M156" s="349">
        <f t="shared" si="289"/>
        <v>610</v>
      </c>
      <c r="N156" s="147">
        <f t="shared" si="290"/>
        <v>205</v>
      </c>
      <c r="O156" s="147">
        <f t="shared" si="291"/>
        <v>0</v>
      </c>
      <c r="P156" s="147">
        <f t="shared" si="292"/>
        <v>0</v>
      </c>
      <c r="Q156" s="147">
        <f t="shared" si="293"/>
        <v>0</v>
      </c>
      <c r="R156" s="147">
        <f t="shared" si="294"/>
        <v>0</v>
      </c>
      <c r="S156" s="349">
        <f t="shared" si="295"/>
        <v>1494</v>
      </c>
      <c r="T156" s="56"/>
      <c r="U156" s="151"/>
      <c r="V156" s="147"/>
      <c r="W156" s="147"/>
      <c r="X156" s="147"/>
      <c r="Y156" s="147"/>
      <c r="Z156" s="147"/>
      <c r="AA156" s="147"/>
      <c r="AB156" s="147"/>
      <c r="AC156" s="55"/>
      <c r="AD156" s="155">
        <f t="shared" si="303"/>
        <v>2450</v>
      </c>
      <c r="AE156" s="147">
        <v>1405.2044000000001</v>
      </c>
      <c r="AF156" s="246">
        <v>139.06360000000001</v>
      </c>
      <c r="AG156" s="246">
        <v>99.1631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246">
        <v>139.06360000000001</v>
      </c>
      <c r="AW156" s="246">
        <v>0.37409999999999999</v>
      </c>
      <c r="AX156" s="147">
        <v>172.4564</v>
      </c>
      <c r="AY156" s="147"/>
      <c r="AZ156" s="147"/>
      <c r="BA156" s="147"/>
      <c r="BB156" s="147"/>
      <c r="BC156" s="147"/>
      <c r="BD156" s="147"/>
      <c r="BE156" s="147"/>
      <c r="BF156" s="147">
        <v>98.789000000000001</v>
      </c>
      <c r="BG156" s="147"/>
      <c r="BH156" s="147"/>
      <c r="BI156" s="147"/>
      <c r="BJ156" s="147"/>
      <c r="BK156" s="147"/>
      <c r="BL156" s="147"/>
      <c r="BM156" s="147"/>
      <c r="BN156" s="147"/>
      <c r="BO156" s="147"/>
      <c r="BP156" s="147"/>
      <c r="BQ156" s="147"/>
      <c r="BR156" s="147"/>
      <c r="BS156" s="147"/>
      <c r="BT156" s="147"/>
      <c r="BU156" s="147"/>
      <c r="BV156" s="266">
        <f>241.3+4</f>
        <v>245.3</v>
      </c>
      <c r="BW156" s="1">
        <f t="shared" si="279"/>
        <v>2450</v>
      </c>
    </row>
    <row r="157" spans="1:77" s="3" customFormat="1" ht="15.75" thickBot="1" x14ac:dyDescent="0.3">
      <c r="A157" s="524"/>
      <c r="C157" s="212">
        <v>2500</v>
      </c>
      <c r="D157" s="348">
        <f t="shared" si="284"/>
        <v>1245.1752999999999</v>
      </c>
      <c r="E157" s="348">
        <f t="shared" si="285"/>
        <v>308.77719999999999</v>
      </c>
      <c r="F157" s="144">
        <f>SUM(BF157:BH157)</f>
        <v>78.995000000000005</v>
      </c>
      <c r="G157" s="144">
        <f t="shared" si="272"/>
        <v>0</v>
      </c>
      <c r="H157" s="144">
        <f t="shared" si="273"/>
        <v>0</v>
      </c>
      <c r="I157" s="144">
        <f t="shared" si="274"/>
        <v>0</v>
      </c>
      <c r="J157" s="159">
        <f t="shared" si="275"/>
        <v>0</v>
      </c>
      <c r="K157" s="348">
        <f t="shared" si="287"/>
        <v>193.4</v>
      </c>
      <c r="L157" s="354">
        <f t="shared" si="288"/>
        <v>2675</v>
      </c>
      <c r="M157" s="348">
        <f t="shared" si="289"/>
        <v>575</v>
      </c>
      <c r="N157" s="144">
        <f t="shared" si="290"/>
        <v>165</v>
      </c>
      <c r="O157" s="144">
        <f t="shared" si="291"/>
        <v>0</v>
      </c>
      <c r="P157" s="144">
        <f t="shared" si="292"/>
        <v>0</v>
      </c>
      <c r="Q157" s="144">
        <f t="shared" si="293"/>
        <v>0</v>
      </c>
      <c r="R157" s="144">
        <f t="shared" si="294"/>
        <v>0</v>
      </c>
      <c r="S157" s="348">
        <f t="shared" si="295"/>
        <v>1219</v>
      </c>
      <c r="T157" s="154"/>
      <c r="U157" s="255">
        <f>L156+L157</f>
        <v>5890</v>
      </c>
      <c r="V157" s="255">
        <f t="shared" ref="V157" si="381">M156+M157</f>
        <v>1185</v>
      </c>
      <c r="W157" s="255">
        <f t="shared" ref="W157" si="382">N156+N157</f>
        <v>370</v>
      </c>
      <c r="X157" s="255">
        <f t="shared" ref="X157" si="383">O156+O157</f>
        <v>0</v>
      </c>
      <c r="Y157" s="255">
        <f t="shared" ref="Y157" si="384">P156+P157</f>
        <v>0</v>
      </c>
      <c r="Z157" s="255">
        <f t="shared" ref="Z157" si="385">Q156+Q157</f>
        <v>0</v>
      </c>
      <c r="AA157" s="255">
        <f t="shared" ref="AA157" si="386">R156+R157</f>
        <v>0</v>
      </c>
      <c r="AB157" s="255">
        <f t="shared" ref="AB157" si="387">S156+S157</f>
        <v>2713</v>
      </c>
      <c r="AC157" s="153"/>
      <c r="AD157" s="158">
        <f t="shared" si="303"/>
        <v>2500</v>
      </c>
      <c r="AE157" s="144">
        <v>1068.1388999999999</v>
      </c>
      <c r="AF157" s="247">
        <v>123.0505</v>
      </c>
      <c r="AG157" s="247">
        <v>53.985900000000001</v>
      </c>
      <c r="AH157" s="144"/>
      <c r="AI157" s="144"/>
      <c r="AJ157" s="144"/>
      <c r="AK157" s="144"/>
      <c r="AL157" s="144"/>
      <c r="AM157" s="144"/>
      <c r="AN157" s="144"/>
      <c r="AO157" s="144"/>
      <c r="AP157" s="144"/>
      <c r="AQ157" s="144"/>
      <c r="AR157" s="144"/>
      <c r="AS157" s="144"/>
      <c r="AT157" s="144"/>
      <c r="AU157" s="144"/>
      <c r="AV157" s="247"/>
      <c r="AW157" s="247"/>
      <c r="AX157" s="144">
        <v>308.77719999999999</v>
      </c>
      <c r="AY157" s="144"/>
      <c r="AZ157" s="144"/>
      <c r="BA157" s="144"/>
      <c r="BB157" s="144"/>
      <c r="BC157" s="144"/>
      <c r="BD157" s="144"/>
      <c r="BE157" s="144"/>
      <c r="BF157" s="144">
        <v>25.0091</v>
      </c>
      <c r="BG157" s="144">
        <v>53.985900000000001</v>
      </c>
      <c r="BH157" s="144"/>
      <c r="BI157" s="144"/>
      <c r="BJ157" s="144"/>
      <c r="BK157" s="144"/>
      <c r="BL157" s="144"/>
      <c r="BM157" s="144"/>
      <c r="BN157" s="144"/>
      <c r="BO157" s="144"/>
      <c r="BP157" s="144"/>
      <c r="BQ157" s="144"/>
      <c r="BR157" s="144"/>
      <c r="BS157" s="144"/>
      <c r="BT157" s="144"/>
      <c r="BU157" s="144"/>
      <c r="BV157" s="265">
        <f>189.4+4</f>
        <v>193.4</v>
      </c>
      <c r="BW157" s="1">
        <f t="shared" si="279"/>
        <v>2500</v>
      </c>
      <c r="BX157"/>
      <c r="BY157"/>
    </row>
    <row r="158" spans="1:77" x14ac:dyDescent="0.25">
      <c r="A158" s="524"/>
      <c r="C158" s="210">
        <v>2550</v>
      </c>
      <c r="D158" s="349">
        <f t="shared" si="284"/>
        <v>1242.8984</v>
      </c>
      <c r="E158" s="349">
        <f t="shared" si="285"/>
        <v>275.78129999999999</v>
      </c>
      <c r="F158" s="147">
        <f t="shared" si="286"/>
        <v>114.1623</v>
      </c>
      <c r="G158" s="147">
        <f t="shared" si="272"/>
        <v>0</v>
      </c>
      <c r="H158" s="147">
        <f t="shared" si="273"/>
        <v>0</v>
      </c>
      <c r="I158" s="147">
        <f t="shared" si="274"/>
        <v>0</v>
      </c>
      <c r="J158" s="156">
        <f t="shared" si="275"/>
        <v>0</v>
      </c>
      <c r="K158" s="349">
        <f t="shared" si="287"/>
        <v>157.30000000000001</v>
      </c>
      <c r="L158" s="355">
        <f t="shared" si="288"/>
        <v>2304</v>
      </c>
      <c r="M158" s="349">
        <f t="shared" si="289"/>
        <v>542</v>
      </c>
      <c r="N158" s="147">
        <f t="shared" si="290"/>
        <v>179</v>
      </c>
      <c r="O158" s="147">
        <f t="shared" si="291"/>
        <v>0</v>
      </c>
      <c r="P158" s="147">
        <f t="shared" si="292"/>
        <v>0</v>
      </c>
      <c r="Q158" s="147">
        <f t="shared" si="293"/>
        <v>0</v>
      </c>
      <c r="R158" s="147">
        <f t="shared" si="294"/>
        <v>0</v>
      </c>
      <c r="S158" s="349">
        <f t="shared" si="295"/>
        <v>975</v>
      </c>
      <c r="T158" s="56"/>
      <c r="U158" s="151"/>
      <c r="V158" s="147"/>
      <c r="W158" s="147"/>
      <c r="X158" s="147"/>
      <c r="Y158" s="147"/>
      <c r="Z158" s="147"/>
      <c r="AA158" s="147"/>
      <c r="AB158" s="147"/>
      <c r="AC158" s="55"/>
      <c r="AD158" s="155">
        <f t="shared" si="303"/>
        <v>2550</v>
      </c>
      <c r="AE158" s="147">
        <v>1083.3651</v>
      </c>
      <c r="AF158" s="246">
        <v>100.5515</v>
      </c>
      <c r="AG158" s="246">
        <v>58.9818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246"/>
      <c r="AW158" s="246"/>
      <c r="AX158" s="147">
        <v>275.78129999999999</v>
      </c>
      <c r="AY158" s="147"/>
      <c r="AZ158" s="147"/>
      <c r="BA158" s="147"/>
      <c r="BB158" s="147"/>
      <c r="BC158" s="147"/>
      <c r="BD158" s="147"/>
      <c r="BE158" s="147"/>
      <c r="BF158" s="147">
        <v>114.1623</v>
      </c>
      <c r="BG158" s="147"/>
      <c r="BH158" s="147"/>
      <c r="BI158" s="147"/>
      <c r="BJ158" s="147"/>
      <c r="BK158" s="147"/>
      <c r="BL158" s="147"/>
      <c r="BM158" s="147"/>
      <c r="BN158" s="147"/>
      <c r="BO158" s="147"/>
      <c r="BP158" s="147"/>
      <c r="BQ158" s="147"/>
      <c r="BR158" s="147"/>
      <c r="BS158" s="147"/>
      <c r="BT158" s="147"/>
      <c r="BU158" s="147"/>
      <c r="BV158" s="266">
        <f>153.3+4</f>
        <v>157.30000000000001</v>
      </c>
      <c r="BW158" s="1">
        <f t="shared" si="279"/>
        <v>2550</v>
      </c>
    </row>
    <row r="159" spans="1:77" x14ac:dyDescent="0.25">
      <c r="A159" s="524"/>
      <c r="C159" s="121">
        <v>2600</v>
      </c>
      <c r="D159" s="347">
        <f t="shared" si="284"/>
        <v>885.68139999999994</v>
      </c>
      <c r="E159" s="347">
        <f t="shared" si="285"/>
        <v>332.13990000000001</v>
      </c>
      <c r="F159" s="58">
        <f t="shared" si="286"/>
        <v>521.77290000000005</v>
      </c>
      <c r="G159" s="58">
        <f t="shared" si="272"/>
        <v>0</v>
      </c>
      <c r="H159" s="58">
        <f t="shared" si="273"/>
        <v>0</v>
      </c>
      <c r="I159" s="58">
        <f t="shared" si="274"/>
        <v>0</v>
      </c>
      <c r="J159" s="51">
        <f t="shared" si="275"/>
        <v>0</v>
      </c>
      <c r="K159" s="347">
        <f t="shared" si="287"/>
        <v>176.2</v>
      </c>
      <c r="L159" s="353">
        <f t="shared" si="288"/>
        <v>1971</v>
      </c>
      <c r="M159" s="347">
        <f t="shared" si="289"/>
        <v>563</v>
      </c>
      <c r="N159" s="58">
        <f>ROUNDUP(((F158+F159)*0.5)*(C159-C158)/27,0)</f>
        <v>589</v>
      </c>
      <c r="O159" s="58">
        <f t="shared" si="291"/>
        <v>0</v>
      </c>
      <c r="P159" s="58">
        <f t="shared" si="292"/>
        <v>0</v>
      </c>
      <c r="Q159" s="58">
        <f t="shared" si="293"/>
        <v>0</v>
      </c>
      <c r="R159" s="58">
        <f t="shared" si="294"/>
        <v>0</v>
      </c>
      <c r="S159" s="347">
        <f t="shared" si="295"/>
        <v>927</v>
      </c>
      <c r="T159" s="56"/>
      <c r="U159" s="105"/>
      <c r="V159" s="58"/>
      <c r="W159" s="58"/>
      <c r="X159" s="58"/>
      <c r="Y159" s="58"/>
      <c r="Z159" s="58"/>
      <c r="AA159" s="58"/>
      <c r="AB159" s="58"/>
      <c r="AC159" s="55"/>
      <c r="AD159" s="57">
        <f t="shared" si="303"/>
        <v>2600</v>
      </c>
      <c r="AE159" s="58">
        <v>798.03089999999997</v>
      </c>
      <c r="AF159" s="119">
        <v>48.5944</v>
      </c>
      <c r="AG159" s="119">
        <v>39.056100000000001</v>
      </c>
      <c r="AH159" s="58"/>
      <c r="AI159" s="58"/>
      <c r="AJ159" s="58"/>
      <c r="AK159" s="58"/>
      <c r="AL159" s="58"/>
      <c r="AM159" s="58"/>
      <c r="AN159" s="58"/>
      <c r="AO159" s="58"/>
      <c r="AP159" s="58"/>
      <c r="AQ159" s="58"/>
      <c r="AR159" s="58"/>
      <c r="AS159" s="58"/>
      <c r="AT159" s="58"/>
      <c r="AU159" s="58"/>
      <c r="AV159" s="119"/>
      <c r="AW159" s="119"/>
      <c r="AX159" s="58">
        <v>332.13990000000001</v>
      </c>
      <c r="AY159" s="58"/>
      <c r="AZ159" s="58"/>
      <c r="BA159" s="58"/>
      <c r="BB159" s="58"/>
      <c r="BC159" s="58"/>
      <c r="BD159" s="58"/>
      <c r="BE159" s="58"/>
      <c r="BF159" s="58">
        <v>521.77290000000005</v>
      </c>
      <c r="BG159" s="58"/>
      <c r="BH159" s="58"/>
      <c r="BI159" s="58"/>
      <c r="BJ159" s="58"/>
      <c r="BK159" s="58"/>
      <c r="BL159" s="58"/>
      <c r="BM159" s="58"/>
      <c r="BN159" s="58"/>
      <c r="BO159" s="58"/>
      <c r="BP159" s="58"/>
      <c r="BQ159" s="58"/>
      <c r="BR159" s="58"/>
      <c r="BS159" s="58"/>
      <c r="BT159" s="58"/>
      <c r="BU159" s="58"/>
      <c r="BV159" s="263">
        <f>176.2</f>
        <v>176.2</v>
      </c>
      <c r="BW159" s="1">
        <f t="shared" si="279"/>
        <v>2600</v>
      </c>
    </row>
    <row r="160" spans="1:77" s="3" customFormat="1" ht="15.75" thickBot="1" x14ac:dyDescent="0.3">
      <c r="A160" s="524"/>
      <c r="C160" s="212">
        <v>2650</v>
      </c>
      <c r="D160" s="348">
        <f t="shared" si="284"/>
        <v>298.8689</v>
      </c>
      <c r="E160" s="348">
        <f t="shared" si="285"/>
        <v>272.89280000000002</v>
      </c>
      <c r="F160" s="144">
        <f t="shared" si="286"/>
        <v>909.26300000000003</v>
      </c>
      <c r="G160" s="144">
        <f t="shared" si="272"/>
        <v>0</v>
      </c>
      <c r="H160" s="144">
        <f t="shared" si="273"/>
        <v>0</v>
      </c>
      <c r="I160" s="144">
        <f t="shared" si="274"/>
        <v>0</v>
      </c>
      <c r="J160" s="159">
        <f t="shared" si="275"/>
        <v>0</v>
      </c>
      <c r="K160" s="348">
        <f t="shared" si="287"/>
        <v>131.9</v>
      </c>
      <c r="L160" s="354">
        <f t="shared" si="288"/>
        <v>1097</v>
      </c>
      <c r="M160" s="348">
        <f t="shared" si="289"/>
        <v>561</v>
      </c>
      <c r="N160" s="144">
        <f>ROUNDUP(((F159+F160)*0.5)*(C160-C159)/27,0)</f>
        <v>1326</v>
      </c>
      <c r="O160" s="144">
        <f t="shared" si="291"/>
        <v>0</v>
      </c>
      <c r="P160" s="144">
        <f t="shared" si="292"/>
        <v>0</v>
      </c>
      <c r="Q160" s="144">
        <f t="shared" si="293"/>
        <v>0</v>
      </c>
      <c r="R160" s="144">
        <f t="shared" si="294"/>
        <v>0</v>
      </c>
      <c r="S160" s="348">
        <f t="shared" si="295"/>
        <v>856</v>
      </c>
      <c r="T160" s="154"/>
      <c r="U160" s="255">
        <f>L158+L159+L160</f>
        <v>5372</v>
      </c>
      <c r="V160" s="255">
        <f t="shared" ref="V160" si="388">M158+M159+M160</f>
        <v>1666</v>
      </c>
      <c r="W160" s="255">
        <f>N158+N159+N160</f>
        <v>2094</v>
      </c>
      <c r="X160" s="255">
        <f t="shared" ref="X160" si="389">O158+O159+O160</f>
        <v>0</v>
      </c>
      <c r="Y160" s="255">
        <f t="shared" ref="Y160" si="390">P158+P159+P160</f>
        <v>0</v>
      </c>
      <c r="Z160" s="255">
        <f t="shared" ref="Z160" si="391">Q158+Q159+Q160</f>
        <v>0</v>
      </c>
      <c r="AA160" s="255">
        <f t="shared" ref="AA160" si="392">R158+R159+R160</f>
        <v>0</v>
      </c>
      <c r="AB160" s="255">
        <f t="shared" ref="AB160" si="393">S158+S159+S160</f>
        <v>2758</v>
      </c>
      <c r="AC160" s="153"/>
      <c r="AD160" s="158">
        <f t="shared" si="303"/>
        <v>2650</v>
      </c>
      <c r="AE160" s="144">
        <v>298.8689</v>
      </c>
      <c r="AF160" s="144"/>
      <c r="AG160" s="144"/>
      <c r="AH160" s="144"/>
      <c r="AI160" s="144"/>
      <c r="AJ160" s="144"/>
      <c r="AK160" s="144"/>
      <c r="AL160" s="144"/>
      <c r="AM160" s="144"/>
      <c r="AN160" s="144"/>
      <c r="AO160" s="144"/>
      <c r="AP160" s="144"/>
      <c r="AQ160" s="144"/>
      <c r="AR160" s="144"/>
      <c r="AS160" s="144"/>
      <c r="AT160" s="144"/>
      <c r="AU160" s="144"/>
      <c r="AV160" s="144">
        <v>272.89280000000002</v>
      </c>
      <c r="AW160" s="144"/>
      <c r="AX160" s="144"/>
      <c r="AY160" s="144"/>
      <c r="AZ160" s="144"/>
      <c r="BA160" s="144"/>
      <c r="BB160" s="144"/>
      <c r="BC160" s="144"/>
      <c r="BD160" s="144"/>
      <c r="BE160" s="144"/>
      <c r="BF160" s="144">
        <v>909.26300000000003</v>
      </c>
      <c r="BG160" s="144"/>
      <c r="BH160" s="144"/>
      <c r="BI160" s="144"/>
      <c r="BJ160" s="144"/>
      <c r="BK160" s="144"/>
      <c r="BL160" s="144"/>
      <c r="BM160" s="144"/>
      <c r="BN160" s="144"/>
      <c r="BO160" s="144"/>
      <c r="BP160" s="144"/>
      <c r="BQ160" s="144"/>
      <c r="BR160" s="144"/>
      <c r="BS160" s="144"/>
      <c r="BT160" s="144"/>
      <c r="BU160" s="144"/>
      <c r="BV160" s="265">
        <v>131.9</v>
      </c>
      <c r="BW160" s="1">
        <f t="shared" si="279"/>
        <v>2650</v>
      </c>
      <c r="BX160"/>
      <c r="BY160"/>
    </row>
    <row r="161" spans="1:77" s="62" customFormat="1" x14ac:dyDescent="0.25">
      <c r="A161" s="524"/>
      <c r="B161" s="248" t="s">
        <v>53</v>
      </c>
      <c r="C161" s="504">
        <v>2660.42</v>
      </c>
      <c r="D161" s="361">
        <f t="shared" si="284"/>
        <v>232.91499999999999</v>
      </c>
      <c r="E161" s="361">
        <f t="shared" si="285"/>
        <v>258.29629999999997</v>
      </c>
      <c r="F161" s="161">
        <f t="shared" si="286"/>
        <v>897.59570000000008</v>
      </c>
      <c r="G161" s="161">
        <f t="shared" si="272"/>
        <v>0</v>
      </c>
      <c r="H161" s="161">
        <f t="shared" si="273"/>
        <v>0</v>
      </c>
      <c r="I161" s="161">
        <f t="shared" si="274"/>
        <v>0</v>
      </c>
      <c r="J161" s="162">
        <f t="shared" si="275"/>
        <v>0</v>
      </c>
      <c r="K161" s="361">
        <f t="shared" si="287"/>
        <v>126.4845</v>
      </c>
      <c r="L161" s="386">
        <f>ROUNDUP(((D160+D161)*0.5)*(C161-C160)/27,0)</f>
        <v>103</v>
      </c>
      <c r="M161" s="361">
        <f>ROUNDUP(((E160+E161)*0.5)*(C161-C160)/27,0)</f>
        <v>103</v>
      </c>
      <c r="N161" s="161">
        <f>ROUNDUP(((F160+F161)*0.5)*(C161-C160)/27,0)</f>
        <v>349</v>
      </c>
      <c r="O161" s="161">
        <f t="shared" si="291"/>
        <v>0</v>
      </c>
      <c r="P161" s="161">
        <f t="shared" si="292"/>
        <v>0</v>
      </c>
      <c r="Q161" s="161">
        <f t="shared" si="293"/>
        <v>0</v>
      </c>
      <c r="R161" s="161">
        <f t="shared" si="294"/>
        <v>0</v>
      </c>
      <c r="S161" s="361">
        <f t="shared" si="295"/>
        <v>150</v>
      </c>
      <c r="T161" s="64"/>
      <c r="U161" s="164"/>
      <c r="V161" s="161"/>
      <c r="W161" s="161"/>
      <c r="X161" s="161"/>
      <c r="Y161" s="161"/>
      <c r="Z161" s="161"/>
      <c r="AA161" s="161"/>
      <c r="AB161" s="161"/>
      <c r="AC161" s="63"/>
      <c r="AD161" s="451">
        <f t="shared" si="303"/>
        <v>2660.42</v>
      </c>
      <c r="AE161" s="161">
        <v>232.91499999999999</v>
      </c>
      <c r="AF161" s="161"/>
      <c r="AG161" s="161"/>
      <c r="AH161" s="161"/>
      <c r="AI161" s="161"/>
      <c r="AJ161" s="161"/>
      <c r="AK161" s="161"/>
      <c r="AL161" s="161"/>
      <c r="AM161" s="161"/>
      <c r="AN161" s="161"/>
      <c r="AO161" s="161"/>
      <c r="AP161" s="161"/>
      <c r="AQ161" s="161"/>
      <c r="AR161" s="161"/>
      <c r="AS161" s="161"/>
      <c r="AT161" s="161"/>
      <c r="AU161" s="161"/>
      <c r="AV161" s="161">
        <v>114.9789</v>
      </c>
      <c r="AW161" s="161">
        <v>143.31739999999999</v>
      </c>
      <c r="AX161" s="161"/>
      <c r="AY161" s="161"/>
      <c r="AZ161" s="161"/>
      <c r="BA161" s="161"/>
      <c r="BB161" s="161"/>
      <c r="BC161" s="161"/>
      <c r="BD161" s="161"/>
      <c r="BE161" s="161"/>
      <c r="BF161" s="161">
        <v>486.2527</v>
      </c>
      <c r="BG161" s="161">
        <v>411.34300000000002</v>
      </c>
      <c r="BH161" s="161"/>
      <c r="BI161" s="161"/>
      <c r="BJ161" s="161"/>
      <c r="BK161" s="161"/>
      <c r="BL161" s="161"/>
      <c r="BM161" s="161"/>
      <c r="BN161" s="161"/>
      <c r="BO161" s="161"/>
      <c r="BP161" s="161"/>
      <c r="BQ161" s="161"/>
      <c r="BR161" s="161"/>
      <c r="BS161" s="161"/>
      <c r="BT161" s="161"/>
      <c r="BU161" s="161">
        <v>119.807</v>
      </c>
      <c r="BV161" s="267">
        <v>6.6775000000000002</v>
      </c>
      <c r="BW161" s="522">
        <f t="shared" si="279"/>
        <v>2660.42</v>
      </c>
      <c r="BX161"/>
      <c r="BY161"/>
    </row>
    <row r="162" spans="1:77" s="62" customFormat="1" x14ac:dyDescent="0.25">
      <c r="A162" s="524"/>
      <c r="B162" s="130" t="s">
        <v>54</v>
      </c>
      <c r="C162" s="505"/>
      <c r="D162" s="362">
        <f t="shared" si="284"/>
        <v>0</v>
      </c>
      <c r="E162" s="362">
        <f t="shared" si="285"/>
        <v>143.31739999999999</v>
      </c>
      <c r="F162" s="59">
        <f t="shared" si="286"/>
        <v>411.34300000000002</v>
      </c>
      <c r="G162" s="59">
        <f t="shared" si="272"/>
        <v>0</v>
      </c>
      <c r="H162" s="59">
        <f t="shared" si="273"/>
        <v>0</v>
      </c>
      <c r="I162" s="59">
        <f t="shared" si="274"/>
        <v>0</v>
      </c>
      <c r="J162" s="60">
        <f t="shared" si="275"/>
        <v>0</v>
      </c>
      <c r="K162" s="362">
        <f t="shared" si="287"/>
        <v>6.6775000000000002</v>
      </c>
      <c r="L162" s="397"/>
      <c r="M162" s="362"/>
      <c r="N162" s="59"/>
      <c r="O162" s="59"/>
      <c r="P162" s="59"/>
      <c r="Q162" s="59"/>
      <c r="R162" s="59"/>
      <c r="S162" s="362"/>
      <c r="T162" s="64"/>
      <c r="U162" s="106"/>
      <c r="V162" s="59"/>
      <c r="W162" s="59"/>
      <c r="X162" s="59"/>
      <c r="Y162" s="59"/>
      <c r="Z162" s="59"/>
      <c r="AA162" s="59"/>
      <c r="AB162" s="59"/>
      <c r="AC162" s="63"/>
      <c r="AD162" s="452"/>
      <c r="AE162" s="59"/>
      <c r="AF162" s="59"/>
      <c r="AG162" s="59"/>
      <c r="AH162" s="59"/>
      <c r="AI162" s="59"/>
      <c r="AJ162" s="59"/>
      <c r="AK162" s="59"/>
      <c r="AL162" s="59"/>
      <c r="AM162" s="59"/>
      <c r="AN162" s="59"/>
      <c r="AO162" s="59"/>
      <c r="AP162" s="59"/>
      <c r="AQ162" s="59"/>
      <c r="AR162" s="59"/>
      <c r="AS162" s="59"/>
      <c r="AT162" s="59"/>
      <c r="AU162" s="59"/>
      <c r="AV162" s="59"/>
      <c r="AW162" s="59">
        <f>AW161</f>
        <v>143.31739999999999</v>
      </c>
      <c r="AX162" s="59"/>
      <c r="AY162" s="59"/>
      <c r="AZ162" s="59"/>
      <c r="BA162" s="59"/>
      <c r="BB162" s="59"/>
      <c r="BC162" s="59"/>
      <c r="BD162" s="59"/>
      <c r="BE162" s="59"/>
      <c r="BF162" s="59"/>
      <c r="BG162" s="59">
        <f>BG161</f>
        <v>411.34300000000002</v>
      </c>
      <c r="BH162" s="59"/>
      <c r="BI162" s="59"/>
      <c r="BJ162" s="59"/>
      <c r="BK162" s="59"/>
      <c r="BL162" s="59"/>
      <c r="BM162" s="59"/>
      <c r="BN162" s="59"/>
      <c r="BO162" s="59"/>
      <c r="BP162" s="59"/>
      <c r="BQ162" s="59"/>
      <c r="BR162" s="59"/>
      <c r="BS162" s="59"/>
      <c r="BT162" s="59"/>
      <c r="BU162" s="161"/>
      <c r="BV162" s="267">
        <v>6.6775000000000002</v>
      </c>
      <c r="BW162" s="522"/>
      <c r="BX162"/>
      <c r="BY162"/>
    </row>
    <row r="163" spans="1:77" x14ac:dyDescent="0.25">
      <c r="A163" s="524"/>
      <c r="C163" s="121">
        <v>2700</v>
      </c>
      <c r="D163" s="347">
        <f t="shared" si="284"/>
        <v>0</v>
      </c>
      <c r="E163" s="347">
        <f t="shared" si="285"/>
        <v>147.2783</v>
      </c>
      <c r="F163" s="58">
        <f t="shared" si="286"/>
        <v>603.0172</v>
      </c>
      <c r="G163" s="58">
        <f t="shared" si="272"/>
        <v>0</v>
      </c>
      <c r="H163" s="58">
        <f t="shared" si="273"/>
        <v>0</v>
      </c>
      <c r="I163" s="58">
        <f t="shared" si="274"/>
        <v>0</v>
      </c>
      <c r="J163" s="51">
        <f t="shared" si="275"/>
        <v>0</v>
      </c>
      <c r="K163" s="347">
        <f t="shared" si="287"/>
        <v>40.217300000000002</v>
      </c>
      <c r="L163" s="398">
        <f>ROUNDUP(((D162+D163)*0.5)*(C163-C161)/27,0)</f>
        <v>0</v>
      </c>
      <c r="M163" s="347">
        <f>ROUNDUP(((E162+E163)*0.5)*(C163-C161)/27,0)</f>
        <v>213</v>
      </c>
      <c r="N163" s="58">
        <f>ROUNDUP(((F162+F163)*0.5)*(C163-C161)/27,0)</f>
        <v>744</v>
      </c>
      <c r="O163" s="58">
        <f>ROUNDUP(((G162+G163)*0.5)*(C163-C161)/27,0)</f>
        <v>0</v>
      </c>
      <c r="P163" s="58">
        <f t="shared" ref="P163" si="394">ROUNDUP(((H162+H163)*0.5)*(G163-G162)/27,0)</f>
        <v>0</v>
      </c>
      <c r="Q163" s="58">
        <f>ROUNDUP(((I162+I163)*0.5)*(C163-C161)/27,0)</f>
        <v>0</v>
      </c>
      <c r="R163" s="58">
        <f>ROUNDUP(((J162+J163)*0.5)*(C163-C161)/27,0)</f>
        <v>0</v>
      </c>
      <c r="S163" s="347">
        <f>ROUNDUP(((K162+K163)*0.5)*(C163-C161)/27,0)</f>
        <v>35</v>
      </c>
      <c r="T163" s="56"/>
      <c r="U163" s="105"/>
      <c r="V163" s="58"/>
      <c r="W163" s="58"/>
      <c r="X163" s="58"/>
      <c r="Y163" s="58"/>
      <c r="Z163" s="58"/>
      <c r="AA163" s="58"/>
      <c r="AB163" s="58"/>
      <c r="AC163" s="55"/>
      <c r="AD163" s="57">
        <f t="shared" si="303"/>
        <v>2700</v>
      </c>
      <c r="AE163" s="58"/>
      <c r="AF163" s="58"/>
      <c r="AG163" s="58"/>
      <c r="AH163" s="58"/>
      <c r="AI163" s="58"/>
      <c r="AJ163" s="58"/>
      <c r="AK163" s="58"/>
      <c r="AL163" s="58"/>
      <c r="AM163" s="58"/>
      <c r="AN163" s="58"/>
      <c r="AO163" s="58"/>
      <c r="AP163" s="58"/>
      <c r="AQ163" s="58"/>
      <c r="AR163" s="58"/>
      <c r="AS163" s="58"/>
      <c r="AT163" s="58"/>
      <c r="AU163" s="58"/>
      <c r="AV163" s="58">
        <v>147.2783</v>
      </c>
      <c r="AW163" s="58"/>
      <c r="AX163" s="58"/>
      <c r="AY163" s="58"/>
      <c r="AZ163" s="58"/>
      <c r="BA163" s="58"/>
      <c r="BB163" s="58"/>
      <c r="BC163" s="58"/>
      <c r="BD163" s="58"/>
      <c r="BE163" s="58"/>
      <c r="BF163" s="58">
        <v>589.11320000000001</v>
      </c>
      <c r="BG163" s="58">
        <v>13.904</v>
      </c>
      <c r="BH163" s="58"/>
      <c r="BI163" s="58"/>
      <c r="BJ163" s="58"/>
      <c r="BK163" s="58"/>
      <c r="BL163" s="58"/>
      <c r="BM163" s="58"/>
      <c r="BN163" s="58"/>
      <c r="BO163" s="58"/>
      <c r="BP163" s="58"/>
      <c r="BQ163" s="58"/>
      <c r="BR163" s="58"/>
      <c r="BS163" s="58"/>
      <c r="BT163" s="58"/>
      <c r="BU163" s="58"/>
      <c r="BV163" s="263">
        <v>40.217300000000002</v>
      </c>
      <c r="BW163" s="1">
        <f t="shared" si="279"/>
        <v>2700</v>
      </c>
    </row>
    <row r="164" spans="1:77" s="3" customFormat="1" ht="15.75" thickBot="1" x14ac:dyDescent="0.3">
      <c r="A164" s="524"/>
      <c r="C164" s="212">
        <v>2750</v>
      </c>
      <c r="D164" s="348">
        <f t="shared" si="284"/>
        <v>0</v>
      </c>
      <c r="E164" s="348">
        <f t="shared" si="285"/>
        <v>109.36539999999999</v>
      </c>
      <c r="F164" s="144">
        <f t="shared" si="286"/>
        <v>565.62419999999997</v>
      </c>
      <c r="G164" s="144">
        <f t="shared" si="272"/>
        <v>0</v>
      </c>
      <c r="H164" s="144">
        <f t="shared" si="273"/>
        <v>0</v>
      </c>
      <c r="I164" s="144">
        <f t="shared" si="274"/>
        <v>0</v>
      </c>
      <c r="J164" s="159">
        <f t="shared" si="275"/>
        <v>0</v>
      </c>
      <c r="K164" s="348">
        <f t="shared" si="287"/>
        <v>12.9</v>
      </c>
      <c r="L164" s="399">
        <f t="shared" si="288"/>
        <v>0</v>
      </c>
      <c r="M164" s="348">
        <f t="shared" si="289"/>
        <v>238</v>
      </c>
      <c r="N164" s="144">
        <f>ROUNDUP(((F163+F164)*0.5)*(C164-C163)/27,0)</f>
        <v>1083</v>
      </c>
      <c r="O164" s="144">
        <f t="shared" si="291"/>
        <v>0</v>
      </c>
      <c r="P164" s="144">
        <f t="shared" si="292"/>
        <v>0</v>
      </c>
      <c r="Q164" s="144">
        <f t="shared" si="293"/>
        <v>0</v>
      </c>
      <c r="R164" s="144">
        <f t="shared" si="294"/>
        <v>0</v>
      </c>
      <c r="S164" s="348">
        <f t="shared" si="295"/>
        <v>148</v>
      </c>
      <c r="T164" s="154"/>
      <c r="U164" s="255">
        <f>L161+L162+L163+L164</f>
        <v>103</v>
      </c>
      <c r="V164" s="255">
        <f t="shared" ref="V164" si="395">M161+M162+M163+M164</f>
        <v>554</v>
      </c>
      <c r="W164" s="255">
        <f t="shared" ref="W164" si="396">N161+N162+N163+N164</f>
        <v>2176</v>
      </c>
      <c r="X164" s="255">
        <f t="shared" ref="X164" si="397">O161+O162+O163+O164</f>
        <v>0</v>
      </c>
      <c r="Y164" s="255">
        <f t="shared" ref="Y164" si="398">P161+P162+P163+P164</f>
        <v>0</v>
      </c>
      <c r="Z164" s="255">
        <f t="shared" ref="Z164" si="399">Q161+Q162+Q163+Q164</f>
        <v>0</v>
      </c>
      <c r="AA164" s="255">
        <f t="shared" ref="AA164" si="400">R161+R162+R163+R164</f>
        <v>0</v>
      </c>
      <c r="AB164" s="255">
        <f t="shared" ref="AB164" si="401">S161+S162+S163+S164</f>
        <v>333</v>
      </c>
      <c r="AC164" s="153"/>
      <c r="AD164" s="158">
        <f t="shared" si="303"/>
        <v>2750</v>
      </c>
      <c r="AE164" s="144"/>
      <c r="AF164" s="144"/>
      <c r="AG164" s="144"/>
      <c r="AH164" s="144"/>
      <c r="AI164" s="144"/>
      <c r="AJ164" s="144"/>
      <c r="AK164" s="144"/>
      <c r="AL164" s="144"/>
      <c r="AM164" s="144"/>
      <c r="AN164" s="144"/>
      <c r="AO164" s="144"/>
      <c r="AP164" s="144"/>
      <c r="AQ164" s="144"/>
      <c r="AR164" s="144"/>
      <c r="AS164" s="144"/>
      <c r="AT164" s="144"/>
      <c r="AU164" s="144"/>
      <c r="AV164" s="144">
        <v>109.36539999999999</v>
      </c>
      <c r="AW164" s="144"/>
      <c r="AX164" s="144"/>
      <c r="AY164" s="144"/>
      <c r="AZ164" s="144"/>
      <c r="BA164" s="144"/>
      <c r="BB164" s="144"/>
      <c r="BC164" s="144"/>
      <c r="BD164" s="144"/>
      <c r="BE164" s="144"/>
      <c r="BF164" s="144">
        <v>565.62419999999997</v>
      </c>
      <c r="BG164" s="144"/>
      <c r="BH164" s="144"/>
      <c r="BI164" s="144"/>
      <c r="BJ164" s="144"/>
      <c r="BK164" s="144"/>
      <c r="BL164" s="144"/>
      <c r="BM164" s="144"/>
      <c r="BN164" s="144"/>
      <c r="BO164" s="144"/>
      <c r="BP164" s="144"/>
      <c r="BQ164" s="144"/>
      <c r="BR164" s="144"/>
      <c r="BS164" s="144"/>
      <c r="BT164" s="144"/>
      <c r="BU164" s="144"/>
      <c r="BV164" s="265">
        <v>12.9</v>
      </c>
      <c r="BW164" s="1">
        <f t="shared" si="279"/>
        <v>2750</v>
      </c>
      <c r="BX164"/>
      <c r="BY164"/>
    </row>
    <row r="165" spans="1:77" s="62" customFormat="1" x14ac:dyDescent="0.25">
      <c r="A165" s="524"/>
      <c r="B165" s="248" t="s">
        <v>53</v>
      </c>
      <c r="C165" s="504">
        <v>2787.75</v>
      </c>
      <c r="D165" s="361">
        <f t="shared" si="284"/>
        <v>0</v>
      </c>
      <c r="E165" s="361">
        <f t="shared" si="285"/>
        <v>101.98480000000001</v>
      </c>
      <c r="F165" s="161">
        <f t="shared" si="286"/>
        <v>624.43560000000002</v>
      </c>
      <c r="G165" s="161">
        <f t="shared" si="272"/>
        <v>0</v>
      </c>
      <c r="H165" s="161">
        <f t="shared" si="273"/>
        <v>0</v>
      </c>
      <c r="I165" s="161">
        <f t="shared" si="274"/>
        <v>0</v>
      </c>
      <c r="J165" s="162">
        <f t="shared" si="275"/>
        <v>0</v>
      </c>
      <c r="K165" s="361">
        <f t="shared" si="287"/>
        <v>13.789300000000001</v>
      </c>
      <c r="L165" s="386">
        <f>ROUNDUP(((D164+D165)*0.5)*(C165-C164)/27,0)</f>
        <v>0</v>
      </c>
      <c r="M165" s="361">
        <f>ROUNDUP(((E164+E165)*0.5)*(C165-C164)/27,0)</f>
        <v>148</v>
      </c>
      <c r="N165" s="161">
        <f>ROUNDUP(((F164+F165)*0.5)*(C165-C164)/27,0)</f>
        <v>832</v>
      </c>
      <c r="O165" s="161">
        <f t="shared" ref="O165" si="402">ROUNDUP(((G165+G164)*0.5)*(C165-C164)/27,0)</f>
        <v>0</v>
      </c>
      <c r="P165" s="161">
        <f t="shared" ref="P165" si="403">ROUNDUP(((H165+H164)*0.5)*(C165-C164)/27,0)</f>
        <v>0</v>
      </c>
      <c r="Q165" s="161">
        <f t="shared" ref="Q165" si="404">ROUNDUP(((I165+I164)*0.5)*(C165-C164)/9,0)</f>
        <v>0</v>
      </c>
      <c r="R165" s="161">
        <f t="shared" ref="R165" si="405">ROUNDUP(((J165+J164)*0.5)*(C165-C164)/9,0)</f>
        <v>0</v>
      </c>
      <c r="S165" s="361">
        <f t="shared" ref="S165" si="406">ROUNDUP(((K165+K164)*0.5)*(C165-C164)/9,0)</f>
        <v>56</v>
      </c>
      <c r="T165" s="64"/>
      <c r="U165" s="164"/>
      <c r="V165" s="161"/>
      <c r="W165" s="161"/>
      <c r="X165" s="161"/>
      <c r="Y165" s="161"/>
      <c r="Z165" s="161"/>
      <c r="AA165" s="161"/>
      <c r="AB165" s="161"/>
      <c r="AC165" s="63"/>
      <c r="AD165" s="451">
        <f t="shared" si="303"/>
        <v>2787.75</v>
      </c>
      <c r="AE165" s="161"/>
      <c r="AF165" s="161"/>
      <c r="AG165" s="161"/>
      <c r="AH165" s="161"/>
      <c r="AI165" s="161"/>
      <c r="AJ165" s="161"/>
      <c r="AK165" s="161"/>
      <c r="AL165" s="161"/>
      <c r="AM165" s="161"/>
      <c r="AN165" s="161"/>
      <c r="AO165" s="161"/>
      <c r="AP165" s="161"/>
      <c r="AQ165" s="161"/>
      <c r="AR165" s="161"/>
      <c r="AS165" s="161"/>
      <c r="AT165" s="161"/>
      <c r="AU165" s="161"/>
      <c r="AV165" s="161"/>
      <c r="AW165" s="161">
        <v>101.98480000000001</v>
      </c>
      <c r="AX165" s="161"/>
      <c r="AY165" s="161"/>
      <c r="AZ165" s="161"/>
      <c r="BA165" s="161"/>
      <c r="BB165" s="161"/>
      <c r="BC165" s="161"/>
      <c r="BD165" s="161"/>
      <c r="BE165" s="161"/>
      <c r="BF165" s="161"/>
      <c r="BG165" s="161">
        <v>624.43560000000002</v>
      </c>
      <c r="BH165" s="161"/>
      <c r="BI165" s="161"/>
      <c r="BJ165" s="161"/>
      <c r="BK165" s="161"/>
      <c r="BL165" s="161"/>
      <c r="BM165" s="161"/>
      <c r="BN165" s="161"/>
      <c r="BO165" s="161"/>
      <c r="BP165" s="161"/>
      <c r="BQ165" s="161"/>
      <c r="BR165" s="161"/>
      <c r="BS165" s="161"/>
      <c r="BT165" s="161"/>
      <c r="BU165" s="161"/>
      <c r="BV165" s="267">
        <v>13.789300000000001</v>
      </c>
      <c r="BW165" s="522">
        <f t="shared" si="279"/>
        <v>2787.75</v>
      </c>
      <c r="BX165"/>
      <c r="BY165"/>
    </row>
    <row r="166" spans="1:77" s="62" customFormat="1" x14ac:dyDescent="0.25">
      <c r="A166" s="524"/>
      <c r="B166" s="130" t="s">
        <v>54</v>
      </c>
      <c r="C166" s="505"/>
      <c r="D166" s="362">
        <f t="shared" si="284"/>
        <v>0</v>
      </c>
      <c r="E166" s="362">
        <f t="shared" si="285"/>
        <v>146.239</v>
      </c>
      <c r="F166" s="59">
        <f t="shared" si="286"/>
        <v>1153.9874</v>
      </c>
      <c r="G166" s="59">
        <f t="shared" si="272"/>
        <v>0</v>
      </c>
      <c r="H166" s="59">
        <f t="shared" si="273"/>
        <v>0</v>
      </c>
      <c r="I166" s="59">
        <f t="shared" si="274"/>
        <v>0</v>
      </c>
      <c r="J166" s="60">
        <f t="shared" si="275"/>
        <v>0</v>
      </c>
      <c r="K166" s="362">
        <f t="shared" si="287"/>
        <v>65.791700000000006</v>
      </c>
      <c r="L166" s="397"/>
      <c r="M166" s="362"/>
      <c r="N166" s="59"/>
      <c r="O166" s="59"/>
      <c r="P166" s="59"/>
      <c r="Q166" s="59"/>
      <c r="R166" s="59"/>
      <c r="S166" s="362"/>
      <c r="T166" s="64"/>
      <c r="U166" s="106"/>
      <c r="V166" s="59"/>
      <c r="W166" s="59"/>
      <c r="X166" s="59"/>
      <c r="Y166" s="59"/>
      <c r="Z166" s="59"/>
      <c r="AA166" s="59"/>
      <c r="AB166" s="59"/>
      <c r="AC166" s="63"/>
      <c r="AD166" s="452"/>
      <c r="AE166" s="59"/>
      <c r="AF166" s="59"/>
      <c r="AG166" s="59"/>
      <c r="AH166" s="59"/>
      <c r="AI166" s="59"/>
      <c r="AJ166" s="59"/>
      <c r="AK166" s="59"/>
      <c r="AL166" s="59"/>
      <c r="AM166" s="59"/>
      <c r="AN166" s="59"/>
      <c r="AO166" s="59"/>
      <c r="AP166" s="59"/>
      <c r="AQ166" s="59"/>
      <c r="AR166" s="59"/>
      <c r="AS166" s="59"/>
      <c r="AT166" s="59"/>
      <c r="AU166" s="59"/>
      <c r="AV166" s="59">
        <v>44.254199999999997</v>
      </c>
      <c r="AW166" s="59">
        <v>101.98480000000001</v>
      </c>
      <c r="AX166" s="59"/>
      <c r="AY166" s="59"/>
      <c r="AZ166" s="59"/>
      <c r="BA166" s="59"/>
      <c r="BB166" s="59"/>
      <c r="BC166" s="59"/>
      <c r="BD166" s="59"/>
      <c r="BE166" s="59"/>
      <c r="BF166" s="59">
        <v>529.55179999999996</v>
      </c>
      <c r="BG166" s="59">
        <v>624.43560000000002</v>
      </c>
      <c r="BH166" s="59"/>
      <c r="BI166" s="59"/>
      <c r="BJ166" s="59"/>
      <c r="BK166" s="59"/>
      <c r="BL166" s="59"/>
      <c r="BM166" s="59"/>
      <c r="BN166" s="59"/>
      <c r="BO166" s="59"/>
      <c r="BP166" s="59"/>
      <c r="BQ166" s="59"/>
      <c r="BR166" s="59"/>
      <c r="BS166" s="59"/>
      <c r="BT166" s="59"/>
      <c r="BU166" s="161">
        <f>48.0024+4</f>
        <v>52.002400000000002</v>
      </c>
      <c r="BV166" s="267">
        <v>13.789300000000001</v>
      </c>
      <c r="BW166" s="522"/>
      <c r="BX166"/>
      <c r="BY166"/>
    </row>
    <row r="167" spans="1:77" x14ac:dyDescent="0.25">
      <c r="A167" s="524"/>
      <c r="C167" s="121">
        <v>2800</v>
      </c>
      <c r="D167" s="347">
        <f t="shared" si="284"/>
        <v>0</v>
      </c>
      <c r="E167" s="347">
        <f t="shared" si="285"/>
        <v>145.3262</v>
      </c>
      <c r="F167" s="58">
        <f t="shared" si="286"/>
        <v>1224.6206</v>
      </c>
      <c r="G167" s="58">
        <f t="shared" si="272"/>
        <v>0</v>
      </c>
      <c r="H167" s="58">
        <f t="shared" si="273"/>
        <v>0</v>
      </c>
      <c r="I167" s="58">
        <f t="shared" si="274"/>
        <v>0</v>
      </c>
      <c r="J167" s="51">
        <f t="shared" si="275"/>
        <v>0</v>
      </c>
      <c r="K167" s="347">
        <f t="shared" si="287"/>
        <v>71.400000000000006</v>
      </c>
      <c r="L167" s="398">
        <f>ROUNDUP(((D166+D167)*0.5)*(C167-C165)/27,0)</f>
        <v>0</v>
      </c>
      <c r="M167" s="347">
        <f>ROUNDUP(((E166+E167)*0.5)*(C167-C165)/27,0)</f>
        <v>67</v>
      </c>
      <c r="N167" s="58">
        <f>ROUNDUP(((F166+F167)*0.5)*(C167-C165)/27,0)</f>
        <v>540</v>
      </c>
      <c r="O167" s="58">
        <f>ROUNDUP(((G166+G167)*0.5)*(C167-C165)/27,0)</f>
        <v>0</v>
      </c>
      <c r="P167" s="58">
        <f>ROUNDUP(((H166+H167)*0.5)*(C167-C165)/27,0)</f>
        <v>0</v>
      </c>
      <c r="Q167" s="58">
        <f>ROUNDUP(((I166+I167)*0.5)*(C167-C165)/27,0)</f>
        <v>0</v>
      </c>
      <c r="R167" s="58">
        <f>ROUNDUP(((J166+J167)*0.5)*(C167-C165)/27,0)</f>
        <v>0</v>
      </c>
      <c r="S167" s="347">
        <f>ROUNDUP(((K166+K167)*0.5)*(C167-C165)/27,0)</f>
        <v>32</v>
      </c>
      <c r="T167" s="56"/>
      <c r="U167" s="105"/>
      <c r="V167" s="58"/>
      <c r="W167" s="58"/>
      <c r="X167" s="58"/>
      <c r="Y167" s="58"/>
      <c r="Z167" s="58"/>
      <c r="AA167" s="58"/>
      <c r="AB167" s="58"/>
      <c r="AC167" s="55"/>
      <c r="AD167" s="57">
        <f t="shared" si="303"/>
        <v>2800</v>
      </c>
      <c r="AE167" s="58"/>
      <c r="AF167" s="58"/>
      <c r="AG167" s="58"/>
      <c r="AH167" s="58"/>
      <c r="AI167" s="58"/>
      <c r="AJ167" s="58"/>
      <c r="AK167" s="58"/>
      <c r="AL167" s="58"/>
      <c r="AM167" s="58"/>
      <c r="AN167" s="58"/>
      <c r="AO167" s="58"/>
      <c r="AP167" s="58"/>
      <c r="AQ167" s="58"/>
      <c r="AR167" s="58"/>
      <c r="AS167" s="58"/>
      <c r="AT167" s="58"/>
      <c r="AU167" s="58"/>
      <c r="AV167" s="58">
        <v>145.3262</v>
      </c>
      <c r="AW167" s="58"/>
      <c r="AX167" s="58"/>
      <c r="AY167" s="58"/>
      <c r="AZ167" s="58"/>
      <c r="BA167" s="58"/>
      <c r="BB167" s="58"/>
      <c r="BC167" s="58"/>
      <c r="BD167" s="58"/>
      <c r="BE167" s="58"/>
      <c r="BF167" s="58">
        <v>1224.6206</v>
      </c>
      <c r="BG167" s="58"/>
      <c r="BH167" s="58"/>
      <c r="BI167" s="58"/>
      <c r="BJ167" s="58"/>
      <c r="BK167" s="58"/>
      <c r="BL167" s="58"/>
      <c r="BM167" s="58"/>
      <c r="BN167" s="58"/>
      <c r="BO167" s="58"/>
      <c r="BP167" s="58"/>
      <c r="BQ167" s="58"/>
      <c r="BR167" s="58"/>
      <c r="BS167" s="58"/>
      <c r="BT167" s="58"/>
      <c r="BU167" s="58"/>
      <c r="BV167" s="263">
        <f>67.4+4</f>
        <v>71.400000000000006</v>
      </c>
      <c r="BW167" s="1">
        <f t="shared" si="279"/>
        <v>2800</v>
      </c>
    </row>
    <row r="168" spans="1:77" x14ac:dyDescent="0.25">
      <c r="A168" s="524"/>
      <c r="C168" s="121">
        <v>2850</v>
      </c>
      <c r="D168" s="347">
        <f t="shared" si="284"/>
        <v>0</v>
      </c>
      <c r="E168" s="347">
        <f t="shared" si="285"/>
        <v>157.21289999999999</v>
      </c>
      <c r="F168" s="58">
        <f t="shared" si="286"/>
        <v>1348.0322000000001</v>
      </c>
      <c r="G168" s="58">
        <f t="shared" si="272"/>
        <v>0</v>
      </c>
      <c r="H168" s="58">
        <f t="shared" si="273"/>
        <v>0</v>
      </c>
      <c r="I168" s="58">
        <f t="shared" si="274"/>
        <v>0</v>
      </c>
      <c r="J168" s="51">
        <f t="shared" si="275"/>
        <v>0</v>
      </c>
      <c r="K168" s="347">
        <f t="shared" si="287"/>
        <v>76.2</v>
      </c>
      <c r="L168" s="353">
        <f t="shared" si="288"/>
        <v>0</v>
      </c>
      <c r="M168" s="347">
        <f t="shared" si="289"/>
        <v>281</v>
      </c>
      <c r="N168" s="58">
        <f t="shared" si="290"/>
        <v>2383</v>
      </c>
      <c r="O168" s="58">
        <f t="shared" si="291"/>
        <v>0</v>
      </c>
      <c r="P168" s="58">
        <f t="shared" si="292"/>
        <v>0</v>
      </c>
      <c r="Q168" s="58">
        <f t="shared" si="293"/>
        <v>0</v>
      </c>
      <c r="R168" s="58">
        <f t="shared" si="294"/>
        <v>0</v>
      </c>
      <c r="S168" s="347">
        <f t="shared" si="295"/>
        <v>410</v>
      </c>
      <c r="T168" s="56"/>
      <c r="U168" s="105"/>
      <c r="V168" s="58"/>
      <c r="W168" s="58"/>
      <c r="X168" s="58"/>
      <c r="Y168" s="58"/>
      <c r="Z168" s="58"/>
      <c r="AA168" s="58"/>
      <c r="AB168" s="58"/>
      <c r="AC168" s="55"/>
      <c r="AD168" s="57">
        <f t="shared" si="303"/>
        <v>2850</v>
      </c>
      <c r="AE168" s="58"/>
      <c r="AF168" s="58"/>
      <c r="AG168" s="58"/>
      <c r="AH168" s="58"/>
      <c r="AI168" s="58"/>
      <c r="AJ168" s="58"/>
      <c r="AK168" s="58"/>
      <c r="AL168" s="58"/>
      <c r="AM168" s="58"/>
      <c r="AN168" s="58"/>
      <c r="AO168" s="58"/>
      <c r="AP168" s="58"/>
      <c r="AQ168" s="58"/>
      <c r="AR168" s="58"/>
      <c r="AS168" s="58"/>
      <c r="AT168" s="58"/>
      <c r="AU168" s="58"/>
      <c r="AV168" s="58">
        <v>157.21289999999999</v>
      </c>
      <c r="AW168" s="58"/>
      <c r="AX168" s="58"/>
      <c r="AY168" s="58"/>
      <c r="AZ168" s="58"/>
      <c r="BA168" s="58"/>
      <c r="BB168" s="58"/>
      <c r="BC168" s="58"/>
      <c r="BD168" s="58"/>
      <c r="BE168" s="58"/>
      <c r="BF168" s="58">
        <v>1348.0322000000001</v>
      </c>
      <c r="BG168" s="58"/>
      <c r="BH168" s="58"/>
      <c r="BI168" s="58"/>
      <c r="BJ168" s="58"/>
      <c r="BK168" s="58"/>
      <c r="BL168" s="58"/>
      <c r="BM168" s="58"/>
      <c r="BN168" s="58"/>
      <c r="BO168" s="58"/>
      <c r="BP168" s="58"/>
      <c r="BQ168" s="58"/>
      <c r="BR168" s="58"/>
      <c r="BS168" s="58"/>
      <c r="BT168" s="58"/>
      <c r="BU168" s="58"/>
      <c r="BV168" s="263">
        <f>72.2+4</f>
        <v>76.2</v>
      </c>
      <c r="BW168" s="1">
        <f t="shared" si="279"/>
        <v>2850</v>
      </c>
    </row>
    <row r="169" spans="1:77" s="3" customFormat="1" ht="15.75" thickBot="1" x14ac:dyDescent="0.3">
      <c r="A169" s="524"/>
      <c r="C169" s="212">
        <v>2900</v>
      </c>
      <c r="D169" s="348">
        <f t="shared" si="284"/>
        <v>0</v>
      </c>
      <c r="E169" s="348">
        <f t="shared" si="285"/>
        <v>196.77799999999999</v>
      </c>
      <c r="F169" s="144">
        <f t="shared" si="286"/>
        <v>1433.0332000000001</v>
      </c>
      <c r="G169" s="144">
        <f t="shared" si="272"/>
        <v>0</v>
      </c>
      <c r="H169" s="144">
        <f t="shared" si="273"/>
        <v>0</v>
      </c>
      <c r="I169" s="144">
        <f t="shared" si="274"/>
        <v>0</v>
      </c>
      <c r="J169" s="159">
        <f t="shared" si="275"/>
        <v>0</v>
      </c>
      <c r="K169" s="348">
        <f t="shared" si="287"/>
        <v>81.599999999999994</v>
      </c>
      <c r="L169" s="354">
        <f t="shared" si="288"/>
        <v>0</v>
      </c>
      <c r="M169" s="348">
        <f t="shared" si="289"/>
        <v>328</v>
      </c>
      <c r="N169" s="144">
        <f t="shared" si="290"/>
        <v>2576</v>
      </c>
      <c r="O169" s="144">
        <f t="shared" si="291"/>
        <v>0</v>
      </c>
      <c r="P169" s="144">
        <f t="shared" si="292"/>
        <v>0</v>
      </c>
      <c r="Q169" s="144">
        <f t="shared" si="293"/>
        <v>0</v>
      </c>
      <c r="R169" s="144">
        <f t="shared" si="294"/>
        <v>0</v>
      </c>
      <c r="S169" s="348">
        <f t="shared" si="295"/>
        <v>439</v>
      </c>
      <c r="T169" s="154"/>
      <c r="U169" s="255">
        <f>L165+L166+L167+L168+L169</f>
        <v>0</v>
      </c>
      <c r="V169" s="255">
        <f t="shared" ref="V169:AB169" si="407">M165+M166+M167+M168+M169</f>
        <v>824</v>
      </c>
      <c r="W169" s="255">
        <f t="shared" si="407"/>
        <v>6331</v>
      </c>
      <c r="X169" s="255">
        <f t="shared" si="407"/>
        <v>0</v>
      </c>
      <c r="Y169" s="255">
        <f t="shared" si="407"/>
        <v>0</v>
      </c>
      <c r="Z169" s="255">
        <f t="shared" si="407"/>
        <v>0</v>
      </c>
      <c r="AA169" s="255">
        <f t="shared" si="407"/>
        <v>0</v>
      </c>
      <c r="AB169" s="255">
        <f t="shared" si="407"/>
        <v>937</v>
      </c>
      <c r="AC169" s="153"/>
      <c r="AD169" s="158">
        <f t="shared" si="303"/>
        <v>2900</v>
      </c>
      <c r="AE169" s="144"/>
      <c r="AF169" s="144"/>
      <c r="AG169" s="144"/>
      <c r="AH169" s="144"/>
      <c r="AI169" s="144"/>
      <c r="AJ169" s="144"/>
      <c r="AK169" s="144"/>
      <c r="AL169" s="144"/>
      <c r="AM169" s="144"/>
      <c r="AN169" s="144"/>
      <c r="AO169" s="144"/>
      <c r="AP169" s="144"/>
      <c r="AQ169" s="144"/>
      <c r="AR169" s="144"/>
      <c r="AS169" s="144"/>
      <c r="AT169" s="144"/>
      <c r="AU169" s="144"/>
      <c r="AV169" s="144">
        <v>196.77799999999999</v>
      </c>
      <c r="AW169" s="144"/>
      <c r="AX169" s="144"/>
      <c r="AY169" s="144"/>
      <c r="AZ169" s="144"/>
      <c r="BA169" s="144"/>
      <c r="BB169" s="144"/>
      <c r="BC169" s="144"/>
      <c r="BD169" s="144"/>
      <c r="BE169" s="144"/>
      <c r="BF169" s="144">
        <v>1433.0332000000001</v>
      </c>
      <c r="BG169" s="144"/>
      <c r="BH169" s="144"/>
      <c r="BI169" s="144"/>
      <c r="BJ169" s="144"/>
      <c r="BK169" s="144"/>
      <c r="BL169" s="144"/>
      <c r="BM169" s="144"/>
      <c r="BN169" s="144"/>
      <c r="BO169" s="144"/>
      <c r="BP169" s="144"/>
      <c r="BQ169" s="144"/>
      <c r="BR169" s="144"/>
      <c r="BS169" s="144"/>
      <c r="BT169" s="144"/>
      <c r="BU169" s="144"/>
      <c r="BV169" s="265">
        <f>77.6+4</f>
        <v>81.599999999999994</v>
      </c>
      <c r="BW169" s="1">
        <f t="shared" si="279"/>
        <v>2900</v>
      </c>
      <c r="BX169"/>
      <c r="BY169"/>
    </row>
    <row r="170" spans="1:77" x14ac:dyDescent="0.25">
      <c r="A170" s="524"/>
      <c r="C170" s="210">
        <v>2950</v>
      </c>
      <c r="D170" s="349">
        <f t="shared" si="284"/>
        <v>0</v>
      </c>
      <c r="E170" s="349">
        <f t="shared" si="285"/>
        <v>279.4828</v>
      </c>
      <c r="F170" s="147">
        <f t="shared" si="286"/>
        <v>1260.4376</v>
      </c>
      <c r="G170" s="147">
        <f t="shared" si="272"/>
        <v>0</v>
      </c>
      <c r="H170" s="147">
        <f t="shared" si="273"/>
        <v>0</v>
      </c>
      <c r="I170" s="147">
        <f t="shared" si="274"/>
        <v>0</v>
      </c>
      <c r="J170" s="156">
        <f t="shared" si="275"/>
        <v>0</v>
      </c>
      <c r="K170" s="349">
        <f t="shared" si="287"/>
        <v>44</v>
      </c>
      <c r="L170" s="355">
        <f t="shared" si="288"/>
        <v>0</v>
      </c>
      <c r="M170" s="349">
        <f t="shared" si="289"/>
        <v>441</v>
      </c>
      <c r="N170" s="147">
        <f t="shared" si="290"/>
        <v>2494</v>
      </c>
      <c r="O170" s="147">
        <f t="shared" si="291"/>
        <v>0</v>
      </c>
      <c r="P170" s="147">
        <f t="shared" si="292"/>
        <v>0</v>
      </c>
      <c r="Q170" s="147">
        <f t="shared" si="293"/>
        <v>0</v>
      </c>
      <c r="R170" s="147">
        <f t="shared" si="294"/>
        <v>0</v>
      </c>
      <c r="S170" s="349">
        <f t="shared" si="295"/>
        <v>349</v>
      </c>
      <c r="T170" s="56"/>
      <c r="U170" s="151"/>
      <c r="V170" s="147"/>
      <c r="W170" s="147"/>
      <c r="X170" s="147"/>
      <c r="Y170" s="147"/>
      <c r="Z170" s="147"/>
      <c r="AA170" s="147"/>
      <c r="AB170" s="147"/>
      <c r="AC170" s="55"/>
      <c r="AD170" s="155">
        <f t="shared" si="303"/>
        <v>2950</v>
      </c>
      <c r="AE170" s="147"/>
      <c r="AF170" s="147"/>
      <c r="AG170" s="147"/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>
        <v>279.4828</v>
      </c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>
        <v>1260.4376</v>
      </c>
      <c r="BG170" s="147"/>
      <c r="BH170" s="147"/>
      <c r="BI170" s="147"/>
      <c r="BJ170" s="147"/>
      <c r="BK170" s="147"/>
      <c r="BL170" s="147"/>
      <c r="BM170" s="147"/>
      <c r="BN170" s="147"/>
      <c r="BO170" s="147"/>
      <c r="BP170" s="147"/>
      <c r="BQ170" s="147"/>
      <c r="BR170" s="147"/>
      <c r="BS170" s="147"/>
      <c r="BT170" s="147"/>
      <c r="BU170" s="147"/>
      <c r="BV170" s="266">
        <v>44</v>
      </c>
      <c r="BW170" s="1">
        <f t="shared" si="279"/>
        <v>2950</v>
      </c>
    </row>
    <row r="171" spans="1:77" x14ac:dyDescent="0.25">
      <c r="A171" s="524"/>
      <c r="C171" s="121">
        <v>3000</v>
      </c>
      <c r="D171" s="347">
        <f t="shared" si="284"/>
        <v>182.09979999999999</v>
      </c>
      <c r="E171" s="347">
        <f t="shared" si="285"/>
        <v>373.21460000000002</v>
      </c>
      <c r="F171" s="58">
        <f t="shared" si="286"/>
        <v>1890.9771000000001</v>
      </c>
      <c r="G171" s="58">
        <f t="shared" si="272"/>
        <v>0</v>
      </c>
      <c r="H171" s="58">
        <f t="shared" si="273"/>
        <v>0</v>
      </c>
      <c r="I171" s="58">
        <f t="shared" si="274"/>
        <v>0</v>
      </c>
      <c r="J171" s="51">
        <f t="shared" si="275"/>
        <v>0</v>
      </c>
      <c r="K171" s="347">
        <f t="shared" si="287"/>
        <v>142.4</v>
      </c>
      <c r="L171" s="353">
        <f t="shared" si="288"/>
        <v>169</v>
      </c>
      <c r="M171" s="347">
        <f t="shared" si="289"/>
        <v>605</v>
      </c>
      <c r="N171" s="58">
        <f t="shared" si="290"/>
        <v>2918</v>
      </c>
      <c r="O171" s="58">
        <f t="shared" si="291"/>
        <v>0</v>
      </c>
      <c r="P171" s="58">
        <f t="shared" si="292"/>
        <v>0</v>
      </c>
      <c r="Q171" s="58">
        <f t="shared" si="293"/>
        <v>0</v>
      </c>
      <c r="R171" s="58">
        <f t="shared" si="294"/>
        <v>0</v>
      </c>
      <c r="S171" s="347">
        <f t="shared" si="295"/>
        <v>518</v>
      </c>
      <c r="T171" s="56"/>
      <c r="U171" s="105"/>
      <c r="V171" s="58"/>
      <c r="W171" s="58"/>
      <c r="X171" s="58"/>
      <c r="Y171" s="58"/>
      <c r="Z171" s="58"/>
      <c r="AA171" s="58"/>
      <c r="AB171" s="58"/>
      <c r="AC171" s="55"/>
      <c r="AD171" s="57">
        <f t="shared" si="303"/>
        <v>3000</v>
      </c>
      <c r="AE171" s="58">
        <v>182.09979999999999</v>
      </c>
      <c r="AF171" s="58"/>
      <c r="AG171" s="58"/>
      <c r="AH171" s="58"/>
      <c r="AI171" s="58"/>
      <c r="AJ171" s="58"/>
      <c r="AK171" s="58"/>
      <c r="AL171" s="58"/>
      <c r="AM171" s="58"/>
      <c r="AN171" s="58"/>
      <c r="AO171" s="58"/>
      <c r="AP171" s="58"/>
      <c r="AQ171" s="58"/>
      <c r="AR171" s="58"/>
      <c r="AS171" s="58"/>
      <c r="AT171" s="58"/>
      <c r="AU171" s="58"/>
      <c r="AV171" s="58">
        <v>373.21460000000002</v>
      </c>
      <c r="AW171" s="58"/>
      <c r="AX171" s="58"/>
      <c r="AY171" s="58"/>
      <c r="AZ171" s="58"/>
      <c r="BA171" s="58"/>
      <c r="BB171" s="58"/>
      <c r="BC171" s="58"/>
      <c r="BD171" s="58"/>
      <c r="BE171" s="58"/>
      <c r="BF171" s="58">
        <v>1890.9771000000001</v>
      </c>
      <c r="BG171" s="58"/>
      <c r="BH171" s="58"/>
      <c r="BI171" s="58"/>
      <c r="BJ171" s="58"/>
      <c r="BK171" s="58"/>
      <c r="BL171" s="58"/>
      <c r="BM171" s="58"/>
      <c r="BN171" s="58"/>
      <c r="BO171" s="58"/>
      <c r="BP171" s="58"/>
      <c r="BQ171" s="58"/>
      <c r="BR171" s="58"/>
      <c r="BS171" s="58"/>
      <c r="BT171" s="58"/>
      <c r="BU171" s="58"/>
      <c r="BV171" s="263">
        <f>138.4+4</f>
        <v>142.4</v>
      </c>
      <c r="BW171" s="1">
        <f t="shared" si="279"/>
        <v>3000</v>
      </c>
    </row>
    <row r="172" spans="1:77" x14ac:dyDescent="0.25">
      <c r="A172" s="524"/>
      <c r="C172" s="121">
        <v>3050</v>
      </c>
      <c r="D172" s="347">
        <f t="shared" si="284"/>
        <v>10.3353</v>
      </c>
      <c r="E172" s="347">
        <f t="shared" si="285"/>
        <v>536.39829999999995</v>
      </c>
      <c r="F172" s="58">
        <f t="shared" si="286"/>
        <v>1474.9027000000001</v>
      </c>
      <c r="G172" s="58">
        <f t="shared" si="272"/>
        <v>0</v>
      </c>
      <c r="H172" s="58">
        <f t="shared" si="273"/>
        <v>0</v>
      </c>
      <c r="I172" s="58">
        <f t="shared" si="274"/>
        <v>0</v>
      </c>
      <c r="J172" s="51">
        <f t="shared" si="275"/>
        <v>0</v>
      </c>
      <c r="K172" s="347">
        <f t="shared" si="287"/>
        <v>109.5</v>
      </c>
      <c r="L172" s="353">
        <f t="shared" si="288"/>
        <v>179</v>
      </c>
      <c r="M172" s="347">
        <f t="shared" si="289"/>
        <v>843</v>
      </c>
      <c r="N172" s="58">
        <f t="shared" si="290"/>
        <v>3117</v>
      </c>
      <c r="O172" s="58">
        <f t="shared" si="291"/>
        <v>0</v>
      </c>
      <c r="P172" s="58">
        <f t="shared" si="292"/>
        <v>0</v>
      </c>
      <c r="Q172" s="58">
        <f t="shared" si="293"/>
        <v>0</v>
      </c>
      <c r="R172" s="58">
        <f t="shared" si="294"/>
        <v>0</v>
      </c>
      <c r="S172" s="347">
        <f t="shared" si="295"/>
        <v>700</v>
      </c>
      <c r="T172" s="56"/>
      <c r="U172" s="105"/>
      <c r="V172" s="58"/>
      <c r="W172" s="58"/>
      <c r="X172" s="58"/>
      <c r="Y172" s="58"/>
      <c r="Z172" s="58"/>
      <c r="AA172" s="58"/>
      <c r="AB172" s="58"/>
      <c r="AC172" s="55"/>
      <c r="AD172" s="57">
        <f t="shared" si="303"/>
        <v>3050</v>
      </c>
      <c r="AE172" s="58">
        <v>10.3353</v>
      </c>
      <c r="AF172" s="58"/>
      <c r="AG172" s="58"/>
      <c r="AH172" s="58"/>
      <c r="AI172" s="58"/>
      <c r="AJ172" s="58"/>
      <c r="AK172" s="58"/>
      <c r="AL172" s="58"/>
      <c r="AM172" s="58"/>
      <c r="AN172" s="58"/>
      <c r="AO172" s="58"/>
      <c r="AP172" s="58"/>
      <c r="AQ172" s="58"/>
      <c r="AR172" s="58"/>
      <c r="AS172" s="58"/>
      <c r="AT172" s="58"/>
      <c r="AU172" s="58"/>
      <c r="AV172" s="58">
        <v>536.39829999999995</v>
      </c>
      <c r="AW172" s="58"/>
      <c r="AX172" s="58"/>
      <c r="AY172" s="58"/>
      <c r="AZ172" s="58"/>
      <c r="BA172" s="58"/>
      <c r="BB172" s="58"/>
      <c r="BC172" s="58"/>
      <c r="BD172" s="58"/>
      <c r="BE172" s="58"/>
      <c r="BF172" s="58">
        <v>1474.9027000000001</v>
      </c>
      <c r="BG172" s="58"/>
      <c r="BH172" s="58"/>
      <c r="BI172" s="58"/>
      <c r="BJ172" s="58"/>
      <c r="BK172" s="58"/>
      <c r="BL172" s="58"/>
      <c r="BM172" s="58"/>
      <c r="BN172" s="58"/>
      <c r="BO172" s="58"/>
      <c r="BP172" s="58"/>
      <c r="BQ172" s="58"/>
      <c r="BR172" s="58"/>
      <c r="BS172" s="58"/>
      <c r="BT172" s="58"/>
      <c r="BU172" s="58"/>
      <c r="BV172" s="263">
        <f>105.5+4</f>
        <v>109.5</v>
      </c>
      <c r="BW172" s="1">
        <f t="shared" si="279"/>
        <v>3050</v>
      </c>
    </row>
    <row r="173" spans="1:77" s="3" customFormat="1" ht="15.75" thickBot="1" x14ac:dyDescent="0.3">
      <c r="A173" s="524"/>
      <c r="C173" s="212">
        <v>3100</v>
      </c>
      <c r="D173" s="348">
        <f t="shared" si="284"/>
        <v>0</v>
      </c>
      <c r="E173" s="348">
        <f t="shared" si="285"/>
        <v>783.26390000000004</v>
      </c>
      <c r="F173" s="144">
        <f t="shared" si="286"/>
        <v>797.35410000000002</v>
      </c>
      <c r="G173" s="144">
        <f t="shared" si="272"/>
        <v>0</v>
      </c>
      <c r="H173" s="144">
        <f t="shared" si="273"/>
        <v>0</v>
      </c>
      <c r="I173" s="144">
        <f t="shared" si="274"/>
        <v>0</v>
      </c>
      <c r="J173" s="159">
        <f t="shared" si="275"/>
        <v>0</v>
      </c>
      <c r="K173" s="348">
        <f t="shared" si="287"/>
        <v>87.4</v>
      </c>
      <c r="L173" s="354">
        <f t="shared" si="288"/>
        <v>10</v>
      </c>
      <c r="M173" s="348">
        <f t="shared" si="289"/>
        <v>1222</v>
      </c>
      <c r="N173" s="144">
        <f t="shared" si="290"/>
        <v>2104</v>
      </c>
      <c r="O173" s="144">
        <f t="shared" si="291"/>
        <v>0</v>
      </c>
      <c r="P173" s="144">
        <f t="shared" si="292"/>
        <v>0</v>
      </c>
      <c r="Q173" s="144">
        <f t="shared" si="293"/>
        <v>0</v>
      </c>
      <c r="R173" s="144">
        <f t="shared" si="294"/>
        <v>0</v>
      </c>
      <c r="S173" s="348">
        <f t="shared" si="295"/>
        <v>547</v>
      </c>
      <c r="T173" s="154"/>
      <c r="U173" s="255">
        <f>L170+L171+L172+L173</f>
        <v>358</v>
      </c>
      <c r="V173" s="255">
        <f t="shared" ref="V173" si="408">M170+M171+M172+M173</f>
        <v>3111</v>
      </c>
      <c r="W173" s="255">
        <f t="shared" ref="W173" si="409">N170+N171+N172+N173</f>
        <v>10633</v>
      </c>
      <c r="X173" s="255">
        <f t="shared" ref="X173" si="410">O170+O171+O172+O173</f>
        <v>0</v>
      </c>
      <c r="Y173" s="255">
        <f t="shared" ref="Y173" si="411">P170+P171+P172+P173</f>
        <v>0</v>
      </c>
      <c r="Z173" s="255">
        <f t="shared" ref="Z173" si="412">Q170+Q171+Q172+Q173</f>
        <v>0</v>
      </c>
      <c r="AA173" s="255">
        <f t="shared" ref="AA173" si="413">R170+R171+R172+R173</f>
        <v>0</v>
      </c>
      <c r="AB173" s="255">
        <f t="shared" ref="AB173" si="414">S170+S171+S172+S173</f>
        <v>2114</v>
      </c>
      <c r="AC173" s="153"/>
      <c r="AD173" s="158">
        <f t="shared" si="303"/>
        <v>3100</v>
      </c>
      <c r="AE173" s="144"/>
      <c r="AF173" s="144"/>
      <c r="AG173" s="144"/>
      <c r="AH173" s="144"/>
      <c r="AI173" s="144"/>
      <c r="AJ173" s="144"/>
      <c r="AK173" s="144"/>
      <c r="AL173" s="144"/>
      <c r="AM173" s="144"/>
      <c r="AN173" s="144"/>
      <c r="AO173" s="144"/>
      <c r="AP173" s="144"/>
      <c r="AQ173" s="144"/>
      <c r="AR173" s="144"/>
      <c r="AS173" s="144"/>
      <c r="AT173" s="144"/>
      <c r="AU173" s="144"/>
      <c r="AV173" s="144">
        <v>783.26390000000004</v>
      </c>
      <c r="AW173" s="144"/>
      <c r="AX173" s="144"/>
      <c r="AY173" s="144"/>
      <c r="AZ173" s="144"/>
      <c r="BA173" s="144"/>
      <c r="BB173" s="144"/>
      <c r="BC173" s="144"/>
      <c r="BD173" s="144"/>
      <c r="BE173" s="144"/>
      <c r="BF173" s="144">
        <v>797.35410000000002</v>
      </c>
      <c r="BG173" s="144"/>
      <c r="BH173" s="144"/>
      <c r="BI173" s="144"/>
      <c r="BJ173" s="144"/>
      <c r="BK173" s="144"/>
      <c r="BL173" s="144"/>
      <c r="BM173" s="144"/>
      <c r="BN173" s="144"/>
      <c r="BO173" s="144"/>
      <c r="BP173" s="144"/>
      <c r="BQ173" s="144"/>
      <c r="BR173" s="144"/>
      <c r="BS173" s="144"/>
      <c r="BT173" s="144"/>
      <c r="BU173" s="144"/>
      <c r="BV173" s="265">
        <f>83.4+4</f>
        <v>87.4</v>
      </c>
      <c r="BW173" s="1">
        <f t="shared" si="279"/>
        <v>3100</v>
      </c>
      <c r="BX173"/>
      <c r="BY173"/>
    </row>
    <row r="174" spans="1:77" x14ac:dyDescent="0.25">
      <c r="A174" s="524"/>
      <c r="C174" s="210">
        <v>3150</v>
      </c>
      <c r="D174" s="349">
        <f t="shared" si="284"/>
        <v>604.51930000000004</v>
      </c>
      <c r="E174" s="349">
        <f t="shared" si="285"/>
        <v>643.93219999999997</v>
      </c>
      <c r="F174" s="147">
        <f t="shared" si="286"/>
        <v>376.83670000000001</v>
      </c>
      <c r="G174" s="147">
        <f t="shared" si="272"/>
        <v>0</v>
      </c>
      <c r="H174" s="147">
        <f t="shared" si="273"/>
        <v>0</v>
      </c>
      <c r="I174" s="147">
        <f t="shared" si="274"/>
        <v>0</v>
      </c>
      <c r="J174" s="156">
        <f t="shared" si="275"/>
        <v>0</v>
      </c>
      <c r="K174" s="349">
        <f t="shared" si="287"/>
        <v>110.7</v>
      </c>
      <c r="L174" s="355">
        <f t="shared" si="288"/>
        <v>560</v>
      </c>
      <c r="M174" s="349">
        <f t="shared" si="289"/>
        <v>1322</v>
      </c>
      <c r="N174" s="147">
        <f t="shared" si="290"/>
        <v>1088</v>
      </c>
      <c r="O174" s="147">
        <f t="shared" si="291"/>
        <v>0</v>
      </c>
      <c r="P174" s="147">
        <f t="shared" si="292"/>
        <v>0</v>
      </c>
      <c r="Q174" s="147">
        <f t="shared" si="293"/>
        <v>0</v>
      </c>
      <c r="R174" s="147">
        <f t="shared" si="294"/>
        <v>0</v>
      </c>
      <c r="S174" s="349">
        <f t="shared" si="295"/>
        <v>551</v>
      </c>
      <c r="T174" s="56"/>
      <c r="U174" s="151"/>
      <c r="V174" s="147"/>
      <c r="W174" s="147"/>
      <c r="X174" s="147"/>
      <c r="Y174" s="147"/>
      <c r="Z174" s="147"/>
      <c r="AA174" s="147"/>
      <c r="AB174" s="147"/>
      <c r="AC174" s="55"/>
      <c r="AD174" s="155">
        <f t="shared" si="303"/>
        <v>3150</v>
      </c>
      <c r="AE174" s="147">
        <v>191.2278</v>
      </c>
      <c r="AF174" s="246">
        <v>57.348700000000001</v>
      </c>
      <c r="AG174" s="246">
        <v>105.4585</v>
      </c>
      <c r="AH174" s="246">
        <v>128.8673</v>
      </c>
      <c r="AI174" s="246">
        <v>121.617</v>
      </c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>
        <v>643.93219999999997</v>
      </c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>
        <v>255.21969999999999</v>
      </c>
      <c r="BG174" s="147">
        <v>121.617</v>
      </c>
      <c r="BH174" s="147"/>
      <c r="BI174" s="147"/>
      <c r="BJ174" s="147"/>
      <c r="BK174" s="147"/>
      <c r="BL174" s="147"/>
      <c r="BM174" s="147"/>
      <c r="BN174" s="147"/>
      <c r="BO174" s="147"/>
      <c r="BP174" s="147"/>
      <c r="BQ174" s="147"/>
      <c r="BR174" s="147"/>
      <c r="BS174" s="147"/>
      <c r="BT174" s="147"/>
      <c r="BU174" s="147"/>
      <c r="BV174" s="266">
        <f>106.7+4</f>
        <v>110.7</v>
      </c>
      <c r="BW174" s="1">
        <f t="shared" si="279"/>
        <v>3150</v>
      </c>
    </row>
    <row r="175" spans="1:77" s="3" customFormat="1" ht="15.75" thickBot="1" x14ac:dyDescent="0.3">
      <c r="A175" s="524"/>
      <c r="C175" s="212">
        <v>3200</v>
      </c>
      <c r="D175" s="348">
        <f t="shared" si="284"/>
        <v>1755.4606999999999</v>
      </c>
      <c r="E175" s="348">
        <f t="shared" si="285"/>
        <v>273.93529999999998</v>
      </c>
      <c r="F175" s="144">
        <f t="shared" si="286"/>
        <v>230.53120000000001</v>
      </c>
      <c r="G175" s="144">
        <f t="shared" si="272"/>
        <v>0</v>
      </c>
      <c r="H175" s="144">
        <f t="shared" si="273"/>
        <v>0</v>
      </c>
      <c r="I175" s="144">
        <f t="shared" si="274"/>
        <v>0</v>
      </c>
      <c r="J175" s="159">
        <f t="shared" si="275"/>
        <v>0</v>
      </c>
      <c r="K175" s="348">
        <f t="shared" si="287"/>
        <v>159.69999999999999</v>
      </c>
      <c r="L175" s="354">
        <f t="shared" si="288"/>
        <v>2186</v>
      </c>
      <c r="M175" s="348">
        <f t="shared" si="289"/>
        <v>850</v>
      </c>
      <c r="N175" s="144">
        <f t="shared" si="290"/>
        <v>563</v>
      </c>
      <c r="O175" s="144">
        <f t="shared" si="291"/>
        <v>0</v>
      </c>
      <c r="P175" s="144">
        <f t="shared" si="292"/>
        <v>0</v>
      </c>
      <c r="Q175" s="144">
        <f t="shared" si="293"/>
        <v>0</v>
      </c>
      <c r="R175" s="144">
        <f t="shared" si="294"/>
        <v>0</v>
      </c>
      <c r="S175" s="348">
        <f t="shared" si="295"/>
        <v>752</v>
      </c>
      <c r="T175" s="154"/>
      <c r="U175" s="255">
        <f>L174+L175</f>
        <v>2746</v>
      </c>
      <c r="V175" s="255">
        <f t="shared" ref="V175" si="415">M174+M175</f>
        <v>2172</v>
      </c>
      <c r="W175" s="255">
        <f t="shared" ref="W175" si="416">N174+N175</f>
        <v>1651</v>
      </c>
      <c r="X175" s="255">
        <f t="shared" ref="X175" si="417">O174+O175</f>
        <v>0</v>
      </c>
      <c r="Y175" s="255">
        <f t="shared" ref="Y175" si="418">P174+P175</f>
        <v>0</v>
      </c>
      <c r="Z175" s="255">
        <f t="shared" ref="Z175" si="419">Q174+Q175</f>
        <v>0</v>
      </c>
      <c r="AA175" s="255">
        <f t="shared" ref="AA175" si="420">R174+R175</f>
        <v>0</v>
      </c>
      <c r="AB175" s="255">
        <f t="shared" ref="AB175" si="421">S174+S175</f>
        <v>1303</v>
      </c>
      <c r="AC175" s="153"/>
      <c r="AD175" s="158">
        <f t="shared" si="303"/>
        <v>3200</v>
      </c>
      <c r="AE175" s="144">
        <v>1299.104</v>
      </c>
      <c r="AF175" s="144">
        <v>0.52370000000000005</v>
      </c>
      <c r="AG175" s="247">
        <v>160.84530000000001</v>
      </c>
      <c r="AH175" s="247">
        <v>81.094499999999996</v>
      </c>
      <c r="AI175" s="247">
        <v>116.2979</v>
      </c>
      <c r="AJ175" s="247">
        <v>97.595299999999995</v>
      </c>
      <c r="AK175" s="144"/>
      <c r="AL175" s="144"/>
      <c r="AM175" s="144"/>
      <c r="AN175" s="144"/>
      <c r="AO175" s="144"/>
      <c r="AP175" s="144"/>
      <c r="AQ175" s="144"/>
      <c r="AR175" s="144"/>
      <c r="AS175" s="144"/>
      <c r="AT175" s="144"/>
      <c r="AU175" s="144"/>
      <c r="AV175" s="144">
        <v>273.93529999999998</v>
      </c>
      <c r="AW175" s="144"/>
      <c r="AX175" s="144"/>
      <c r="AY175" s="144"/>
      <c r="AZ175" s="144"/>
      <c r="BA175" s="144"/>
      <c r="BB175" s="144"/>
      <c r="BC175" s="144"/>
      <c r="BD175" s="144"/>
      <c r="BE175" s="144"/>
      <c r="BF175" s="144">
        <v>16.638000000000002</v>
      </c>
      <c r="BG175" s="144">
        <v>116.2979</v>
      </c>
      <c r="BH175" s="144">
        <v>97.595299999999995</v>
      </c>
      <c r="BI175" s="144"/>
      <c r="BJ175" s="144"/>
      <c r="BK175" s="144"/>
      <c r="BL175" s="144"/>
      <c r="BM175" s="144"/>
      <c r="BN175" s="144"/>
      <c r="BO175" s="144"/>
      <c r="BP175" s="144"/>
      <c r="BQ175" s="144"/>
      <c r="BR175" s="144"/>
      <c r="BS175" s="144"/>
      <c r="BT175" s="144"/>
      <c r="BU175" s="144"/>
      <c r="BV175" s="265">
        <f>155.7+4</f>
        <v>159.69999999999999</v>
      </c>
      <c r="BW175" s="1">
        <f t="shared" si="279"/>
        <v>3200</v>
      </c>
      <c r="BX175"/>
      <c r="BY175"/>
    </row>
    <row r="176" spans="1:77" x14ac:dyDescent="0.25">
      <c r="A176" s="524"/>
      <c r="C176" s="210">
        <v>3250</v>
      </c>
      <c r="D176" s="349">
        <f t="shared" si="284"/>
        <v>3212.9796000000001</v>
      </c>
      <c r="E176" s="349">
        <f t="shared" si="285"/>
        <v>0</v>
      </c>
      <c r="F176" s="147">
        <f t="shared" si="286"/>
        <v>0</v>
      </c>
      <c r="G176" s="147">
        <f t="shared" si="272"/>
        <v>12.3271</v>
      </c>
      <c r="H176" s="147">
        <f t="shared" si="273"/>
        <v>12.3271</v>
      </c>
      <c r="I176" s="147">
        <f t="shared" si="274"/>
        <v>25.011399999999998</v>
      </c>
      <c r="J176" s="156">
        <f t="shared" si="275"/>
        <v>25.011399999999998</v>
      </c>
      <c r="K176" s="349">
        <f t="shared" si="287"/>
        <v>192.5</v>
      </c>
      <c r="L176" s="355">
        <f t="shared" si="288"/>
        <v>4601</v>
      </c>
      <c r="M176" s="349">
        <f t="shared" si="289"/>
        <v>254</v>
      </c>
      <c r="N176" s="147">
        <f t="shared" si="290"/>
        <v>214</v>
      </c>
      <c r="O176" s="147">
        <f t="shared" si="291"/>
        <v>12</v>
      </c>
      <c r="P176" s="147">
        <f t="shared" si="292"/>
        <v>12</v>
      </c>
      <c r="Q176" s="147">
        <f t="shared" si="293"/>
        <v>70</v>
      </c>
      <c r="R176" s="147">
        <f t="shared" si="294"/>
        <v>70</v>
      </c>
      <c r="S176" s="349">
        <f t="shared" si="295"/>
        <v>979</v>
      </c>
      <c r="T176" s="56"/>
      <c r="U176" s="151"/>
      <c r="V176" s="147"/>
      <c r="W176" s="147"/>
      <c r="X176" s="147"/>
      <c r="Y176" s="147"/>
      <c r="Z176" s="147"/>
      <c r="AA176" s="147"/>
      <c r="AB176" s="147"/>
      <c r="AC176" s="55"/>
      <c r="AD176" s="155">
        <f t="shared" si="303"/>
        <v>3250</v>
      </c>
      <c r="AE176" s="147">
        <v>3212.9796000000001</v>
      </c>
      <c r="AF176" s="147"/>
      <c r="AG176" s="147"/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  <c r="BI176" s="147">
        <v>12.3271</v>
      </c>
      <c r="BJ176" s="147"/>
      <c r="BK176" s="147"/>
      <c r="BL176" s="58">
        <f t="shared" ref="BL176" si="422">BI176</f>
        <v>12.3271</v>
      </c>
      <c r="BM176" s="58"/>
      <c r="BN176" s="58"/>
      <c r="BO176" s="58">
        <v>25.011399999999998</v>
      </c>
      <c r="BP176" s="58"/>
      <c r="BQ176" s="58">
        <f t="shared" ref="BQ176" si="423">BO176</f>
        <v>25.011399999999998</v>
      </c>
      <c r="BR176" s="147"/>
      <c r="BS176" s="147"/>
      <c r="BT176" s="147"/>
      <c r="BU176" s="147"/>
      <c r="BV176" s="266">
        <f>184.5+8</f>
        <v>192.5</v>
      </c>
      <c r="BW176" s="1">
        <f t="shared" si="279"/>
        <v>3250</v>
      </c>
    </row>
    <row r="177" spans="1:77" s="3" customFormat="1" ht="15.75" thickBot="1" x14ac:dyDescent="0.3">
      <c r="A177" s="524"/>
      <c r="C177" s="212">
        <v>3300</v>
      </c>
      <c r="D177" s="348">
        <f t="shared" si="284"/>
        <v>4830.5002000000004</v>
      </c>
      <c r="E177" s="348">
        <f t="shared" si="285"/>
        <v>0</v>
      </c>
      <c r="F177" s="144">
        <f t="shared" si="286"/>
        <v>0</v>
      </c>
      <c r="G177" s="144">
        <f t="shared" si="272"/>
        <v>12.3269</v>
      </c>
      <c r="H177" s="144">
        <f t="shared" si="273"/>
        <v>12.3269</v>
      </c>
      <c r="I177" s="144">
        <f t="shared" si="274"/>
        <v>25.003900000000002</v>
      </c>
      <c r="J177" s="159">
        <f t="shared" si="275"/>
        <v>25.003900000000002</v>
      </c>
      <c r="K177" s="348">
        <f t="shared" si="287"/>
        <v>249.1</v>
      </c>
      <c r="L177" s="354">
        <f t="shared" si="288"/>
        <v>7448</v>
      </c>
      <c r="M177" s="348">
        <f t="shared" si="289"/>
        <v>0</v>
      </c>
      <c r="N177" s="144">
        <f t="shared" si="290"/>
        <v>0</v>
      </c>
      <c r="O177" s="144">
        <f t="shared" si="291"/>
        <v>23</v>
      </c>
      <c r="P177" s="144">
        <f t="shared" si="292"/>
        <v>23</v>
      </c>
      <c r="Q177" s="144">
        <f t="shared" si="293"/>
        <v>139</v>
      </c>
      <c r="R177" s="144">
        <f t="shared" si="294"/>
        <v>139</v>
      </c>
      <c r="S177" s="348">
        <f t="shared" si="295"/>
        <v>1227</v>
      </c>
      <c r="T177" s="154"/>
      <c r="U177" s="255">
        <f>L176+L177</f>
        <v>12049</v>
      </c>
      <c r="V177" s="255">
        <f t="shared" ref="V177" si="424">M176+M177</f>
        <v>254</v>
      </c>
      <c r="W177" s="255">
        <f t="shared" ref="W177" si="425">N176+N177</f>
        <v>214</v>
      </c>
      <c r="X177" s="255">
        <f t="shared" ref="X177" si="426">O176+O177</f>
        <v>35</v>
      </c>
      <c r="Y177" s="255">
        <f t="shared" ref="Y177" si="427">P176+P177</f>
        <v>35</v>
      </c>
      <c r="Z177" s="255">
        <f t="shared" ref="Z177" si="428">Q176+Q177</f>
        <v>209</v>
      </c>
      <c r="AA177" s="255">
        <f t="shared" ref="AA177" si="429">R176+R177</f>
        <v>209</v>
      </c>
      <c r="AB177" s="255">
        <f t="shared" ref="AB177" si="430">S176+S177</f>
        <v>2206</v>
      </c>
      <c r="AC177" s="153"/>
      <c r="AD177" s="158">
        <f t="shared" si="303"/>
        <v>3300</v>
      </c>
      <c r="AE177" s="144">
        <v>4830.5002000000004</v>
      </c>
      <c r="AF177" s="144"/>
      <c r="AG177" s="144"/>
      <c r="AH177" s="144"/>
      <c r="AI177" s="144"/>
      <c r="AJ177" s="144"/>
      <c r="AK177" s="144"/>
      <c r="AL177" s="144"/>
      <c r="AM177" s="144"/>
      <c r="AN177" s="144"/>
      <c r="AO177" s="144"/>
      <c r="AP177" s="144"/>
      <c r="AQ177" s="144"/>
      <c r="AR177" s="144"/>
      <c r="AS177" s="144"/>
      <c r="AT177" s="144"/>
      <c r="AU177" s="144"/>
      <c r="AV177" s="144"/>
      <c r="AW177" s="144"/>
      <c r="AX177" s="144"/>
      <c r="AY177" s="144"/>
      <c r="AZ177" s="144"/>
      <c r="BA177" s="144"/>
      <c r="BB177" s="144"/>
      <c r="BC177" s="144"/>
      <c r="BD177" s="144"/>
      <c r="BE177" s="144"/>
      <c r="BF177" s="144"/>
      <c r="BG177" s="144"/>
      <c r="BH177" s="144"/>
      <c r="BI177" s="144">
        <v>12.3269</v>
      </c>
      <c r="BJ177" s="144"/>
      <c r="BK177" s="144"/>
      <c r="BL177" s="144">
        <f t="shared" ref="BL177:BL183" si="431">BI177</f>
        <v>12.3269</v>
      </c>
      <c r="BM177" s="144"/>
      <c r="BN177" s="144"/>
      <c r="BO177" s="144">
        <v>25.003900000000002</v>
      </c>
      <c r="BP177" s="144"/>
      <c r="BQ177" s="144">
        <f t="shared" ref="BQ177:BQ183" si="432">BO177</f>
        <v>25.003900000000002</v>
      </c>
      <c r="BR177" s="144"/>
      <c r="BS177" s="144"/>
      <c r="BT177" s="144"/>
      <c r="BU177" s="144"/>
      <c r="BV177" s="265">
        <f>241.1+8</f>
        <v>249.1</v>
      </c>
      <c r="BW177" s="1">
        <f t="shared" si="279"/>
        <v>3300</v>
      </c>
      <c r="BX177"/>
      <c r="BY177"/>
    </row>
    <row r="178" spans="1:77" x14ac:dyDescent="0.25">
      <c r="A178" s="524"/>
      <c r="C178" s="210">
        <v>3350</v>
      </c>
      <c r="D178" s="349">
        <f t="shared" si="284"/>
        <v>5865.7253000000001</v>
      </c>
      <c r="E178" s="349">
        <f t="shared" si="285"/>
        <v>0</v>
      </c>
      <c r="F178" s="147">
        <f t="shared" si="286"/>
        <v>0</v>
      </c>
      <c r="G178" s="147">
        <f t="shared" si="272"/>
        <v>12.3139</v>
      </c>
      <c r="H178" s="147">
        <f t="shared" si="273"/>
        <v>12.3139</v>
      </c>
      <c r="I178" s="147">
        <f t="shared" si="274"/>
        <v>24.0016</v>
      </c>
      <c r="J178" s="156">
        <f t="shared" si="275"/>
        <v>24.0016</v>
      </c>
      <c r="K178" s="349">
        <f t="shared" si="287"/>
        <v>298.10000000000002</v>
      </c>
      <c r="L178" s="355">
        <f t="shared" si="288"/>
        <v>9904</v>
      </c>
      <c r="M178" s="349">
        <f t="shared" si="289"/>
        <v>0</v>
      </c>
      <c r="N178" s="147">
        <f t="shared" si="290"/>
        <v>0</v>
      </c>
      <c r="O178" s="147">
        <f t="shared" si="291"/>
        <v>23</v>
      </c>
      <c r="P178" s="147">
        <f t="shared" si="292"/>
        <v>23</v>
      </c>
      <c r="Q178" s="147">
        <f t="shared" si="293"/>
        <v>137</v>
      </c>
      <c r="R178" s="147">
        <f t="shared" si="294"/>
        <v>137</v>
      </c>
      <c r="S178" s="349">
        <f t="shared" si="295"/>
        <v>1520</v>
      </c>
      <c r="T178" s="56"/>
      <c r="U178" s="151"/>
      <c r="V178" s="147"/>
      <c r="W178" s="147"/>
      <c r="X178" s="147"/>
      <c r="Y178" s="147"/>
      <c r="Z178" s="147"/>
      <c r="AA178" s="147"/>
      <c r="AB178" s="147"/>
      <c r="AC178" s="55"/>
      <c r="AD178" s="155">
        <f t="shared" si="303"/>
        <v>3350</v>
      </c>
      <c r="AE178" s="147">
        <v>5865.7253000000001</v>
      </c>
      <c r="AF178" s="147"/>
      <c r="AG178" s="147"/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  <c r="BI178" s="147">
        <v>12.3139</v>
      </c>
      <c r="BJ178" s="147"/>
      <c r="BK178" s="147"/>
      <c r="BL178" s="147">
        <f t="shared" si="431"/>
        <v>12.3139</v>
      </c>
      <c r="BM178" s="147"/>
      <c r="BN178" s="147"/>
      <c r="BO178" s="147">
        <v>24.0016</v>
      </c>
      <c r="BP178" s="147"/>
      <c r="BQ178" s="147">
        <f t="shared" si="432"/>
        <v>24.0016</v>
      </c>
      <c r="BR178" s="147"/>
      <c r="BS178" s="147"/>
      <c r="BT178" s="147"/>
      <c r="BU178" s="147"/>
      <c r="BV178" s="266">
        <f>290.1+8</f>
        <v>298.10000000000002</v>
      </c>
      <c r="BW178" s="1">
        <f t="shared" si="279"/>
        <v>3350</v>
      </c>
    </row>
    <row r="179" spans="1:77" s="3" customFormat="1" ht="15.75" thickBot="1" x14ac:dyDescent="0.3">
      <c r="A179" s="524"/>
      <c r="C179" s="212">
        <v>3400</v>
      </c>
      <c r="D179" s="348">
        <f t="shared" si="284"/>
        <v>5811.4621999999999</v>
      </c>
      <c r="E179" s="348">
        <f t="shared" si="285"/>
        <v>0</v>
      </c>
      <c r="F179" s="144">
        <f t="shared" si="286"/>
        <v>0</v>
      </c>
      <c r="G179" s="144">
        <f t="shared" si="272"/>
        <v>12.3133</v>
      </c>
      <c r="H179" s="144">
        <f t="shared" si="273"/>
        <v>12.3133</v>
      </c>
      <c r="I179" s="144">
        <f t="shared" si="274"/>
        <v>24.003</v>
      </c>
      <c r="J179" s="159">
        <f t="shared" si="275"/>
        <v>24.003</v>
      </c>
      <c r="K179" s="348">
        <f t="shared" si="287"/>
        <v>288.39999999999998</v>
      </c>
      <c r="L179" s="354">
        <f t="shared" si="288"/>
        <v>10813</v>
      </c>
      <c r="M179" s="348">
        <f t="shared" si="289"/>
        <v>0</v>
      </c>
      <c r="N179" s="144">
        <f t="shared" si="290"/>
        <v>0</v>
      </c>
      <c r="O179" s="144">
        <f t="shared" si="291"/>
        <v>23</v>
      </c>
      <c r="P179" s="144">
        <f t="shared" si="292"/>
        <v>23</v>
      </c>
      <c r="Q179" s="144">
        <f t="shared" si="293"/>
        <v>134</v>
      </c>
      <c r="R179" s="144">
        <f t="shared" si="294"/>
        <v>134</v>
      </c>
      <c r="S179" s="348">
        <f t="shared" si="295"/>
        <v>1630</v>
      </c>
      <c r="T179" s="154"/>
      <c r="U179" s="255">
        <f>L178+L179</f>
        <v>20717</v>
      </c>
      <c r="V179" s="255">
        <f t="shared" ref="V179" si="433">M178+M179</f>
        <v>0</v>
      </c>
      <c r="W179" s="255">
        <f t="shared" ref="W179" si="434">N178+N179</f>
        <v>0</v>
      </c>
      <c r="X179" s="255">
        <f t="shared" ref="X179" si="435">O178+O179</f>
        <v>46</v>
      </c>
      <c r="Y179" s="255">
        <f t="shared" ref="Y179" si="436">P178+P179</f>
        <v>46</v>
      </c>
      <c r="Z179" s="255">
        <f t="shared" ref="Z179" si="437">Q178+Q179</f>
        <v>271</v>
      </c>
      <c r="AA179" s="255">
        <f t="shared" ref="AA179" si="438">R178+R179</f>
        <v>271</v>
      </c>
      <c r="AB179" s="255">
        <f t="shared" ref="AB179" si="439">S178+S179</f>
        <v>3150</v>
      </c>
      <c r="AC179" s="153"/>
      <c r="AD179" s="158">
        <f t="shared" si="303"/>
        <v>3400</v>
      </c>
      <c r="AE179" s="144">
        <v>5811.4621999999999</v>
      </c>
      <c r="AF179" s="144"/>
      <c r="AG179" s="144"/>
      <c r="AH179" s="144"/>
      <c r="AI179" s="144"/>
      <c r="AJ179" s="144"/>
      <c r="AK179" s="144"/>
      <c r="AL179" s="144"/>
      <c r="AM179" s="144"/>
      <c r="AN179" s="144"/>
      <c r="AO179" s="144"/>
      <c r="AP179" s="144"/>
      <c r="AQ179" s="144"/>
      <c r="AR179" s="144"/>
      <c r="AS179" s="144"/>
      <c r="AT179" s="144"/>
      <c r="AU179" s="144"/>
      <c r="AV179" s="144"/>
      <c r="AW179" s="144"/>
      <c r="AX179" s="144"/>
      <c r="AY179" s="144"/>
      <c r="AZ179" s="144"/>
      <c r="BA179" s="144"/>
      <c r="BB179" s="144"/>
      <c r="BC179" s="144"/>
      <c r="BD179" s="144"/>
      <c r="BE179" s="144"/>
      <c r="BF179" s="144"/>
      <c r="BG179" s="144"/>
      <c r="BH179" s="144"/>
      <c r="BI179" s="144">
        <v>12.3133</v>
      </c>
      <c r="BJ179" s="144"/>
      <c r="BK179" s="144"/>
      <c r="BL179" s="144">
        <f t="shared" si="431"/>
        <v>12.3133</v>
      </c>
      <c r="BM179" s="144"/>
      <c r="BN179" s="144"/>
      <c r="BO179" s="144">
        <v>24.003</v>
      </c>
      <c r="BP179" s="144"/>
      <c r="BQ179" s="144">
        <f t="shared" si="432"/>
        <v>24.003</v>
      </c>
      <c r="BR179" s="144"/>
      <c r="BS179" s="144"/>
      <c r="BT179" s="144"/>
      <c r="BU179" s="144"/>
      <c r="BV179" s="265">
        <f>280.4+8</f>
        <v>288.39999999999998</v>
      </c>
      <c r="BW179" s="1">
        <f t="shared" si="279"/>
        <v>3400</v>
      </c>
      <c r="BX179"/>
      <c r="BY179"/>
    </row>
    <row r="180" spans="1:77" x14ac:dyDescent="0.25">
      <c r="A180" s="524"/>
      <c r="C180" s="210">
        <v>3450</v>
      </c>
      <c r="D180" s="349">
        <f t="shared" si="284"/>
        <v>5755.9112999999998</v>
      </c>
      <c r="E180" s="349">
        <f t="shared" si="285"/>
        <v>0</v>
      </c>
      <c r="F180" s="147">
        <f t="shared" si="286"/>
        <v>0</v>
      </c>
      <c r="G180" s="147">
        <f t="shared" si="272"/>
        <v>12.32</v>
      </c>
      <c r="H180" s="147">
        <f t="shared" si="273"/>
        <v>12.32</v>
      </c>
      <c r="I180" s="147">
        <f t="shared" si="274"/>
        <v>24.004100000000001</v>
      </c>
      <c r="J180" s="156">
        <f t="shared" si="275"/>
        <v>24.004100000000001</v>
      </c>
      <c r="K180" s="349">
        <f t="shared" si="287"/>
        <v>268.60000000000002</v>
      </c>
      <c r="L180" s="355">
        <f t="shared" si="288"/>
        <v>10711</v>
      </c>
      <c r="M180" s="349">
        <f t="shared" si="289"/>
        <v>0</v>
      </c>
      <c r="N180" s="147">
        <f t="shared" si="290"/>
        <v>0</v>
      </c>
      <c r="O180" s="147">
        <f t="shared" si="291"/>
        <v>23</v>
      </c>
      <c r="P180" s="147">
        <f t="shared" si="292"/>
        <v>23</v>
      </c>
      <c r="Q180" s="147">
        <f t="shared" si="293"/>
        <v>134</v>
      </c>
      <c r="R180" s="147">
        <f t="shared" si="294"/>
        <v>134</v>
      </c>
      <c r="S180" s="349">
        <f t="shared" si="295"/>
        <v>1548</v>
      </c>
      <c r="T180" s="56"/>
      <c r="U180" s="151"/>
      <c r="V180" s="147"/>
      <c r="W180" s="147"/>
      <c r="X180" s="147"/>
      <c r="Y180" s="147"/>
      <c r="Z180" s="147"/>
      <c r="AA180" s="147"/>
      <c r="AB180" s="147"/>
      <c r="AC180" s="55"/>
      <c r="AD180" s="155">
        <f t="shared" si="303"/>
        <v>3450</v>
      </c>
      <c r="AE180" s="147">
        <v>5755.9112999999998</v>
      </c>
      <c r="AF180" s="147"/>
      <c r="AG180" s="147"/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  <c r="BI180" s="147">
        <v>12.32</v>
      </c>
      <c r="BJ180" s="147"/>
      <c r="BK180" s="147"/>
      <c r="BL180" s="147">
        <f t="shared" si="431"/>
        <v>12.32</v>
      </c>
      <c r="BM180" s="147"/>
      <c r="BN180" s="147"/>
      <c r="BO180" s="147">
        <v>24.004100000000001</v>
      </c>
      <c r="BP180" s="147"/>
      <c r="BQ180" s="147">
        <f t="shared" si="432"/>
        <v>24.004100000000001</v>
      </c>
      <c r="BR180" s="147"/>
      <c r="BS180" s="147"/>
      <c r="BT180" s="147"/>
      <c r="BU180" s="147"/>
      <c r="BV180" s="266">
        <f>264.6+4</f>
        <v>268.60000000000002</v>
      </c>
      <c r="BW180" s="1">
        <f t="shared" si="279"/>
        <v>3450</v>
      </c>
    </row>
    <row r="181" spans="1:77" s="3" customFormat="1" ht="15.75" thickBot="1" x14ac:dyDescent="0.3">
      <c r="A181" s="524"/>
      <c r="C181" s="212">
        <v>3500</v>
      </c>
      <c r="D181" s="348">
        <f t="shared" si="284"/>
        <v>5345.7156999999997</v>
      </c>
      <c r="E181" s="348">
        <f t="shared" si="285"/>
        <v>0</v>
      </c>
      <c r="F181" s="144">
        <f t="shared" si="286"/>
        <v>0</v>
      </c>
      <c r="G181" s="144">
        <f t="shared" si="272"/>
        <v>12.32</v>
      </c>
      <c r="H181" s="144">
        <f t="shared" si="273"/>
        <v>12.32</v>
      </c>
      <c r="I181" s="144">
        <f t="shared" si="274"/>
        <v>24.004100000000001</v>
      </c>
      <c r="J181" s="159">
        <f t="shared" si="275"/>
        <v>24.004100000000001</v>
      </c>
      <c r="K181" s="348">
        <f t="shared" si="287"/>
        <v>254</v>
      </c>
      <c r="L181" s="354">
        <f t="shared" si="288"/>
        <v>10280</v>
      </c>
      <c r="M181" s="348">
        <f t="shared" si="289"/>
        <v>0</v>
      </c>
      <c r="N181" s="144">
        <f t="shared" si="290"/>
        <v>0</v>
      </c>
      <c r="O181" s="144">
        <f t="shared" si="291"/>
        <v>23</v>
      </c>
      <c r="P181" s="144">
        <f t="shared" si="292"/>
        <v>23</v>
      </c>
      <c r="Q181" s="144">
        <f t="shared" si="293"/>
        <v>134</v>
      </c>
      <c r="R181" s="144">
        <f t="shared" si="294"/>
        <v>134</v>
      </c>
      <c r="S181" s="348">
        <f t="shared" si="295"/>
        <v>1452</v>
      </c>
      <c r="T181" s="154"/>
      <c r="U181" s="255">
        <f>L180+L181</f>
        <v>20991</v>
      </c>
      <c r="V181" s="255">
        <f t="shared" ref="V181" si="440">M180+M181</f>
        <v>0</v>
      </c>
      <c r="W181" s="255">
        <f t="shared" ref="W181" si="441">N180+N181</f>
        <v>0</v>
      </c>
      <c r="X181" s="255">
        <f t="shared" ref="X181" si="442">O180+O181</f>
        <v>46</v>
      </c>
      <c r="Y181" s="255">
        <f t="shared" ref="Y181" si="443">P180+P181</f>
        <v>46</v>
      </c>
      <c r="Z181" s="255">
        <f t="shared" ref="Z181" si="444">Q180+Q181</f>
        <v>268</v>
      </c>
      <c r="AA181" s="255">
        <f t="shared" ref="AA181" si="445">R180+R181</f>
        <v>268</v>
      </c>
      <c r="AB181" s="255">
        <f t="shared" ref="AB181" si="446">S180+S181</f>
        <v>3000</v>
      </c>
      <c r="AC181" s="153"/>
      <c r="AD181" s="158">
        <f t="shared" si="303"/>
        <v>3500</v>
      </c>
      <c r="AE181" s="144">
        <v>5345.7156999999997</v>
      </c>
      <c r="AF181" s="144"/>
      <c r="AG181" s="144"/>
      <c r="AH181" s="144"/>
      <c r="AI181" s="144"/>
      <c r="AJ181" s="144"/>
      <c r="AK181" s="144"/>
      <c r="AL181" s="144"/>
      <c r="AM181" s="144"/>
      <c r="AN181" s="144"/>
      <c r="AO181" s="144"/>
      <c r="AP181" s="144"/>
      <c r="AQ181" s="144"/>
      <c r="AR181" s="144"/>
      <c r="AS181" s="144"/>
      <c r="AT181" s="144"/>
      <c r="AU181" s="144"/>
      <c r="AV181" s="144"/>
      <c r="AW181" s="144"/>
      <c r="AX181" s="144"/>
      <c r="AY181" s="144"/>
      <c r="AZ181" s="144"/>
      <c r="BA181" s="144"/>
      <c r="BB181" s="144"/>
      <c r="BC181" s="144"/>
      <c r="BD181" s="144"/>
      <c r="BE181" s="144"/>
      <c r="BF181" s="144"/>
      <c r="BG181" s="144"/>
      <c r="BH181" s="144"/>
      <c r="BI181" s="144">
        <v>12.32</v>
      </c>
      <c r="BJ181" s="144"/>
      <c r="BK181" s="144"/>
      <c r="BL181" s="144">
        <f t="shared" si="431"/>
        <v>12.32</v>
      </c>
      <c r="BM181" s="144"/>
      <c r="BN181" s="144"/>
      <c r="BO181" s="144">
        <v>24.004100000000001</v>
      </c>
      <c r="BP181" s="144"/>
      <c r="BQ181" s="144">
        <f t="shared" si="432"/>
        <v>24.004100000000001</v>
      </c>
      <c r="BR181" s="144"/>
      <c r="BS181" s="144"/>
      <c r="BT181" s="144"/>
      <c r="BU181" s="144"/>
      <c r="BV181" s="265">
        <f>250+4</f>
        <v>254</v>
      </c>
      <c r="BW181" s="1">
        <f t="shared" si="279"/>
        <v>3500</v>
      </c>
      <c r="BX181"/>
      <c r="BY181"/>
    </row>
    <row r="182" spans="1:77" x14ac:dyDescent="0.25">
      <c r="A182" s="524"/>
      <c r="C182" s="210">
        <v>3550</v>
      </c>
      <c r="D182" s="349">
        <f t="shared" si="284"/>
        <v>4684.9695000000002</v>
      </c>
      <c r="E182" s="349">
        <f t="shared" si="285"/>
        <v>0</v>
      </c>
      <c r="F182" s="147">
        <f t="shared" si="286"/>
        <v>0</v>
      </c>
      <c r="G182" s="147">
        <f t="shared" si="272"/>
        <v>12.32</v>
      </c>
      <c r="H182" s="147">
        <f t="shared" si="273"/>
        <v>12.32</v>
      </c>
      <c r="I182" s="147">
        <f t="shared" si="274"/>
        <v>24.004100000000001</v>
      </c>
      <c r="J182" s="156">
        <f t="shared" si="275"/>
        <v>24.004100000000001</v>
      </c>
      <c r="K182" s="349">
        <f t="shared" si="287"/>
        <v>231.3</v>
      </c>
      <c r="L182" s="355">
        <f t="shared" si="288"/>
        <v>9288</v>
      </c>
      <c r="M182" s="349">
        <f t="shared" si="289"/>
        <v>0</v>
      </c>
      <c r="N182" s="147">
        <f t="shared" si="290"/>
        <v>0</v>
      </c>
      <c r="O182" s="147">
        <f t="shared" si="291"/>
        <v>23</v>
      </c>
      <c r="P182" s="147">
        <f t="shared" si="292"/>
        <v>23</v>
      </c>
      <c r="Q182" s="147">
        <f t="shared" si="293"/>
        <v>134</v>
      </c>
      <c r="R182" s="147">
        <f t="shared" si="294"/>
        <v>134</v>
      </c>
      <c r="S182" s="349">
        <f t="shared" si="295"/>
        <v>1349</v>
      </c>
      <c r="T182" s="56"/>
      <c r="U182" s="151"/>
      <c r="V182" s="147"/>
      <c r="W182" s="147"/>
      <c r="X182" s="147"/>
      <c r="Y182" s="147"/>
      <c r="Z182" s="147"/>
      <c r="AA182" s="147"/>
      <c r="AB182" s="147"/>
      <c r="AC182" s="55"/>
      <c r="AD182" s="155">
        <f t="shared" si="303"/>
        <v>3550</v>
      </c>
      <c r="AE182" s="147">
        <v>4684.9695000000002</v>
      </c>
      <c r="AF182" s="147"/>
      <c r="AG182" s="147"/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  <c r="BI182" s="147">
        <v>12.32</v>
      </c>
      <c r="BJ182" s="147"/>
      <c r="BK182" s="147"/>
      <c r="BL182" s="147">
        <f t="shared" si="431"/>
        <v>12.32</v>
      </c>
      <c r="BM182" s="147"/>
      <c r="BN182" s="147"/>
      <c r="BO182" s="147">
        <v>24.004100000000001</v>
      </c>
      <c r="BP182" s="147"/>
      <c r="BQ182" s="147">
        <f t="shared" si="432"/>
        <v>24.004100000000001</v>
      </c>
      <c r="BR182" s="147"/>
      <c r="BS182" s="147"/>
      <c r="BT182" s="147"/>
      <c r="BU182" s="147"/>
      <c r="BV182" s="266">
        <f>227.3+4</f>
        <v>231.3</v>
      </c>
      <c r="BW182" s="1">
        <f t="shared" si="279"/>
        <v>3550</v>
      </c>
    </row>
    <row r="183" spans="1:77" s="3" customFormat="1" ht="15.75" thickBot="1" x14ac:dyDescent="0.3">
      <c r="A183" s="524"/>
      <c r="C183" s="212">
        <v>3600</v>
      </c>
      <c r="D183" s="348">
        <f t="shared" si="284"/>
        <v>3147.2878000000001</v>
      </c>
      <c r="E183" s="348">
        <f t="shared" si="285"/>
        <v>0</v>
      </c>
      <c r="F183" s="144">
        <f t="shared" si="286"/>
        <v>0</v>
      </c>
      <c r="G183" s="144">
        <f t="shared" si="272"/>
        <v>12.32</v>
      </c>
      <c r="H183" s="144">
        <f t="shared" si="273"/>
        <v>12.32</v>
      </c>
      <c r="I183" s="144">
        <f t="shared" si="274"/>
        <v>24.004100000000001</v>
      </c>
      <c r="J183" s="159">
        <f t="shared" si="275"/>
        <v>24.004100000000001</v>
      </c>
      <c r="K183" s="348">
        <f t="shared" si="287"/>
        <v>198.3</v>
      </c>
      <c r="L183" s="354">
        <f t="shared" si="288"/>
        <v>7253</v>
      </c>
      <c r="M183" s="348">
        <f t="shared" si="289"/>
        <v>0</v>
      </c>
      <c r="N183" s="144">
        <f t="shared" si="290"/>
        <v>0</v>
      </c>
      <c r="O183" s="144">
        <f t="shared" si="291"/>
        <v>23</v>
      </c>
      <c r="P183" s="144">
        <f t="shared" si="292"/>
        <v>23</v>
      </c>
      <c r="Q183" s="144">
        <f t="shared" si="293"/>
        <v>134</v>
      </c>
      <c r="R183" s="144">
        <f t="shared" si="294"/>
        <v>134</v>
      </c>
      <c r="S183" s="348">
        <f t="shared" si="295"/>
        <v>1194</v>
      </c>
      <c r="T183" s="154"/>
      <c r="U183" s="255">
        <f>L182+L183</f>
        <v>16541</v>
      </c>
      <c r="V183" s="255">
        <f t="shared" ref="V183" si="447">M182+M183</f>
        <v>0</v>
      </c>
      <c r="W183" s="255">
        <f t="shared" ref="W183" si="448">N182+N183</f>
        <v>0</v>
      </c>
      <c r="X183" s="255">
        <f t="shared" ref="X183" si="449">O182+O183</f>
        <v>46</v>
      </c>
      <c r="Y183" s="255">
        <f t="shared" ref="Y183" si="450">P182+P183</f>
        <v>46</v>
      </c>
      <c r="Z183" s="255">
        <f t="shared" ref="Z183" si="451">Q182+Q183</f>
        <v>268</v>
      </c>
      <c r="AA183" s="255">
        <f t="shared" ref="AA183" si="452">R182+R183</f>
        <v>268</v>
      </c>
      <c r="AB183" s="255">
        <f t="shared" ref="AB183" si="453">S182+S183</f>
        <v>2543</v>
      </c>
      <c r="AC183" s="153"/>
      <c r="AD183" s="158">
        <f t="shared" si="303"/>
        <v>3600</v>
      </c>
      <c r="AE183" s="144">
        <v>3147.2878000000001</v>
      </c>
      <c r="AF183" s="144"/>
      <c r="AG183" s="144"/>
      <c r="AH183" s="144"/>
      <c r="AI183" s="144"/>
      <c r="AJ183" s="144"/>
      <c r="AK183" s="144"/>
      <c r="AL183" s="144"/>
      <c r="AM183" s="144"/>
      <c r="AN183" s="144"/>
      <c r="AO183" s="144"/>
      <c r="AP183" s="144"/>
      <c r="AQ183" s="144"/>
      <c r="AR183" s="144"/>
      <c r="AS183" s="144"/>
      <c r="AT183" s="144"/>
      <c r="AU183" s="144"/>
      <c r="AV183" s="144"/>
      <c r="AW183" s="144"/>
      <c r="AX183" s="144"/>
      <c r="AY183" s="144"/>
      <c r="AZ183" s="144"/>
      <c r="BA183" s="144"/>
      <c r="BB183" s="144"/>
      <c r="BC183" s="144"/>
      <c r="BD183" s="144"/>
      <c r="BE183" s="144"/>
      <c r="BF183" s="144"/>
      <c r="BG183" s="144"/>
      <c r="BH183" s="144"/>
      <c r="BI183" s="144">
        <v>12.32</v>
      </c>
      <c r="BJ183" s="144"/>
      <c r="BK183" s="144"/>
      <c r="BL183" s="144">
        <f t="shared" si="431"/>
        <v>12.32</v>
      </c>
      <c r="BM183" s="144"/>
      <c r="BN183" s="144"/>
      <c r="BO183" s="144">
        <v>24.004100000000001</v>
      </c>
      <c r="BP183" s="144"/>
      <c r="BQ183" s="144">
        <f t="shared" si="432"/>
        <v>24.004100000000001</v>
      </c>
      <c r="BR183" s="144"/>
      <c r="BS183" s="144"/>
      <c r="BT183" s="144"/>
      <c r="BU183" s="144"/>
      <c r="BV183" s="265">
        <f>194.3+4</f>
        <v>198.3</v>
      </c>
      <c r="BW183" s="1">
        <f t="shared" si="279"/>
        <v>3600</v>
      </c>
      <c r="BX183"/>
      <c r="BY183"/>
    </row>
    <row r="184" spans="1:77" x14ac:dyDescent="0.25">
      <c r="A184" s="524"/>
      <c r="C184" s="210">
        <v>3650</v>
      </c>
      <c r="D184" s="349">
        <f t="shared" si="284"/>
        <v>1353.2536</v>
      </c>
      <c r="E184" s="349">
        <f t="shared" si="285"/>
        <v>0</v>
      </c>
      <c r="F184" s="147">
        <f t="shared" si="286"/>
        <v>0</v>
      </c>
      <c r="G184" s="147">
        <f t="shared" si="272"/>
        <v>0</v>
      </c>
      <c r="H184" s="147">
        <f t="shared" si="273"/>
        <v>0</v>
      </c>
      <c r="I184" s="147">
        <f t="shared" si="274"/>
        <v>0</v>
      </c>
      <c r="J184" s="156">
        <f t="shared" si="275"/>
        <v>0</v>
      </c>
      <c r="K184" s="349">
        <f t="shared" si="287"/>
        <v>151.19999999999999</v>
      </c>
      <c r="L184" s="355">
        <f t="shared" si="288"/>
        <v>4168</v>
      </c>
      <c r="M184" s="349">
        <f t="shared" si="289"/>
        <v>0</v>
      </c>
      <c r="N184" s="147">
        <f t="shared" si="290"/>
        <v>0</v>
      </c>
      <c r="O184" s="147">
        <f t="shared" si="291"/>
        <v>12</v>
      </c>
      <c r="P184" s="147">
        <f t="shared" si="292"/>
        <v>12</v>
      </c>
      <c r="Q184" s="147">
        <f t="shared" si="293"/>
        <v>67</v>
      </c>
      <c r="R184" s="147">
        <f t="shared" si="294"/>
        <v>67</v>
      </c>
      <c r="S184" s="349">
        <f t="shared" si="295"/>
        <v>971</v>
      </c>
      <c r="T184" s="56"/>
      <c r="U184" s="151"/>
      <c r="V184" s="147"/>
      <c r="W184" s="147"/>
      <c r="X184" s="147"/>
      <c r="Y184" s="147"/>
      <c r="Z184" s="147"/>
      <c r="AA184" s="147"/>
      <c r="AB184" s="147"/>
      <c r="AC184" s="55"/>
      <c r="AD184" s="155">
        <f t="shared" si="303"/>
        <v>3650</v>
      </c>
      <c r="AE184" s="147">
        <v>1353.2536</v>
      </c>
      <c r="AF184" s="147"/>
      <c r="AG184" s="147"/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  <c r="BI184" s="147"/>
      <c r="BJ184" s="147"/>
      <c r="BK184" s="147"/>
      <c r="BL184" s="147"/>
      <c r="BM184" s="147"/>
      <c r="BN184" s="147"/>
      <c r="BO184" s="147"/>
      <c r="BP184" s="147"/>
      <c r="BQ184" s="147"/>
      <c r="BR184" s="147"/>
      <c r="BS184" s="147"/>
      <c r="BT184" s="147"/>
      <c r="BU184" s="147"/>
      <c r="BV184" s="266">
        <f>147.2+4</f>
        <v>151.19999999999999</v>
      </c>
      <c r="BW184" s="1">
        <f t="shared" si="279"/>
        <v>3650</v>
      </c>
    </row>
    <row r="185" spans="1:77" s="3" customFormat="1" ht="15.75" thickBot="1" x14ac:dyDescent="0.3">
      <c r="A185" s="524"/>
      <c r="C185" s="212">
        <v>3700</v>
      </c>
      <c r="D185" s="348">
        <f t="shared" si="284"/>
        <v>92.958399999999997</v>
      </c>
      <c r="E185" s="348">
        <f t="shared" si="285"/>
        <v>127.96950000000001</v>
      </c>
      <c r="F185" s="144">
        <f t="shared" si="286"/>
        <v>0</v>
      </c>
      <c r="G185" s="144">
        <f t="shared" si="272"/>
        <v>0</v>
      </c>
      <c r="H185" s="144">
        <f t="shared" si="273"/>
        <v>0</v>
      </c>
      <c r="I185" s="144">
        <f t="shared" si="274"/>
        <v>0</v>
      </c>
      <c r="J185" s="159">
        <f t="shared" si="275"/>
        <v>0</v>
      </c>
      <c r="K185" s="348">
        <f t="shared" si="287"/>
        <v>86.9</v>
      </c>
      <c r="L185" s="354">
        <f t="shared" si="288"/>
        <v>1340</v>
      </c>
      <c r="M185" s="348">
        <f t="shared" si="289"/>
        <v>119</v>
      </c>
      <c r="N185" s="144">
        <f t="shared" si="290"/>
        <v>0</v>
      </c>
      <c r="O185" s="144">
        <f t="shared" si="291"/>
        <v>0</v>
      </c>
      <c r="P185" s="144">
        <f t="shared" si="292"/>
        <v>0</v>
      </c>
      <c r="Q185" s="144">
        <f t="shared" si="293"/>
        <v>0</v>
      </c>
      <c r="R185" s="144">
        <f t="shared" si="294"/>
        <v>0</v>
      </c>
      <c r="S185" s="348">
        <f t="shared" si="295"/>
        <v>662</v>
      </c>
      <c r="T185" s="154"/>
      <c r="U185" s="255">
        <f>L184+L185</f>
        <v>5508</v>
      </c>
      <c r="V185" s="255">
        <f t="shared" ref="V185" si="454">M184+M185</f>
        <v>119</v>
      </c>
      <c r="W185" s="255">
        <f t="shared" ref="W185" si="455">N184+N185</f>
        <v>0</v>
      </c>
      <c r="X185" s="255">
        <f t="shared" ref="X185" si="456">O184+O185</f>
        <v>12</v>
      </c>
      <c r="Y185" s="255">
        <f t="shared" ref="Y185" si="457">P184+P185</f>
        <v>12</v>
      </c>
      <c r="Z185" s="255">
        <f t="shared" ref="Z185" si="458">Q184+Q185</f>
        <v>67</v>
      </c>
      <c r="AA185" s="255">
        <f t="shared" ref="AA185" si="459">R184+R185</f>
        <v>67</v>
      </c>
      <c r="AB185" s="255">
        <f t="shared" ref="AB185" si="460">S184+S185</f>
        <v>1633</v>
      </c>
      <c r="AC185" s="153"/>
      <c r="AD185" s="158">
        <f t="shared" si="303"/>
        <v>3700</v>
      </c>
      <c r="AE185" s="144">
        <v>92.958399999999997</v>
      </c>
      <c r="AF185" s="144"/>
      <c r="AG185" s="144"/>
      <c r="AH185" s="144"/>
      <c r="AI185" s="144"/>
      <c r="AJ185" s="144"/>
      <c r="AK185" s="144"/>
      <c r="AL185" s="144"/>
      <c r="AM185" s="144"/>
      <c r="AN185" s="144"/>
      <c r="AO185" s="144"/>
      <c r="AP185" s="144"/>
      <c r="AQ185" s="144"/>
      <c r="AR185" s="144"/>
      <c r="AS185" s="144"/>
      <c r="AT185" s="144"/>
      <c r="AU185" s="144"/>
      <c r="AV185" s="144">
        <v>107.9753</v>
      </c>
      <c r="AW185" s="144">
        <v>19.994199999999999</v>
      </c>
      <c r="AX185" s="144"/>
      <c r="AY185" s="144"/>
      <c r="AZ185" s="144"/>
      <c r="BA185" s="144"/>
      <c r="BB185" s="144"/>
      <c r="BC185" s="144"/>
      <c r="BD185" s="144"/>
      <c r="BE185" s="144"/>
      <c r="BF185" s="144"/>
      <c r="BG185" s="144"/>
      <c r="BH185" s="144"/>
      <c r="BI185" s="144"/>
      <c r="BJ185" s="144"/>
      <c r="BK185" s="144"/>
      <c r="BL185" s="144"/>
      <c r="BM185" s="144"/>
      <c r="BN185" s="144"/>
      <c r="BO185" s="144"/>
      <c r="BP185" s="144"/>
      <c r="BQ185" s="144"/>
      <c r="BR185" s="144"/>
      <c r="BS185" s="144"/>
      <c r="BT185" s="144"/>
      <c r="BU185" s="144"/>
      <c r="BV185" s="265">
        <f>78.9+8</f>
        <v>86.9</v>
      </c>
      <c r="BW185" s="1">
        <f t="shared" si="279"/>
        <v>3700</v>
      </c>
      <c r="BX185"/>
      <c r="BY185"/>
    </row>
    <row r="186" spans="1:77" x14ac:dyDescent="0.25">
      <c r="A186" s="524"/>
      <c r="C186" s="210">
        <v>3750</v>
      </c>
      <c r="D186" s="349">
        <f t="shared" si="284"/>
        <v>471.42619999999999</v>
      </c>
      <c r="E186" s="349">
        <f t="shared" si="285"/>
        <v>1546.6919</v>
      </c>
      <c r="F186" s="147">
        <f t="shared" si="286"/>
        <v>0</v>
      </c>
      <c r="G186" s="147">
        <f t="shared" si="272"/>
        <v>0</v>
      </c>
      <c r="H186" s="147">
        <f t="shared" si="273"/>
        <v>0</v>
      </c>
      <c r="I186" s="147">
        <f t="shared" si="274"/>
        <v>0</v>
      </c>
      <c r="J186" s="156">
        <f t="shared" si="275"/>
        <v>0</v>
      </c>
      <c r="K186" s="349">
        <f t="shared" si="287"/>
        <v>153</v>
      </c>
      <c r="L186" s="355">
        <f t="shared" si="288"/>
        <v>523</v>
      </c>
      <c r="M186" s="349">
        <f t="shared" si="289"/>
        <v>1551</v>
      </c>
      <c r="N186" s="147">
        <f t="shared" si="290"/>
        <v>0</v>
      </c>
      <c r="O186" s="147">
        <f t="shared" si="291"/>
        <v>0</v>
      </c>
      <c r="P186" s="147">
        <f t="shared" si="292"/>
        <v>0</v>
      </c>
      <c r="Q186" s="147">
        <f t="shared" si="293"/>
        <v>0</v>
      </c>
      <c r="R186" s="147">
        <f t="shared" si="294"/>
        <v>0</v>
      </c>
      <c r="S186" s="349">
        <f t="shared" si="295"/>
        <v>667</v>
      </c>
      <c r="T186" s="56"/>
      <c r="U186" s="151"/>
      <c r="V186" s="147"/>
      <c r="W186" s="147"/>
      <c r="X186" s="147"/>
      <c r="Y186" s="147"/>
      <c r="Z186" s="147"/>
      <c r="AA186" s="147"/>
      <c r="AB186" s="147"/>
      <c r="AC186" s="55"/>
      <c r="AD186" s="155">
        <f t="shared" si="303"/>
        <v>3750</v>
      </c>
      <c r="AE186" s="147">
        <v>11.152200000000001</v>
      </c>
      <c r="AF186" s="246">
        <v>218.2372</v>
      </c>
      <c r="AG186" s="246">
        <v>146.57339999999999</v>
      </c>
      <c r="AH186" s="246">
        <v>95.463399999999993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246">
        <v>218.2372</v>
      </c>
      <c r="AW186" s="246">
        <v>146.57339999999999</v>
      </c>
      <c r="AX186" s="246">
        <v>95.463399999999993</v>
      </c>
      <c r="AY186" s="147">
        <v>1065.6102000000001</v>
      </c>
      <c r="AZ186" s="147">
        <v>8.6865000000000006</v>
      </c>
      <c r="BA186" s="147">
        <v>12.1212</v>
      </c>
      <c r="BB186" s="147"/>
      <c r="BC186" s="147"/>
      <c r="BD186" s="147"/>
      <c r="BE186" s="147"/>
      <c r="BF186" s="147"/>
      <c r="BG186" s="147"/>
      <c r="BH186" s="147"/>
      <c r="BI186" s="147"/>
      <c r="BJ186" s="147"/>
      <c r="BK186" s="147"/>
      <c r="BL186" s="147"/>
      <c r="BM186" s="147"/>
      <c r="BN186" s="147"/>
      <c r="BO186" s="147"/>
      <c r="BP186" s="147"/>
      <c r="BQ186" s="147"/>
      <c r="BR186" s="147"/>
      <c r="BS186" s="147"/>
      <c r="BT186" s="147"/>
      <c r="BU186" s="147"/>
      <c r="BV186" s="266">
        <f>149+4</f>
        <v>153</v>
      </c>
      <c r="BW186" s="1">
        <f t="shared" si="279"/>
        <v>3750</v>
      </c>
    </row>
    <row r="187" spans="1:77" s="62" customFormat="1" x14ac:dyDescent="0.25">
      <c r="A187" s="524"/>
      <c r="B187" s="130" t="s">
        <v>53</v>
      </c>
      <c r="C187" s="504">
        <v>3778.71</v>
      </c>
      <c r="D187" s="362">
        <f t="shared" si="284"/>
        <v>313.46089999999998</v>
      </c>
      <c r="E187" s="362">
        <f t="shared" si="285"/>
        <v>1361.8208999999999</v>
      </c>
      <c r="F187" s="59">
        <f t="shared" si="286"/>
        <v>0</v>
      </c>
      <c r="G187" s="59">
        <f t="shared" si="272"/>
        <v>0</v>
      </c>
      <c r="H187" s="59">
        <f t="shared" si="273"/>
        <v>0</v>
      </c>
      <c r="I187" s="59">
        <f t="shared" si="274"/>
        <v>0</v>
      </c>
      <c r="J187" s="60">
        <f t="shared" si="275"/>
        <v>0</v>
      </c>
      <c r="K187" s="362">
        <f t="shared" si="287"/>
        <v>160.8048</v>
      </c>
      <c r="L187" s="387">
        <f>ROUNDUP(((D186+D187)*0.5)*(C187-C186)/27,0)</f>
        <v>418</v>
      </c>
      <c r="M187" s="362">
        <f t="shared" si="289"/>
        <v>1547</v>
      </c>
      <c r="N187" s="59">
        <f t="shared" si="290"/>
        <v>0</v>
      </c>
      <c r="O187" s="59">
        <f t="shared" si="291"/>
        <v>0</v>
      </c>
      <c r="P187" s="59">
        <f t="shared" si="292"/>
        <v>0</v>
      </c>
      <c r="Q187" s="59">
        <f t="shared" si="293"/>
        <v>0</v>
      </c>
      <c r="R187" s="59">
        <f t="shared" si="294"/>
        <v>0</v>
      </c>
      <c r="S187" s="362">
        <f t="shared" si="295"/>
        <v>501</v>
      </c>
      <c r="T187" s="64"/>
      <c r="U187" s="106"/>
      <c r="V187" s="59"/>
      <c r="W187" s="59"/>
      <c r="X187" s="59"/>
      <c r="Y187" s="59"/>
      <c r="Z187" s="59"/>
      <c r="AA187" s="59"/>
      <c r="AB187" s="59"/>
      <c r="AC187" s="63"/>
      <c r="AD187" s="451">
        <f t="shared" si="303"/>
        <v>3778.71</v>
      </c>
      <c r="AE187" s="59">
        <v>5.1802000000000001</v>
      </c>
      <c r="AF187" s="119">
        <v>53.055900000000001</v>
      </c>
      <c r="AG187" s="119">
        <v>19.666899999999998</v>
      </c>
      <c r="AH187" s="119">
        <v>56.426099999999998</v>
      </c>
      <c r="AI187" s="119">
        <v>28.339600000000001</v>
      </c>
      <c r="AJ187" s="119">
        <v>150.79220000000001</v>
      </c>
      <c r="AK187" s="59"/>
      <c r="AL187" s="59"/>
      <c r="AM187" s="59"/>
      <c r="AN187" s="59"/>
      <c r="AO187" s="59"/>
      <c r="AP187" s="59"/>
      <c r="AQ187" s="59"/>
      <c r="AR187" s="59"/>
      <c r="AS187" s="59"/>
      <c r="AT187" s="59"/>
      <c r="AU187" s="59"/>
      <c r="AV187" s="119">
        <v>53.055900000000001</v>
      </c>
      <c r="AW187" s="119">
        <v>19.666899999999998</v>
      </c>
      <c r="AX187" s="119">
        <v>56.426099999999998</v>
      </c>
      <c r="AY187" s="119">
        <v>28.339600000000001</v>
      </c>
      <c r="AZ187" s="119">
        <v>150.79220000000001</v>
      </c>
      <c r="BA187" s="59">
        <v>61.820599999999999</v>
      </c>
      <c r="BB187" s="59">
        <v>970.13959999999997</v>
      </c>
      <c r="BC187" s="59">
        <v>17.914899999999999</v>
      </c>
      <c r="BD187" s="59">
        <v>3.6650999999999998</v>
      </c>
      <c r="BE187" s="59"/>
      <c r="BF187" s="59"/>
      <c r="BG187" s="59"/>
      <c r="BH187" s="59"/>
      <c r="BI187" s="59"/>
      <c r="BJ187" s="59"/>
      <c r="BK187" s="59"/>
      <c r="BL187" s="59"/>
      <c r="BM187" s="59"/>
      <c r="BN187" s="59"/>
      <c r="BO187" s="59"/>
      <c r="BP187" s="59"/>
      <c r="BQ187" s="59"/>
      <c r="BR187" s="59"/>
      <c r="BS187" s="59"/>
      <c r="BT187" s="59"/>
      <c r="BU187" s="59">
        <f>30.5005+4</f>
        <v>34.500500000000002</v>
      </c>
      <c r="BV187" s="268">
        <v>126.3043</v>
      </c>
      <c r="BW187" s="522">
        <f t="shared" ref="BW187:BW229" si="461">C187</f>
        <v>3778.71</v>
      </c>
      <c r="BX187"/>
      <c r="BY187"/>
    </row>
    <row r="188" spans="1:77" s="66" customFormat="1" ht="15.75" thickBot="1" x14ac:dyDescent="0.3">
      <c r="A188" s="524"/>
      <c r="B188" s="249" t="s">
        <v>54</v>
      </c>
      <c r="C188" s="505"/>
      <c r="D188" s="363">
        <f t="shared" si="284"/>
        <v>255.22480000000002</v>
      </c>
      <c r="E188" s="363">
        <f t="shared" si="285"/>
        <v>1246.9443999999999</v>
      </c>
      <c r="F188" s="184">
        <f t="shared" si="286"/>
        <v>0</v>
      </c>
      <c r="G188" s="184">
        <f t="shared" si="272"/>
        <v>0</v>
      </c>
      <c r="H188" s="184">
        <f t="shared" si="273"/>
        <v>0</v>
      </c>
      <c r="I188" s="184">
        <f t="shared" si="274"/>
        <v>0</v>
      </c>
      <c r="J188" s="215">
        <f t="shared" si="275"/>
        <v>0</v>
      </c>
      <c r="K188" s="363">
        <f t="shared" si="287"/>
        <v>126.3043</v>
      </c>
      <c r="L188" s="388"/>
      <c r="M188" s="363"/>
      <c r="N188" s="184"/>
      <c r="O188" s="184"/>
      <c r="P188" s="184"/>
      <c r="Q188" s="184"/>
      <c r="R188" s="184"/>
      <c r="S188" s="363"/>
      <c r="T188" s="250"/>
      <c r="U188" s="255">
        <f>L186+L187+L188</f>
        <v>941</v>
      </c>
      <c r="V188" s="255">
        <f t="shared" ref="V188" si="462">M186+M187+M188</f>
        <v>3098</v>
      </c>
      <c r="W188" s="255">
        <f t="shared" ref="W188" si="463">N186+N187+N188</f>
        <v>0</v>
      </c>
      <c r="X188" s="255">
        <f t="shared" ref="X188" si="464">O186+O187+O188</f>
        <v>0</v>
      </c>
      <c r="Y188" s="255">
        <f t="shared" ref="Y188" si="465">P186+P187+P188</f>
        <v>0</v>
      </c>
      <c r="Z188" s="255">
        <f t="shared" ref="Z188" si="466">Q186+Q187+Q188</f>
        <v>0</v>
      </c>
      <c r="AA188" s="255">
        <f t="shared" ref="AA188" si="467">R186+R187+R188</f>
        <v>0</v>
      </c>
      <c r="AB188" s="255">
        <f t="shared" ref="AB188" si="468">S186+S187+S188</f>
        <v>1168</v>
      </c>
      <c r="AC188" s="252"/>
      <c r="AD188" s="452"/>
      <c r="AE188" s="184"/>
      <c r="AF188" s="247"/>
      <c r="AG188" s="247">
        <v>19.666899999999998</v>
      </c>
      <c r="AH188" s="247">
        <v>56.426099999999998</v>
      </c>
      <c r="AI188" s="247">
        <v>28.339600000000001</v>
      </c>
      <c r="AJ188" s="247">
        <v>150.79220000000001</v>
      </c>
      <c r="AK188" s="184"/>
      <c r="AL188" s="184"/>
      <c r="AM188" s="184"/>
      <c r="AN188" s="184"/>
      <c r="AO188" s="184"/>
      <c r="AP188" s="184"/>
      <c r="AQ188" s="184"/>
      <c r="AR188" s="184"/>
      <c r="AS188" s="184"/>
      <c r="AT188" s="184"/>
      <c r="AU188" s="184"/>
      <c r="AV188" s="247"/>
      <c r="AW188" s="247">
        <v>19.666899999999998</v>
      </c>
      <c r="AX188" s="247">
        <v>56.426099999999998</v>
      </c>
      <c r="AY188" s="247">
        <v>28.339600000000001</v>
      </c>
      <c r="AZ188" s="247">
        <v>150.79220000000001</v>
      </c>
      <c r="BA188" s="184"/>
      <c r="BB188" s="184">
        <v>970.13959999999997</v>
      </c>
      <c r="BC188" s="59">
        <v>17.914899999999999</v>
      </c>
      <c r="BD188" s="59">
        <v>3.6650999999999998</v>
      </c>
      <c r="BE188" s="184"/>
      <c r="BF188" s="184"/>
      <c r="BG188" s="184"/>
      <c r="BH188" s="184"/>
      <c r="BI188" s="184"/>
      <c r="BJ188" s="184"/>
      <c r="BK188" s="184"/>
      <c r="BL188" s="184"/>
      <c r="BM188" s="184"/>
      <c r="BN188" s="184"/>
      <c r="BO188" s="184"/>
      <c r="BP188" s="184"/>
      <c r="BQ188" s="184"/>
      <c r="BR188" s="184"/>
      <c r="BS188" s="184"/>
      <c r="BT188" s="184"/>
      <c r="BU188" s="59"/>
      <c r="BV188" s="268">
        <v>126.3043</v>
      </c>
      <c r="BW188" s="522"/>
      <c r="BX188"/>
      <c r="BY188"/>
    </row>
    <row r="189" spans="1:77" x14ac:dyDescent="0.25">
      <c r="A189" s="524"/>
      <c r="C189" s="210">
        <v>3800</v>
      </c>
      <c r="D189" s="349">
        <f t="shared" si="284"/>
        <v>461.91309999999999</v>
      </c>
      <c r="E189" s="349">
        <f t="shared" si="285"/>
        <v>1577.2272</v>
      </c>
      <c r="F189" s="147">
        <f t="shared" si="286"/>
        <v>0</v>
      </c>
      <c r="G189" s="147">
        <f t="shared" si="272"/>
        <v>0</v>
      </c>
      <c r="H189" s="147">
        <f t="shared" si="273"/>
        <v>0</v>
      </c>
      <c r="I189" s="147">
        <f t="shared" si="274"/>
        <v>0</v>
      </c>
      <c r="J189" s="156">
        <f t="shared" si="275"/>
        <v>0</v>
      </c>
      <c r="K189" s="349">
        <f t="shared" si="287"/>
        <v>127.3</v>
      </c>
      <c r="L189" s="355">
        <f>ROUNDUP(((D188+D189)*0.5)*(C189-C187)/27,0)</f>
        <v>283</v>
      </c>
      <c r="M189" s="349">
        <f>ROUNDUP(((E188+E189)*0.5)*(C189-C187)/27,0)</f>
        <v>1114</v>
      </c>
      <c r="N189" s="147">
        <f>ROUNDUP(((F188+F189)*0.5)*(C189-C187)/27,0)</f>
        <v>0</v>
      </c>
      <c r="O189" s="147">
        <f>ROUNDUP(((G189+G188)*0.5)*(C189-C187)/27,0)</f>
        <v>0</v>
      </c>
      <c r="P189" s="147">
        <f>ROUNDUP(((H189+H188)*0.5)*(C189-C187)/27,0)</f>
        <v>0</v>
      </c>
      <c r="Q189" s="147">
        <f>ROUNDUP(((I189+I188)*0.5)*(C189-C187)/9,0)</f>
        <v>0</v>
      </c>
      <c r="R189" s="147">
        <f>ROUNDUP(((J189+J188)*0.5)*(C189-C187)/9,0)</f>
        <v>0</v>
      </c>
      <c r="S189" s="349">
        <f>ROUNDUP(((K189+K188)*0.5)*(C189-C187)/9,0)</f>
        <v>300</v>
      </c>
      <c r="T189" s="56"/>
      <c r="U189" s="151"/>
      <c r="V189" s="147"/>
      <c r="W189" s="147"/>
      <c r="X189" s="147"/>
      <c r="Y189" s="147"/>
      <c r="Z189" s="147"/>
      <c r="AA189" s="147"/>
      <c r="AB189" s="147"/>
      <c r="AC189" s="55"/>
      <c r="AD189" s="155">
        <f t="shared" si="303"/>
        <v>3800</v>
      </c>
      <c r="AE189" s="246">
        <v>133.59280000000001</v>
      </c>
      <c r="AF189" s="246">
        <v>68.358199999999997</v>
      </c>
      <c r="AG189" s="246">
        <v>37.664400000000001</v>
      </c>
      <c r="AH189" s="246">
        <v>146.8544</v>
      </c>
      <c r="AI189" s="246">
        <v>75.443299999999994</v>
      </c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246">
        <v>133.59280000000001</v>
      </c>
      <c r="AW189" s="246">
        <v>68.358199999999997</v>
      </c>
      <c r="AX189" s="246">
        <v>37.664400000000001</v>
      </c>
      <c r="AY189" s="246">
        <v>146.8544</v>
      </c>
      <c r="AZ189" s="246">
        <v>75.443299999999994</v>
      </c>
      <c r="BA189" s="147">
        <v>1093.2725</v>
      </c>
      <c r="BB189" s="147">
        <v>18.977399999999999</v>
      </c>
      <c r="BC189" s="147">
        <v>3.0642</v>
      </c>
      <c r="BD189" s="147"/>
      <c r="BE189" s="147"/>
      <c r="BF189" s="147"/>
      <c r="BG189" s="147"/>
      <c r="BH189" s="147"/>
      <c r="BI189" s="147"/>
      <c r="BJ189" s="147"/>
      <c r="BK189" s="147"/>
      <c r="BL189" s="147"/>
      <c r="BM189" s="147"/>
      <c r="BN189" s="147"/>
      <c r="BO189" s="147"/>
      <c r="BP189" s="147"/>
      <c r="BQ189" s="147"/>
      <c r="BR189" s="147"/>
      <c r="BS189" s="147"/>
      <c r="BT189" s="147"/>
      <c r="BU189" s="147"/>
      <c r="BV189" s="266">
        <v>127.3</v>
      </c>
      <c r="BW189" s="1">
        <f t="shared" si="461"/>
        <v>3800</v>
      </c>
    </row>
    <row r="190" spans="1:77" x14ac:dyDescent="0.25">
      <c r="A190" s="524"/>
      <c r="C190" s="121">
        <v>3850</v>
      </c>
      <c r="D190" s="347">
        <f t="shared" si="284"/>
        <v>564.78430000000003</v>
      </c>
      <c r="E190" s="347">
        <f t="shared" si="285"/>
        <v>1510.1104000000003</v>
      </c>
      <c r="F190" s="58">
        <f t="shared" si="286"/>
        <v>0</v>
      </c>
      <c r="G190" s="58">
        <f t="shared" ref="G190:G229" si="469">SUM(BI190:BK190)</f>
        <v>0</v>
      </c>
      <c r="H190" s="58">
        <f t="shared" ref="H190:H229" si="470">SUM(BL190:BN190)</f>
        <v>0</v>
      </c>
      <c r="I190" s="58">
        <f t="shared" ref="I190:I229" si="471">SUM(BO190:BP190)</f>
        <v>0</v>
      </c>
      <c r="J190" s="51">
        <f t="shared" ref="J190:J229" si="472">BQ190+BR190</f>
        <v>0</v>
      </c>
      <c r="K190" s="347">
        <f t="shared" si="287"/>
        <v>135.19999999999999</v>
      </c>
      <c r="L190" s="353">
        <f>ROUNDUP(((D189+D190)*0.5)*(C190-C189)/27,0)</f>
        <v>951</v>
      </c>
      <c r="M190" s="347">
        <f t="shared" si="289"/>
        <v>2859</v>
      </c>
      <c r="N190" s="58">
        <f t="shared" si="290"/>
        <v>0</v>
      </c>
      <c r="O190" s="58">
        <f t="shared" si="291"/>
        <v>0</v>
      </c>
      <c r="P190" s="58">
        <f t="shared" si="292"/>
        <v>0</v>
      </c>
      <c r="Q190" s="58">
        <f t="shared" si="293"/>
        <v>0</v>
      </c>
      <c r="R190" s="58">
        <f t="shared" si="294"/>
        <v>0</v>
      </c>
      <c r="S190" s="347">
        <f t="shared" si="295"/>
        <v>730</v>
      </c>
      <c r="T190" s="56"/>
      <c r="U190" s="105"/>
      <c r="V190" s="58"/>
      <c r="W190" s="58"/>
      <c r="X190" s="58"/>
      <c r="Y190" s="58"/>
      <c r="Z190" s="58"/>
      <c r="AA190" s="58"/>
      <c r="AB190" s="58"/>
      <c r="AC190" s="55"/>
      <c r="AD190" s="57">
        <f t="shared" si="303"/>
        <v>3850</v>
      </c>
      <c r="AE190" s="119">
        <v>174.69720000000001</v>
      </c>
      <c r="AF190" s="119">
        <v>48.313099999999999</v>
      </c>
      <c r="AG190" s="119">
        <v>87.961100000000002</v>
      </c>
      <c r="AH190" s="119">
        <v>110.9808</v>
      </c>
      <c r="AI190" s="119">
        <v>142.8321</v>
      </c>
      <c r="AJ190" s="58"/>
      <c r="AK190" s="58"/>
      <c r="AL190" s="58"/>
      <c r="AM190" s="58"/>
      <c r="AN190" s="58"/>
      <c r="AO190" s="58"/>
      <c r="AP190" s="58"/>
      <c r="AQ190" s="58"/>
      <c r="AR190" s="58"/>
      <c r="AS190" s="58"/>
      <c r="AT190" s="58"/>
      <c r="AU190" s="58"/>
      <c r="AV190" s="119">
        <v>174.69720000000001</v>
      </c>
      <c r="AW190" s="119">
        <v>48.313099999999999</v>
      </c>
      <c r="AX190" s="119">
        <v>87.961100000000002</v>
      </c>
      <c r="AY190" s="119">
        <v>110.9808</v>
      </c>
      <c r="AZ190" s="119">
        <v>142.8321</v>
      </c>
      <c r="BA190" s="58">
        <v>921.89250000000004</v>
      </c>
      <c r="BB190" s="58">
        <v>23.433599999999998</v>
      </c>
      <c r="BC190" s="58"/>
      <c r="BD190" s="58"/>
      <c r="BE190" s="58"/>
      <c r="BF190" s="58"/>
      <c r="BG190" s="58"/>
      <c r="BH190" s="58"/>
      <c r="BI190" s="58"/>
      <c r="BJ190" s="58"/>
      <c r="BK190" s="58"/>
      <c r="BL190" s="58"/>
      <c r="BM190" s="58"/>
      <c r="BN190" s="58"/>
      <c r="BO190" s="58"/>
      <c r="BP190" s="58"/>
      <c r="BQ190" s="58"/>
      <c r="BR190" s="58"/>
      <c r="BS190" s="58"/>
      <c r="BT190" s="58"/>
      <c r="BU190" s="58"/>
      <c r="BV190" s="263">
        <v>135.19999999999999</v>
      </c>
      <c r="BW190" s="1">
        <f t="shared" si="461"/>
        <v>3850</v>
      </c>
    </row>
    <row r="191" spans="1:77" s="3" customFormat="1" ht="15.75" thickBot="1" x14ac:dyDescent="0.3">
      <c r="A191" s="524"/>
      <c r="C191" s="212">
        <v>3900</v>
      </c>
      <c r="D191" s="348">
        <f t="shared" si="284"/>
        <v>239.8229</v>
      </c>
      <c r="E191" s="348">
        <f t="shared" si="285"/>
        <v>695.81500000000005</v>
      </c>
      <c r="F191" s="144">
        <f t="shared" si="286"/>
        <v>0</v>
      </c>
      <c r="G191" s="144">
        <f t="shared" si="469"/>
        <v>0</v>
      </c>
      <c r="H191" s="144">
        <f t="shared" si="470"/>
        <v>0</v>
      </c>
      <c r="I191" s="144">
        <f t="shared" si="471"/>
        <v>0</v>
      </c>
      <c r="J191" s="159">
        <f t="shared" si="472"/>
        <v>0</v>
      </c>
      <c r="K191" s="348">
        <f t="shared" si="287"/>
        <v>74.599999999999994</v>
      </c>
      <c r="L191" s="354">
        <f t="shared" si="288"/>
        <v>746</v>
      </c>
      <c r="M191" s="348">
        <f t="shared" si="289"/>
        <v>2043</v>
      </c>
      <c r="N191" s="144">
        <f t="shared" si="290"/>
        <v>0</v>
      </c>
      <c r="O191" s="144">
        <f t="shared" si="291"/>
        <v>0</v>
      </c>
      <c r="P191" s="144">
        <f t="shared" si="292"/>
        <v>0</v>
      </c>
      <c r="Q191" s="144">
        <f t="shared" si="293"/>
        <v>0</v>
      </c>
      <c r="R191" s="144">
        <f t="shared" si="294"/>
        <v>0</v>
      </c>
      <c r="S191" s="348">
        <f t="shared" si="295"/>
        <v>583</v>
      </c>
      <c r="T191" s="154"/>
      <c r="U191" s="255">
        <f>L189+L190+L191</f>
        <v>1980</v>
      </c>
      <c r="V191" s="255">
        <f t="shared" ref="V191" si="473">M189+M190+M191</f>
        <v>6016</v>
      </c>
      <c r="W191" s="255">
        <f t="shared" ref="W191" si="474">N189+N190+N191</f>
        <v>0</v>
      </c>
      <c r="X191" s="255">
        <f t="shared" ref="X191" si="475">O189+O190+O191</f>
        <v>0</v>
      </c>
      <c r="Y191" s="255">
        <f t="shared" ref="Y191" si="476">P189+P190+P191</f>
        <v>0</v>
      </c>
      <c r="Z191" s="255">
        <f t="shared" ref="Z191" si="477">Q189+Q190+Q191</f>
        <v>0</v>
      </c>
      <c r="AA191" s="255">
        <f t="shared" ref="AA191" si="478">R189+R190+R191</f>
        <v>0</v>
      </c>
      <c r="AB191" s="255">
        <f t="shared" ref="AB191" si="479">S189+S190+S191</f>
        <v>1613</v>
      </c>
      <c r="AC191" s="153"/>
      <c r="AD191" s="158">
        <f t="shared" si="303"/>
        <v>3900</v>
      </c>
      <c r="AE191" s="247">
        <v>144.80449999999999</v>
      </c>
      <c r="AF191" s="247">
        <v>95.0184</v>
      </c>
      <c r="AG191" s="144"/>
      <c r="AH191" s="144"/>
      <c r="AI191" s="144"/>
      <c r="AJ191" s="144"/>
      <c r="AK191" s="144"/>
      <c r="AL191" s="144"/>
      <c r="AM191" s="144"/>
      <c r="AN191" s="144"/>
      <c r="AO191" s="144"/>
      <c r="AP191" s="144"/>
      <c r="AQ191" s="144"/>
      <c r="AR191" s="144"/>
      <c r="AS191" s="144"/>
      <c r="AT191" s="144"/>
      <c r="AU191" s="144"/>
      <c r="AV191" s="247">
        <v>144.80449999999999</v>
      </c>
      <c r="AW191" s="247">
        <v>95.0184</v>
      </c>
      <c r="AX191" s="144">
        <v>433.166</v>
      </c>
      <c r="AY191" s="144">
        <v>22.8261</v>
      </c>
      <c r="AZ191" s="144"/>
      <c r="BA191" s="144"/>
      <c r="BB191" s="144"/>
      <c r="BC191" s="144"/>
      <c r="BD191" s="144"/>
      <c r="BE191" s="144"/>
      <c r="BF191" s="144"/>
      <c r="BG191" s="144"/>
      <c r="BH191" s="144"/>
      <c r="BI191" s="144"/>
      <c r="BJ191" s="144"/>
      <c r="BK191" s="144"/>
      <c r="BL191" s="144"/>
      <c r="BM191" s="144"/>
      <c r="BN191" s="144"/>
      <c r="BO191" s="144"/>
      <c r="BP191" s="144"/>
      <c r="BQ191" s="144"/>
      <c r="BR191" s="144"/>
      <c r="BS191" s="144"/>
      <c r="BT191" s="144"/>
      <c r="BU191" s="144"/>
      <c r="BV191" s="265">
        <f>70.6+4</f>
        <v>74.599999999999994</v>
      </c>
      <c r="BW191" s="1">
        <f t="shared" si="461"/>
        <v>3900</v>
      </c>
      <c r="BX191"/>
      <c r="BY191"/>
    </row>
    <row r="192" spans="1:77" s="62" customFormat="1" x14ac:dyDescent="0.25">
      <c r="A192" s="524"/>
      <c r="B192" s="248" t="s">
        <v>53</v>
      </c>
      <c r="C192" s="504">
        <v>3907.21</v>
      </c>
      <c r="D192" s="361">
        <f t="shared" ref="D192:D229" si="480">SUM(AE192:AU192)</f>
        <v>265.88670000000002</v>
      </c>
      <c r="E192" s="361">
        <f t="shared" ref="E192:E229" si="481">SUM(AV192:BD192)</f>
        <v>642.80010000000004</v>
      </c>
      <c r="F192" s="161">
        <f t="shared" ref="F192:F229" si="482">SUM(BF192:BH192)</f>
        <v>0</v>
      </c>
      <c r="G192" s="161">
        <f t="shared" si="469"/>
        <v>0</v>
      </c>
      <c r="H192" s="161">
        <f t="shared" si="470"/>
        <v>0</v>
      </c>
      <c r="I192" s="161">
        <f t="shared" si="471"/>
        <v>0</v>
      </c>
      <c r="J192" s="162">
        <f t="shared" si="472"/>
        <v>0</v>
      </c>
      <c r="K192" s="361">
        <f t="shared" ref="K192:K229" si="483">SUM(BS192:BV192)</f>
        <v>75.754099999999994</v>
      </c>
      <c r="L192" s="386">
        <f>ROUNDUP(((D191+D192)*0.5)*(C192-C191)/27,0)</f>
        <v>68</v>
      </c>
      <c r="M192" s="361">
        <f t="shared" ref="M192:M229" si="484">ROUNDUP(((E191+E192)*0.5)*(C192-C191)/27,0)</f>
        <v>179</v>
      </c>
      <c r="N192" s="161">
        <f t="shared" ref="N192:N229" si="485">ROUNDUP(((F191+F192)*0.5)*(C192-C191)/27,0)</f>
        <v>0</v>
      </c>
      <c r="O192" s="161">
        <f t="shared" ref="O192:O229" si="486">ROUNDUP(((G192+G191)*0.5)*(C192-C191)/27,0)</f>
        <v>0</v>
      </c>
      <c r="P192" s="161">
        <f t="shared" ref="P192:P229" si="487">ROUNDUP(((H192+H191)*0.5)*(C192-C191)/27,0)</f>
        <v>0</v>
      </c>
      <c r="Q192" s="161">
        <f t="shared" ref="Q192:Q229" si="488">ROUNDUP(((I192+I191)*0.5)*(C192-C191)/9,0)</f>
        <v>0</v>
      </c>
      <c r="R192" s="161">
        <f t="shared" ref="R192:R229" si="489">ROUNDUP(((J192+J191)*0.5)*(C192-C191)/9,0)</f>
        <v>0</v>
      </c>
      <c r="S192" s="361">
        <f t="shared" ref="S192:S229" si="490">ROUNDUP(((K192+K191)*0.5)*(C192-C191)/9,0)</f>
        <v>61</v>
      </c>
      <c r="T192" s="64"/>
      <c r="U192" s="164"/>
      <c r="V192" s="161"/>
      <c r="W192" s="161"/>
      <c r="X192" s="161"/>
      <c r="Y192" s="161"/>
      <c r="Z192" s="161"/>
      <c r="AA192" s="161"/>
      <c r="AB192" s="161"/>
      <c r="AC192" s="63"/>
      <c r="AD192" s="451">
        <f t="shared" ref="AD192:AD229" si="491">C192</f>
        <v>3907.21</v>
      </c>
      <c r="AE192" s="161"/>
      <c r="AF192" s="161"/>
      <c r="AG192" s="161">
        <v>0.88470000000000004</v>
      </c>
      <c r="AH192" s="246">
        <v>147.9359</v>
      </c>
      <c r="AI192" s="246">
        <v>117.06610000000001</v>
      </c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  <c r="AU192" s="161"/>
      <c r="AV192" s="246">
        <v>147.9359</v>
      </c>
      <c r="AW192" s="246">
        <v>117.06610000000001</v>
      </c>
      <c r="AX192" s="161"/>
      <c r="AY192" s="161">
        <v>355.2217</v>
      </c>
      <c r="AZ192" s="161">
        <v>22.5764</v>
      </c>
      <c r="BA192" s="161"/>
      <c r="BB192" s="161"/>
      <c r="BC192" s="161"/>
      <c r="BD192" s="161"/>
      <c r="BE192" s="161"/>
      <c r="BF192" s="161"/>
      <c r="BG192" s="161"/>
      <c r="BH192" s="161"/>
      <c r="BI192" s="161"/>
      <c r="BJ192" s="161"/>
      <c r="BK192" s="161"/>
      <c r="BL192" s="161"/>
      <c r="BM192" s="161"/>
      <c r="BN192" s="161"/>
      <c r="BO192" s="161"/>
      <c r="BP192" s="161"/>
      <c r="BQ192" s="161"/>
      <c r="BR192" s="161"/>
      <c r="BS192" s="161"/>
      <c r="BT192" s="161"/>
      <c r="BU192" s="161"/>
      <c r="BV192" s="267">
        <f>71.7541+4</f>
        <v>75.754099999999994</v>
      </c>
      <c r="BW192" s="522">
        <f t="shared" si="461"/>
        <v>3907.21</v>
      </c>
      <c r="BX192"/>
      <c r="BY192"/>
    </row>
    <row r="193" spans="1:77" s="62" customFormat="1" x14ac:dyDescent="0.25">
      <c r="A193" s="524"/>
      <c r="B193" s="130" t="s">
        <v>54</v>
      </c>
      <c r="C193" s="505"/>
      <c r="D193" s="362">
        <f t="shared" si="480"/>
        <v>353.67520000000002</v>
      </c>
      <c r="E193" s="362">
        <f t="shared" si="481"/>
        <v>644.34389999999996</v>
      </c>
      <c r="F193" s="59">
        <f t="shared" si="482"/>
        <v>0</v>
      </c>
      <c r="G193" s="59">
        <f t="shared" si="469"/>
        <v>0</v>
      </c>
      <c r="H193" s="59">
        <f t="shared" si="470"/>
        <v>0</v>
      </c>
      <c r="I193" s="59">
        <f t="shared" si="471"/>
        <v>0</v>
      </c>
      <c r="J193" s="60">
        <f t="shared" si="472"/>
        <v>0</v>
      </c>
      <c r="K193" s="362">
        <f t="shared" si="483"/>
        <v>135.9871</v>
      </c>
      <c r="L193" s="387"/>
      <c r="M193" s="362"/>
      <c r="N193" s="59"/>
      <c r="O193" s="59"/>
      <c r="P193" s="59"/>
      <c r="Q193" s="59"/>
      <c r="R193" s="59"/>
      <c r="S193" s="362"/>
      <c r="T193" s="64"/>
      <c r="U193" s="106"/>
      <c r="V193" s="59"/>
      <c r="W193" s="59"/>
      <c r="X193" s="59"/>
      <c r="Y193" s="59"/>
      <c r="Z193" s="59"/>
      <c r="AA193" s="59"/>
      <c r="AB193" s="59"/>
      <c r="AC193" s="63"/>
      <c r="AD193" s="452"/>
      <c r="AE193" s="59">
        <v>87.477699999999999</v>
      </c>
      <c r="AF193" s="59">
        <v>0.31080000000000002</v>
      </c>
      <c r="AG193" s="59">
        <v>0.88470000000000004</v>
      </c>
      <c r="AH193" s="119">
        <v>147.9359</v>
      </c>
      <c r="AI193" s="119">
        <v>117.06610000000001</v>
      </c>
      <c r="AJ193" s="59"/>
      <c r="AK193" s="59"/>
      <c r="AL193" s="59"/>
      <c r="AM193" s="59"/>
      <c r="AN193" s="59"/>
      <c r="AO193" s="59"/>
      <c r="AP193" s="59"/>
      <c r="AQ193" s="59"/>
      <c r="AR193" s="59"/>
      <c r="AS193" s="59"/>
      <c r="AT193" s="59"/>
      <c r="AU193" s="59"/>
      <c r="AV193" s="119">
        <v>147.9359</v>
      </c>
      <c r="AW193" s="119">
        <v>117.06610000000001</v>
      </c>
      <c r="AX193" s="59">
        <v>1.5438000000000001</v>
      </c>
      <c r="AY193" s="59">
        <v>355.2217</v>
      </c>
      <c r="AZ193" s="59">
        <v>22.5764</v>
      </c>
      <c r="BA193" s="59"/>
      <c r="BB193" s="59"/>
      <c r="BC193" s="59"/>
      <c r="BD193" s="59"/>
      <c r="BE193" s="59"/>
      <c r="BF193" s="59"/>
      <c r="BG193" s="59"/>
      <c r="BH193" s="59"/>
      <c r="BI193" s="59"/>
      <c r="BJ193" s="59"/>
      <c r="BK193" s="59"/>
      <c r="BL193" s="59"/>
      <c r="BM193" s="59"/>
      <c r="BN193" s="59"/>
      <c r="BO193" s="59"/>
      <c r="BP193" s="59"/>
      <c r="BQ193" s="59"/>
      <c r="BR193" s="59"/>
      <c r="BS193" s="59"/>
      <c r="BT193" s="59"/>
      <c r="BU193" s="161">
        <f>56.233+4</f>
        <v>60.232999999999997</v>
      </c>
      <c r="BV193" s="267">
        <f>71.7541+4</f>
        <v>75.754099999999994</v>
      </c>
      <c r="BW193" s="522"/>
      <c r="BX193"/>
      <c r="BY193"/>
    </row>
    <row r="194" spans="1:77" s="3" customFormat="1" ht="15.75" thickBot="1" x14ac:dyDescent="0.3">
      <c r="A194" s="524"/>
      <c r="C194" s="212">
        <v>3950</v>
      </c>
      <c r="D194" s="348">
        <f t="shared" si="480"/>
        <v>698.24680000000001</v>
      </c>
      <c r="E194" s="348">
        <f t="shared" si="481"/>
        <v>0</v>
      </c>
      <c r="F194" s="144">
        <f t="shared" si="482"/>
        <v>0</v>
      </c>
      <c r="G194" s="144">
        <f t="shared" si="469"/>
        <v>0</v>
      </c>
      <c r="H194" s="144">
        <f t="shared" si="470"/>
        <v>0</v>
      </c>
      <c r="I194" s="144">
        <f t="shared" si="471"/>
        <v>0</v>
      </c>
      <c r="J194" s="159">
        <f t="shared" si="472"/>
        <v>0</v>
      </c>
      <c r="K194" s="348">
        <f t="shared" si="483"/>
        <v>110.6</v>
      </c>
      <c r="L194" s="354">
        <f>ROUNDUP(((D193+D194)*0.5)*(C194-C192)/27,0)</f>
        <v>834</v>
      </c>
      <c r="M194" s="348">
        <f>ROUNDUP(((E193+E194)*0.5)*(C194-C192)/27,0)</f>
        <v>511</v>
      </c>
      <c r="N194" s="144">
        <f>ROUNDUP(((F193+F194)*0.5)*(C194-C192)/27,0)</f>
        <v>0</v>
      </c>
      <c r="O194" s="144">
        <f>ROUNDUP(((G194+G193)*0.5)*(C194-C192)/27,0)</f>
        <v>0</v>
      </c>
      <c r="P194" s="144">
        <f>ROUNDUP(((H194+H193)*0.5)*(C194-C192)/27,0)</f>
        <v>0</v>
      </c>
      <c r="Q194" s="144">
        <f>ROUNDUP(((I194+I193)*0.5)*(C194-C192)/9,0)</f>
        <v>0</v>
      </c>
      <c r="R194" s="144">
        <f>ROUNDUP(((J194+J193)*0.5)*(C194-C192)/9,0)</f>
        <v>0</v>
      </c>
      <c r="S194" s="348">
        <f>ROUNDUP(((K194+K193)*0.5)*(C194-C192)/9,0)</f>
        <v>587</v>
      </c>
      <c r="T194" s="154"/>
      <c r="U194" s="255">
        <f>L192+L193+L194</f>
        <v>902</v>
      </c>
      <c r="V194" s="255">
        <f t="shared" ref="V194" si="492">M192+M193+M194</f>
        <v>690</v>
      </c>
      <c r="W194" s="255">
        <f t="shared" ref="W194" si="493">N192+N193+N194</f>
        <v>0</v>
      </c>
      <c r="X194" s="255">
        <f t="shared" ref="X194" si="494">O192+O193+O194</f>
        <v>0</v>
      </c>
      <c r="Y194" s="255">
        <f t="shared" ref="Y194" si="495">P192+P193+P194</f>
        <v>0</v>
      </c>
      <c r="Z194" s="255">
        <f t="shared" ref="Z194" si="496">Q192+Q193+Q194</f>
        <v>0</v>
      </c>
      <c r="AA194" s="255">
        <f t="shared" ref="AA194" si="497">R192+R193+R194</f>
        <v>0</v>
      </c>
      <c r="AB194" s="255">
        <f t="shared" ref="AB194" si="498">S192+S193+S194</f>
        <v>648</v>
      </c>
      <c r="AC194" s="153"/>
      <c r="AD194" s="158">
        <f t="shared" si="491"/>
        <v>3950</v>
      </c>
      <c r="AE194" s="144">
        <v>698.24680000000001</v>
      </c>
      <c r="AF194" s="144"/>
      <c r="AG194" s="144"/>
      <c r="AH194" s="144"/>
      <c r="AI194" s="144"/>
      <c r="AJ194" s="144"/>
      <c r="AK194" s="144"/>
      <c r="AL194" s="144"/>
      <c r="AM194" s="144"/>
      <c r="AN194" s="144"/>
      <c r="AO194" s="144"/>
      <c r="AP194" s="144"/>
      <c r="AQ194" s="144"/>
      <c r="AR194" s="144"/>
      <c r="AS194" s="144"/>
      <c r="AT194" s="144"/>
      <c r="AU194" s="144"/>
      <c r="AV194" s="144"/>
      <c r="AW194" s="144"/>
      <c r="AX194" s="144"/>
      <c r="AY194" s="144"/>
      <c r="AZ194" s="144"/>
      <c r="BA194" s="144"/>
      <c r="BB194" s="144"/>
      <c r="BC194" s="144"/>
      <c r="BD194" s="144"/>
      <c r="BE194" s="144"/>
      <c r="BF194" s="144"/>
      <c r="BG194" s="144"/>
      <c r="BH194" s="144"/>
      <c r="BI194" s="144"/>
      <c r="BJ194" s="144"/>
      <c r="BK194" s="144"/>
      <c r="BL194" s="144"/>
      <c r="BM194" s="144"/>
      <c r="BN194" s="144"/>
      <c r="BO194" s="144"/>
      <c r="BP194" s="144"/>
      <c r="BQ194" s="144"/>
      <c r="BR194" s="144"/>
      <c r="BS194" s="144"/>
      <c r="BT194" s="144"/>
      <c r="BU194" s="144"/>
      <c r="BV194" s="265">
        <f>102.6+8</f>
        <v>110.6</v>
      </c>
      <c r="BW194" s="1">
        <f t="shared" si="461"/>
        <v>3950</v>
      </c>
      <c r="BX194"/>
      <c r="BY194"/>
    </row>
    <row r="195" spans="1:77" x14ac:dyDescent="0.25">
      <c r="A195" s="524"/>
      <c r="C195" s="210">
        <v>4000</v>
      </c>
      <c r="D195" s="349">
        <f t="shared" si="480"/>
        <v>1381.1665</v>
      </c>
      <c r="E195" s="349">
        <f t="shared" si="481"/>
        <v>0</v>
      </c>
      <c r="F195" s="147">
        <f t="shared" si="482"/>
        <v>0</v>
      </c>
      <c r="G195" s="147">
        <f t="shared" si="469"/>
        <v>0</v>
      </c>
      <c r="H195" s="147">
        <f t="shared" si="470"/>
        <v>0</v>
      </c>
      <c r="I195" s="147">
        <f t="shared" si="471"/>
        <v>0</v>
      </c>
      <c r="J195" s="156">
        <f t="shared" si="472"/>
        <v>0</v>
      </c>
      <c r="K195" s="349">
        <f t="shared" si="483"/>
        <v>155.4</v>
      </c>
      <c r="L195" s="355">
        <f t="shared" ref="L195:L229" si="499">ROUNDUP(((D194+D195)*0.5)*(C195-C194)/27,0)</f>
        <v>1926</v>
      </c>
      <c r="M195" s="349">
        <f t="shared" si="484"/>
        <v>0</v>
      </c>
      <c r="N195" s="147">
        <f t="shared" si="485"/>
        <v>0</v>
      </c>
      <c r="O195" s="147">
        <f t="shared" si="486"/>
        <v>0</v>
      </c>
      <c r="P195" s="147">
        <f t="shared" si="487"/>
        <v>0</v>
      </c>
      <c r="Q195" s="147">
        <f t="shared" si="488"/>
        <v>0</v>
      </c>
      <c r="R195" s="147">
        <f t="shared" si="489"/>
        <v>0</v>
      </c>
      <c r="S195" s="349">
        <f t="shared" si="490"/>
        <v>739</v>
      </c>
      <c r="T195" s="56"/>
      <c r="U195" s="151"/>
      <c r="V195" s="147"/>
      <c r="W195" s="147"/>
      <c r="X195" s="147"/>
      <c r="Y195" s="147"/>
      <c r="Z195" s="147"/>
      <c r="AA195" s="147"/>
      <c r="AB195" s="147"/>
      <c r="AC195" s="55"/>
      <c r="AD195" s="155">
        <f t="shared" si="491"/>
        <v>4000</v>
      </c>
      <c r="AE195" s="147">
        <v>1381.1665</v>
      </c>
      <c r="AF195" s="147"/>
      <c r="AG195" s="147"/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  <c r="BI195" s="147"/>
      <c r="BJ195" s="147"/>
      <c r="BK195" s="147"/>
      <c r="BL195" s="147"/>
      <c r="BM195" s="147"/>
      <c r="BN195" s="147"/>
      <c r="BO195" s="147"/>
      <c r="BP195" s="147"/>
      <c r="BQ195" s="147"/>
      <c r="BR195" s="147"/>
      <c r="BS195" s="147"/>
      <c r="BT195" s="147"/>
      <c r="BU195" s="147"/>
      <c r="BV195" s="266">
        <f>147.4+8</f>
        <v>155.4</v>
      </c>
      <c r="BW195" s="1">
        <f t="shared" si="461"/>
        <v>4000</v>
      </c>
    </row>
    <row r="196" spans="1:77" s="3" customFormat="1" ht="15.75" thickBot="1" x14ac:dyDescent="0.3">
      <c r="A196" s="524"/>
      <c r="C196" s="212">
        <v>4050</v>
      </c>
      <c r="D196" s="348">
        <f t="shared" si="480"/>
        <v>1398.7012999999999</v>
      </c>
      <c r="E196" s="348">
        <f t="shared" si="481"/>
        <v>0</v>
      </c>
      <c r="F196" s="144">
        <f t="shared" si="482"/>
        <v>0</v>
      </c>
      <c r="G196" s="144">
        <f t="shared" si="469"/>
        <v>0</v>
      </c>
      <c r="H196" s="144">
        <f t="shared" si="470"/>
        <v>0</v>
      </c>
      <c r="I196" s="144">
        <f t="shared" si="471"/>
        <v>0</v>
      </c>
      <c r="J196" s="159">
        <f t="shared" si="472"/>
        <v>0</v>
      </c>
      <c r="K196" s="348">
        <f t="shared" si="483"/>
        <v>156.5</v>
      </c>
      <c r="L196" s="354">
        <f t="shared" si="499"/>
        <v>2574</v>
      </c>
      <c r="M196" s="348">
        <f t="shared" si="484"/>
        <v>0</v>
      </c>
      <c r="N196" s="144">
        <f t="shared" si="485"/>
        <v>0</v>
      </c>
      <c r="O196" s="144">
        <f t="shared" si="486"/>
        <v>0</v>
      </c>
      <c r="P196" s="144">
        <f t="shared" si="487"/>
        <v>0</v>
      </c>
      <c r="Q196" s="144">
        <f t="shared" si="488"/>
        <v>0</v>
      </c>
      <c r="R196" s="144">
        <f t="shared" si="489"/>
        <v>0</v>
      </c>
      <c r="S196" s="348">
        <f t="shared" si="490"/>
        <v>867</v>
      </c>
      <c r="T196" s="154"/>
      <c r="U196" s="255">
        <f>L195+L196</f>
        <v>4500</v>
      </c>
      <c r="V196" s="255">
        <f t="shared" ref="V196" si="500">M195+M196</f>
        <v>0</v>
      </c>
      <c r="W196" s="255">
        <f t="shared" ref="W196" si="501">N195+N196</f>
        <v>0</v>
      </c>
      <c r="X196" s="255">
        <f t="shared" ref="X196" si="502">O195+O196</f>
        <v>0</v>
      </c>
      <c r="Y196" s="255">
        <f t="shared" ref="Y196" si="503">P195+P196</f>
        <v>0</v>
      </c>
      <c r="Z196" s="255">
        <f t="shared" ref="Z196" si="504">Q195+Q196</f>
        <v>0</v>
      </c>
      <c r="AA196" s="255">
        <f t="shared" ref="AA196" si="505">R195+R196</f>
        <v>0</v>
      </c>
      <c r="AB196" s="255">
        <f t="shared" ref="AB196" si="506">S195+S196</f>
        <v>1606</v>
      </c>
      <c r="AC196" s="153"/>
      <c r="AD196" s="158">
        <f t="shared" si="491"/>
        <v>4050</v>
      </c>
      <c r="AE196" s="144">
        <v>1398.7012999999999</v>
      </c>
      <c r="AF196" s="144"/>
      <c r="AG196" s="144"/>
      <c r="AH196" s="144"/>
      <c r="AI196" s="144"/>
      <c r="AJ196" s="144"/>
      <c r="AK196" s="144"/>
      <c r="AL196" s="144"/>
      <c r="AM196" s="144"/>
      <c r="AN196" s="144"/>
      <c r="AO196" s="144"/>
      <c r="AP196" s="144"/>
      <c r="AQ196" s="144"/>
      <c r="AR196" s="144"/>
      <c r="AS196" s="144"/>
      <c r="AT196" s="144"/>
      <c r="AU196" s="144"/>
      <c r="AV196" s="144"/>
      <c r="AW196" s="144"/>
      <c r="AX196" s="144"/>
      <c r="AY196" s="144"/>
      <c r="AZ196" s="144"/>
      <c r="BA196" s="144"/>
      <c r="BB196" s="144"/>
      <c r="BC196" s="144"/>
      <c r="BD196" s="144"/>
      <c r="BE196" s="144"/>
      <c r="BF196" s="144"/>
      <c r="BG196" s="144"/>
      <c r="BH196" s="144"/>
      <c r="BI196" s="144"/>
      <c r="BJ196" s="144"/>
      <c r="BK196" s="144"/>
      <c r="BL196" s="144"/>
      <c r="BM196" s="144"/>
      <c r="BN196" s="144"/>
      <c r="BO196" s="144"/>
      <c r="BP196" s="144"/>
      <c r="BQ196" s="144"/>
      <c r="BR196" s="144"/>
      <c r="BS196" s="144"/>
      <c r="BT196" s="144"/>
      <c r="BU196" s="144"/>
      <c r="BV196" s="265">
        <f>148.5+8</f>
        <v>156.5</v>
      </c>
      <c r="BW196" s="1">
        <f t="shared" si="461"/>
        <v>4050</v>
      </c>
      <c r="BX196"/>
      <c r="BY196"/>
    </row>
    <row r="197" spans="1:77" x14ac:dyDescent="0.25">
      <c r="A197" s="524"/>
      <c r="C197" s="210">
        <v>4100</v>
      </c>
      <c r="D197" s="349">
        <f t="shared" si="480"/>
        <v>794.94740000000002</v>
      </c>
      <c r="E197" s="349">
        <f t="shared" si="481"/>
        <v>0</v>
      </c>
      <c r="F197" s="147">
        <f t="shared" si="482"/>
        <v>0</v>
      </c>
      <c r="G197" s="147">
        <f t="shared" si="469"/>
        <v>0</v>
      </c>
      <c r="H197" s="147">
        <f t="shared" si="470"/>
        <v>0</v>
      </c>
      <c r="I197" s="147">
        <f t="shared" si="471"/>
        <v>0</v>
      </c>
      <c r="J197" s="156">
        <f t="shared" si="472"/>
        <v>0</v>
      </c>
      <c r="K197" s="349">
        <f t="shared" si="483"/>
        <v>119.1</v>
      </c>
      <c r="L197" s="355">
        <f t="shared" si="499"/>
        <v>2032</v>
      </c>
      <c r="M197" s="349">
        <f t="shared" si="484"/>
        <v>0</v>
      </c>
      <c r="N197" s="147">
        <f t="shared" si="485"/>
        <v>0</v>
      </c>
      <c r="O197" s="147">
        <f t="shared" si="486"/>
        <v>0</v>
      </c>
      <c r="P197" s="147">
        <f t="shared" si="487"/>
        <v>0</v>
      </c>
      <c r="Q197" s="147">
        <f t="shared" si="488"/>
        <v>0</v>
      </c>
      <c r="R197" s="147">
        <f t="shared" si="489"/>
        <v>0</v>
      </c>
      <c r="S197" s="349">
        <f t="shared" si="490"/>
        <v>766</v>
      </c>
      <c r="T197" s="56"/>
      <c r="U197" s="151"/>
      <c r="V197" s="147"/>
      <c r="W197" s="147"/>
      <c r="X197" s="147"/>
      <c r="Y197" s="147"/>
      <c r="Z197" s="147"/>
      <c r="AA197" s="147"/>
      <c r="AB197" s="147"/>
      <c r="AC197" s="55"/>
      <c r="AD197" s="155">
        <f t="shared" si="491"/>
        <v>4100</v>
      </c>
      <c r="AE197" s="147">
        <v>794.94740000000002</v>
      </c>
      <c r="AF197" s="147"/>
      <c r="AG197" s="147"/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  <c r="BI197" s="147"/>
      <c r="BJ197" s="147"/>
      <c r="BK197" s="147"/>
      <c r="BL197" s="147"/>
      <c r="BM197" s="147"/>
      <c r="BN197" s="147"/>
      <c r="BO197" s="147"/>
      <c r="BP197" s="147"/>
      <c r="BQ197" s="147"/>
      <c r="BR197" s="147"/>
      <c r="BS197" s="147"/>
      <c r="BT197" s="147"/>
      <c r="BU197" s="147"/>
      <c r="BV197" s="266">
        <f>111.1+8</f>
        <v>119.1</v>
      </c>
      <c r="BW197" s="1">
        <f t="shared" si="461"/>
        <v>4100</v>
      </c>
    </row>
    <row r="198" spans="1:77" s="3" customFormat="1" ht="15.75" thickBot="1" x14ac:dyDescent="0.3">
      <c r="A198" s="524"/>
      <c r="C198" s="212">
        <v>4150</v>
      </c>
      <c r="D198" s="348">
        <f t="shared" si="480"/>
        <v>302.93860000000001</v>
      </c>
      <c r="E198" s="348">
        <f t="shared" si="481"/>
        <v>480.67010000000005</v>
      </c>
      <c r="F198" s="144">
        <f t="shared" si="482"/>
        <v>0</v>
      </c>
      <c r="G198" s="144">
        <f t="shared" si="469"/>
        <v>0</v>
      </c>
      <c r="H198" s="144">
        <f t="shared" si="470"/>
        <v>0</v>
      </c>
      <c r="I198" s="144">
        <f t="shared" si="471"/>
        <v>0</v>
      </c>
      <c r="J198" s="159">
        <f t="shared" si="472"/>
        <v>0</v>
      </c>
      <c r="K198" s="348">
        <f t="shared" si="483"/>
        <v>119.4</v>
      </c>
      <c r="L198" s="354">
        <f t="shared" si="499"/>
        <v>1017</v>
      </c>
      <c r="M198" s="348">
        <f t="shared" si="484"/>
        <v>446</v>
      </c>
      <c r="N198" s="144">
        <f t="shared" si="485"/>
        <v>0</v>
      </c>
      <c r="O198" s="144">
        <f t="shared" si="486"/>
        <v>0</v>
      </c>
      <c r="P198" s="144">
        <f t="shared" si="487"/>
        <v>0</v>
      </c>
      <c r="Q198" s="144">
        <f t="shared" si="488"/>
        <v>0</v>
      </c>
      <c r="R198" s="144">
        <f t="shared" si="489"/>
        <v>0</v>
      </c>
      <c r="S198" s="348">
        <f t="shared" si="490"/>
        <v>663</v>
      </c>
      <c r="T198" s="154"/>
      <c r="U198" s="255">
        <f>L197+L198</f>
        <v>3049</v>
      </c>
      <c r="V198" s="255">
        <f t="shared" ref="V198" si="507">M197+M198</f>
        <v>446</v>
      </c>
      <c r="W198" s="255">
        <f t="shared" ref="W198" si="508">N197+N198</f>
        <v>0</v>
      </c>
      <c r="X198" s="255">
        <f t="shared" ref="X198" si="509">O197+O198</f>
        <v>0</v>
      </c>
      <c r="Y198" s="255">
        <f t="shared" ref="Y198" si="510">P197+P198</f>
        <v>0</v>
      </c>
      <c r="Z198" s="255">
        <f t="shared" ref="Z198" si="511">Q197+Q198</f>
        <v>0</v>
      </c>
      <c r="AA198" s="255">
        <f t="shared" ref="AA198" si="512">R197+R198</f>
        <v>0</v>
      </c>
      <c r="AB198" s="255">
        <f t="shared" ref="AB198" si="513">S197+S198</f>
        <v>1429</v>
      </c>
      <c r="AC198" s="153"/>
      <c r="AD198" s="158">
        <f t="shared" si="491"/>
        <v>4150</v>
      </c>
      <c r="AE198" s="144">
        <v>144.22110000000001</v>
      </c>
      <c r="AF198" s="247">
        <v>59.196599999999997</v>
      </c>
      <c r="AG198" s="247">
        <v>99.520899999999997</v>
      </c>
      <c r="AH198" s="144"/>
      <c r="AI198" s="144"/>
      <c r="AJ198" s="144"/>
      <c r="AK198" s="144"/>
      <c r="AL198" s="144"/>
      <c r="AM198" s="144"/>
      <c r="AN198" s="144"/>
      <c r="AO198" s="144"/>
      <c r="AP198" s="144"/>
      <c r="AQ198" s="144"/>
      <c r="AR198" s="144"/>
      <c r="AS198" s="144"/>
      <c r="AT198" s="144"/>
      <c r="AU198" s="144"/>
      <c r="AV198" s="247">
        <v>59.196599999999997</v>
      </c>
      <c r="AW198" s="247">
        <v>99.520899999999997</v>
      </c>
      <c r="AX198" s="144">
        <v>321.95260000000002</v>
      </c>
      <c r="AY198" s="144"/>
      <c r="AZ198" s="144"/>
      <c r="BA198" s="144"/>
      <c r="BB198" s="144"/>
      <c r="BC198" s="144"/>
      <c r="BD198" s="144"/>
      <c r="BE198" s="144"/>
      <c r="BF198" s="144"/>
      <c r="BG198" s="144"/>
      <c r="BH198" s="144"/>
      <c r="BI198" s="144"/>
      <c r="BJ198" s="144"/>
      <c r="BK198" s="144"/>
      <c r="BL198" s="144"/>
      <c r="BM198" s="144"/>
      <c r="BN198" s="144"/>
      <c r="BO198" s="144"/>
      <c r="BP198" s="144"/>
      <c r="BQ198" s="144"/>
      <c r="BR198" s="144"/>
      <c r="BS198" s="144"/>
      <c r="BT198" s="144"/>
      <c r="BU198" s="144"/>
      <c r="BV198" s="265">
        <f>111.4+8</f>
        <v>119.4</v>
      </c>
      <c r="BW198" s="1">
        <f t="shared" si="461"/>
        <v>4150</v>
      </c>
      <c r="BX198"/>
      <c r="BY198"/>
    </row>
    <row r="199" spans="1:77" x14ac:dyDescent="0.25">
      <c r="A199" s="524"/>
      <c r="C199" s="210">
        <v>4200</v>
      </c>
      <c r="D199" s="349">
        <f t="shared" si="480"/>
        <v>755.68459999999993</v>
      </c>
      <c r="E199" s="349">
        <f t="shared" si="481"/>
        <v>1373.3237999999999</v>
      </c>
      <c r="F199" s="147">
        <f t="shared" si="482"/>
        <v>0</v>
      </c>
      <c r="G199" s="147">
        <f t="shared" si="469"/>
        <v>0</v>
      </c>
      <c r="H199" s="147">
        <f t="shared" si="470"/>
        <v>0</v>
      </c>
      <c r="I199" s="147">
        <f t="shared" si="471"/>
        <v>0</v>
      </c>
      <c r="J199" s="156">
        <f t="shared" si="472"/>
        <v>0</v>
      </c>
      <c r="K199" s="349">
        <f t="shared" si="483"/>
        <v>174.6</v>
      </c>
      <c r="L199" s="355">
        <f t="shared" si="499"/>
        <v>981</v>
      </c>
      <c r="M199" s="349">
        <f t="shared" si="484"/>
        <v>1717</v>
      </c>
      <c r="N199" s="147">
        <f t="shared" si="485"/>
        <v>0</v>
      </c>
      <c r="O199" s="147">
        <f t="shared" si="486"/>
        <v>0</v>
      </c>
      <c r="P199" s="147">
        <f t="shared" si="487"/>
        <v>0</v>
      </c>
      <c r="Q199" s="147">
        <f t="shared" si="488"/>
        <v>0</v>
      </c>
      <c r="R199" s="147">
        <f t="shared" si="489"/>
        <v>0</v>
      </c>
      <c r="S199" s="349">
        <f t="shared" si="490"/>
        <v>817</v>
      </c>
      <c r="T199" s="56"/>
      <c r="U199" s="151"/>
      <c r="V199" s="147"/>
      <c r="W199" s="147"/>
      <c r="X199" s="147"/>
      <c r="Y199" s="147"/>
      <c r="Z199" s="147"/>
      <c r="AA199" s="147"/>
      <c r="AB199" s="147"/>
      <c r="AC199" s="55"/>
      <c r="AD199" s="155">
        <f t="shared" si="491"/>
        <v>4200</v>
      </c>
      <c r="AE199" s="147">
        <v>143.8074</v>
      </c>
      <c r="AF199" s="246">
        <v>53.601999999999997</v>
      </c>
      <c r="AG199" s="246">
        <v>76.787300000000002</v>
      </c>
      <c r="AH199" s="246">
        <v>168.5873</v>
      </c>
      <c r="AI199" s="246">
        <v>311.66849999999999</v>
      </c>
      <c r="AJ199" s="246">
        <v>1.2321</v>
      </c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246">
        <v>53.601999999999997</v>
      </c>
      <c r="AW199" s="246">
        <v>76.787300000000002</v>
      </c>
      <c r="AX199" s="246">
        <v>168.5873</v>
      </c>
      <c r="AY199" s="246">
        <v>311.66849999999999</v>
      </c>
      <c r="AZ199" s="246">
        <v>1.2321</v>
      </c>
      <c r="BA199" s="147">
        <v>761.44659999999999</v>
      </c>
      <c r="BB199" s="147"/>
      <c r="BC199" s="147"/>
      <c r="BD199" s="147"/>
      <c r="BE199" s="147"/>
      <c r="BF199" s="147"/>
      <c r="BG199" s="147"/>
      <c r="BH199" s="147"/>
      <c r="BI199" s="147"/>
      <c r="BJ199" s="147"/>
      <c r="BK199" s="147"/>
      <c r="BL199" s="147"/>
      <c r="BM199" s="147"/>
      <c r="BN199" s="147"/>
      <c r="BO199" s="147"/>
      <c r="BP199" s="147"/>
      <c r="BQ199" s="147"/>
      <c r="BR199" s="147"/>
      <c r="BS199" s="147"/>
      <c r="BT199" s="147"/>
      <c r="BU199" s="147"/>
      <c r="BV199" s="266">
        <f>170.6+4</f>
        <v>174.6</v>
      </c>
      <c r="BW199" s="1">
        <f t="shared" si="461"/>
        <v>4200</v>
      </c>
    </row>
    <row r="200" spans="1:77" s="3" customFormat="1" ht="15.75" thickBot="1" x14ac:dyDescent="0.3">
      <c r="A200" s="524"/>
      <c r="C200" s="212">
        <v>4250</v>
      </c>
      <c r="D200" s="348">
        <f t="shared" si="480"/>
        <v>676.73410000000001</v>
      </c>
      <c r="E200" s="348">
        <f t="shared" si="481"/>
        <v>444.0883</v>
      </c>
      <c r="F200" s="144">
        <f t="shared" si="482"/>
        <v>0</v>
      </c>
      <c r="G200" s="144">
        <f t="shared" si="469"/>
        <v>0</v>
      </c>
      <c r="H200" s="144">
        <f t="shared" si="470"/>
        <v>0</v>
      </c>
      <c r="I200" s="144">
        <f t="shared" si="471"/>
        <v>0</v>
      </c>
      <c r="J200" s="159">
        <f t="shared" si="472"/>
        <v>0</v>
      </c>
      <c r="K200" s="348">
        <f t="shared" si="483"/>
        <v>159.80000000000001</v>
      </c>
      <c r="L200" s="354">
        <f t="shared" si="499"/>
        <v>1327</v>
      </c>
      <c r="M200" s="348">
        <f t="shared" si="484"/>
        <v>1683</v>
      </c>
      <c r="N200" s="144">
        <f t="shared" si="485"/>
        <v>0</v>
      </c>
      <c r="O200" s="144">
        <f t="shared" si="486"/>
        <v>0</v>
      </c>
      <c r="P200" s="144">
        <f t="shared" si="487"/>
        <v>0</v>
      </c>
      <c r="Q200" s="144">
        <f t="shared" si="488"/>
        <v>0</v>
      </c>
      <c r="R200" s="144">
        <f t="shared" si="489"/>
        <v>0</v>
      </c>
      <c r="S200" s="348">
        <f t="shared" si="490"/>
        <v>929</v>
      </c>
      <c r="T200" s="154"/>
      <c r="U200" s="255">
        <f>L199+L200</f>
        <v>2308</v>
      </c>
      <c r="V200" s="255">
        <f t="shared" ref="V200" si="514">M199+M200</f>
        <v>3400</v>
      </c>
      <c r="W200" s="255">
        <f t="shared" ref="W200" si="515">N199+N200</f>
        <v>0</v>
      </c>
      <c r="X200" s="255">
        <f t="shared" ref="X200" si="516">O199+O200</f>
        <v>0</v>
      </c>
      <c r="Y200" s="255">
        <f t="shared" ref="Y200" si="517">P199+P200</f>
        <v>0</v>
      </c>
      <c r="Z200" s="255">
        <f t="shared" ref="Z200" si="518">Q199+Q200</f>
        <v>0</v>
      </c>
      <c r="AA200" s="255">
        <f t="shared" ref="AA200" si="519">R199+R200</f>
        <v>0</v>
      </c>
      <c r="AB200" s="255">
        <f t="shared" ref="AB200" si="520">S199+S200</f>
        <v>1746</v>
      </c>
      <c r="AC200" s="153"/>
      <c r="AD200" s="158">
        <f t="shared" si="491"/>
        <v>4250</v>
      </c>
      <c r="AE200" s="144">
        <v>423.49680000000001</v>
      </c>
      <c r="AF200" s="247">
        <v>116.2704</v>
      </c>
      <c r="AG200" s="247">
        <v>136.96690000000001</v>
      </c>
      <c r="AH200" s="144"/>
      <c r="AI200" s="144"/>
      <c r="AJ200" s="144"/>
      <c r="AK200" s="144"/>
      <c r="AL200" s="144"/>
      <c r="AM200" s="144"/>
      <c r="AN200" s="144"/>
      <c r="AO200" s="144"/>
      <c r="AP200" s="144"/>
      <c r="AQ200" s="144"/>
      <c r="AR200" s="144"/>
      <c r="AS200" s="144"/>
      <c r="AT200" s="144"/>
      <c r="AU200" s="144"/>
      <c r="AV200" s="247">
        <v>116.2704</v>
      </c>
      <c r="AW200" s="247">
        <v>136.96690000000001</v>
      </c>
      <c r="AX200" s="144">
        <v>190.851</v>
      </c>
      <c r="AY200" s="144"/>
      <c r="AZ200" s="144"/>
      <c r="BA200" s="144"/>
      <c r="BB200" s="144"/>
      <c r="BC200" s="144"/>
      <c r="BD200" s="144"/>
      <c r="BE200" s="144"/>
      <c r="BF200" s="144"/>
      <c r="BG200" s="144"/>
      <c r="BH200" s="144"/>
      <c r="BI200" s="144"/>
      <c r="BJ200" s="144"/>
      <c r="BK200" s="144"/>
      <c r="BL200" s="144"/>
      <c r="BM200" s="144"/>
      <c r="BN200" s="144"/>
      <c r="BO200" s="144"/>
      <c r="BP200" s="144"/>
      <c r="BQ200" s="144"/>
      <c r="BR200" s="144"/>
      <c r="BS200" s="144"/>
      <c r="BT200" s="144"/>
      <c r="BU200" s="144"/>
      <c r="BV200" s="265">
        <f>151.8+8</f>
        <v>159.80000000000001</v>
      </c>
      <c r="BW200" s="1">
        <f t="shared" si="461"/>
        <v>4250</v>
      </c>
      <c r="BX200"/>
      <c r="BY200"/>
    </row>
    <row r="201" spans="1:77" x14ac:dyDescent="0.25">
      <c r="A201" s="524"/>
      <c r="C201" s="210">
        <v>4300</v>
      </c>
      <c r="D201" s="349">
        <f t="shared" si="480"/>
        <v>817.4538</v>
      </c>
      <c r="E201" s="349">
        <f t="shared" si="481"/>
        <v>1.5475000000000001</v>
      </c>
      <c r="F201" s="147">
        <f t="shared" si="482"/>
        <v>0</v>
      </c>
      <c r="G201" s="147">
        <f t="shared" si="469"/>
        <v>0</v>
      </c>
      <c r="H201" s="147">
        <f t="shared" si="470"/>
        <v>0</v>
      </c>
      <c r="I201" s="147">
        <f t="shared" si="471"/>
        <v>0</v>
      </c>
      <c r="J201" s="156">
        <f t="shared" si="472"/>
        <v>0</v>
      </c>
      <c r="K201" s="349">
        <f t="shared" si="483"/>
        <v>141.19999999999999</v>
      </c>
      <c r="L201" s="355">
        <f t="shared" si="499"/>
        <v>1384</v>
      </c>
      <c r="M201" s="349">
        <f t="shared" si="484"/>
        <v>413</v>
      </c>
      <c r="N201" s="147">
        <f t="shared" si="485"/>
        <v>0</v>
      </c>
      <c r="O201" s="147">
        <f t="shared" si="486"/>
        <v>0</v>
      </c>
      <c r="P201" s="147">
        <f t="shared" si="487"/>
        <v>0</v>
      </c>
      <c r="Q201" s="147">
        <f t="shared" si="488"/>
        <v>0</v>
      </c>
      <c r="R201" s="147">
        <f t="shared" si="489"/>
        <v>0</v>
      </c>
      <c r="S201" s="349">
        <f t="shared" si="490"/>
        <v>837</v>
      </c>
      <c r="T201" s="56"/>
      <c r="U201" s="151"/>
      <c r="V201" s="147"/>
      <c r="W201" s="147"/>
      <c r="X201" s="147"/>
      <c r="Y201" s="147"/>
      <c r="Z201" s="147"/>
      <c r="AA201" s="147"/>
      <c r="AB201" s="147"/>
      <c r="AC201" s="55"/>
      <c r="AD201" s="155">
        <f t="shared" si="491"/>
        <v>4300</v>
      </c>
      <c r="AE201" s="147">
        <v>815.07820000000004</v>
      </c>
      <c r="AF201" s="147">
        <v>2.3755999999999999</v>
      </c>
      <c r="AG201" s="147"/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>
        <v>1.5475000000000001</v>
      </c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  <c r="BI201" s="147"/>
      <c r="BJ201" s="147"/>
      <c r="BK201" s="147"/>
      <c r="BL201" s="147"/>
      <c r="BM201" s="147"/>
      <c r="BN201" s="147"/>
      <c r="BO201" s="147"/>
      <c r="BP201" s="147"/>
      <c r="BQ201" s="147"/>
      <c r="BR201" s="147"/>
      <c r="BS201" s="147"/>
      <c r="BT201" s="147"/>
      <c r="BU201" s="147"/>
      <c r="BV201" s="266">
        <f>133.2+8</f>
        <v>141.19999999999999</v>
      </c>
      <c r="BW201" s="1">
        <f t="shared" si="461"/>
        <v>4300</v>
      </c>
    </row>
    <row r="202" spans="1:77" s="3" customFormat="1" ht="15.75" thickBot="1" x14ac:dyDescent="0.3">
      <c r="A202" s="524"/>
      <c r="C202" s="212">
        <v>4350</v>
      </c>
      <c r="D202" s="348">
        <f t="shared" si="480"/>
        <v>603.10889999999995</v>
      </c>
      <c r="E202" s="348">
        <f t="shared" si="481"/>
        <v>14.0898</v>
      </c>
      <c r="F202" s="144">
        <f t="shared" si="482"/>
        <v>0</v>
      </c>
      <c r="G202" s="144">
        <f t="shared" si="469"/>
        <v>0</v>
      </c>
      <c r="H202" s="144">
        <f t="shared" si="470"/>
        <v>0</v>
      </c>
      <c r="I202" s="144">
        <f t="shared" si="471"/>
        <v>0</v>
      </c>
      <c r="J202" s="159">
        <f t="shared" si="472"/>
        <v>0</v>
      </c>
      <c r="K202" s="348">
        <f t="shared" si="483"/>
        <v>127.9</v>
      </c>
      <c r="L202" s="354">
        <f t="shared" si="499"/>
        <v>1316</v>
      </c>
      <c r="M202" s="348">
        <f t="shared" si="484"/>
        <v>15</v>
      </c>
      <c r="N202" s="144">
        <f t="shared" si="485"/>
        <v>0</v>
      </c>
      <c r="O202" s="144">
        <f t="shared" si="486"/>
        <v>0</v>
      </c>
      <c r="P202" s="144">
        <f t="shared" si="487"/>
        <v>0</v>
      </c>
      <c r="Q202" s="144">
        <f t="shared" si="488"/>
        <v>0</v>
      </c>
      <c r="R202" s="144">
        <f t="shared" si="489"/>
        <v>0</v>
      </c>
      <c r="S202" s="348">
        <f t="shared" si="490"/>
        <v>748</v>
      </c>
      <c r="T202" s="154"/>
      <c r="U202" s="255">
        <f>L201+L202</f>
        <v>2700</v>
      </c>
      <c r="V202" s="255">
        <f t="shared" ref="V202" si="521">M201+M202</f>
        <v>428</v>
      </c>
      <c r="W202" s="255">
        <f t="shared" ref="W202" si="522">N201+N202</f>
        <v>0</v>
      </c>
      <c r="X202" s="255">
        <f t="shared" ref="X202" si="523">O201+O202</f>
        <v>0</v>
      </c>
      <c r="Y202" s="255">
        <f t="shared" ref="Y202" si="524">P201+P202</f>
        <v>0</v>
      </c>
      <c r="Z202" s="255">
        <f t="shared" ref="Z202" si="525">Q201+Q202</f>
        <v>0</v>
      </c>
      <c r="AA202" s="255">
        <f t="shared" ref="AA202" si="526">R201+R202</f>
        <v>0</v>
      </c>
      <c r="AB202" s="255">
        <f t="shared" ref="AB202" si="527">S201+S202</f>
        <v>1585</v>
      </c>
      <c r="AC202" s="153"/>
      <c r="AD202" s="158">
        <f t="shared" si="491"/>
        <v>4350</v>
      </c>
      <c r="AE202" s="144">
        <v>603.10889999999995</v>
      </c>
      <c r="AF202" s="144"/>
      <c r="AG202" s="144"/>
      <c r="AH202" s="144"/>
      <c r="AI202" s="144"/>
      <c r="AJ202" s="144"/>
      <c r="AK202" s="144"/>
      <c r="AL202" s="144"/>
      <c r="AM202" s="144"/>
      <c r="AN202" s="144"/>
      <c r="AO202" s="144"/>
      <c r="AP202" s="144"/>
      <c r="AQ202" s="144"/>
      <c r="AR202" s="144"/>
      <c r="AS202" s="144"/>
      <c r="AT202" s="144"/>
      <c r="AU202" s="144"/>
      <c r="AV202" s="144">
        <v>14.0898</v>
      </c>
      <c r="AW202" s="144"/>
      <c r="AX202" s="144"/>
      <c r="AY202" s="144"/>
      <c r="AZ202" s="144"/>
      <c r="BA202" s="144"/>
      <c r="BB202" s="144"/>
      <c r="BC202" s="144"/>
      <c r="BD202" s="144"/>
      <c r="BE202" s="144"/>
      <c r="BF202" s="144"/>
      <c r="BG202" s="144"/>
      <c r="BH202" s="144"/>
      <c r="BI202" s="144"/>
      <c r="BJ202" s="144"/>
      <c r="BK202" s="144"/>
      <c r="BL202" s="144"/>
      <c r="BM202" s="144"/>
      <c r="BN202" s="144"/>
      <c r="BO202" s="144"/>
      <c r="BP202" s="144"/>
      <c r="BQ202" s="144"/>
      <c r="BR202" s="144"/>
      <c r="BS202" s="144"/>
      <c r="BT202" s="144"/>
      <c r="BU202" s="144"/>
      <c r="BV202" s="265">
        <f>119.9+8</f>
        <v>127.9</v>
      </c>
      <c r="BW202" s="1">
        <f t="shared" si="461"/>
        <v>4350</v>
      </c>
      <c r="BX202"/>
      <c r="BY202"/>
    </row>
    <row r="203" spans="1:77" x14ac:dyDescent="0.25">
      <c r="A203" s="524"/>
      <c r="C203" s="210">
        <v>4400</v>
      </c>
      <c r="D203" s="349">
        <f t="shared" si="480"/>
        <v>1331.5097000000001</v>
      </c>
      <c r="E203" s="349">
        <f t="shared" si="481"/>
        <v>0</v>
      </c>
      <c r="F203" s="147">
        <f t="shared" si="482"/>
        <v>0</v>
      </c>
      <c r="G203" s="147">
        <f t="shared" si="469"/>
        <v>0</v>
      </c>
      <c r="H203" s="147">
        <f t="shared" si="470"/>
        <v>0</v>
      </c>
      <c r="I203" s="147">
        <f t="shared" si="471"/>
        <v>0</v>
      </c>
      <c r="J203" s="156">
        <f t="shared" si="472"/>
        <v>0</v>
      </c>
      <c r="K203" s="349">
        <f t="shared" si="483"/>
        <v>232.3</v>
      </c>
      <c r="L203" s="355">
        <f t="shared" si="499"/>
        <v>1792</v>
      </c>
      <c r="M203" s="349">
        <f t="shared" si="484"/>
        <v>14</v>
      </c>
      <c r="N203" s="147">
        <f t="shared" si="485"/>
        <v>0</v>
      </c>
      <c r="O203" s="147">
        <f t="shared" si="486"/>
        <v>0</v>
      </c>
      <c r="P203" s="147">
        <f t="shared" si="487"/>
        <v>0</v>
      </c>
      <c r="Q203" s="147">
        <f t="shared" si="488"/>
        <v>0</v>
      </c>
      <c r="R203" s="147">
        <f t="shared" si="489"/>
        <v>0</v>
      </c>
      <c r="S203" s="349">
        <f t="shared" si="490"/>
        <v>1001</v>
      </c>
      <c r="T203" s="56"/>
      <c r="U203" s="151"/>
      <c r="V203" s="147"/>
      <c r="W203" s="147"/>
      <c r="X203" s="147"/>
      <c r="Y203" s="147"/>
      <c r="Z203" s="147"/>
      <c r="AA203" s="147"/>
      <c r="AB203" s="147"/>
      <c r="AC203" s="55"/>
      <c r="AD203" s="155">
        <f t="shared" si="491"/>
        <v>4400</v>
      </c>
      <c r="AE203" s="147">
        <v>1331.5097000000001</v>
      </c>
      <c r="AF203" s="147"/>
      <c r="AG203" s="147"/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  <c r="BI203" s="147"/>
      <c r="BJ203" s="147"/>
      <c r="BK203" s="147"/>
      <c r="BL203" s="147"/>
      <c r="BM203" s="147"/>
      <c r="BN203" s="147"/>
      <c r="BO203" s="147"/>
      <c r="BP203" s="147"/>
      <c r="BQ203" s="147"/>
      <c r="BR203" s="147"/>
      <c r="BS203" s="147"/>
      <c r="BT203" s="147"/>
      <c r="BU203" s="147"/>
      <c r="BV203" s="266">
        <f>228.3+4</f>
        <v>232.3</v>
      </c>
      <c r="BW203" s="1">
        <f t="shared" si="461"/>
        <v>4400</v>
      </c>
    </row>
    <row r="204" spans="1:77" s="3" customFormat="1" ht="15.75" thickBot="1" x14ac:dyDescent="0.3">
      <c r="A204" s="524"/>
      <c r="C204" s="212">
        <v>4450</v>
      </c>
      <c r="D204" s="348">
        <f t="shared" si="480"/>
        <v>2460.0868</v>
      </c>
      <c r="E204" s="348">
        <f t="shared" si="481"/>
        <v>0</v>
      </c>
      <c r="F204" s="144">
        <f t="shared" si="482"/>
        <v>0</v>
      </c>
      <c r="G204" s="144">
        <f t="shared" si="469"/>
        <v>0</v>
      </c>
      <c r="H204" s="144">
        <f t="shared" si="470"/>
        <v>0</v>
      </c>
      <c r="I204" s="144">
        <f t="shared" si="471"/>
        <v>0</v>
      </c>
      <c r="J204" s="159">
        <f t="shared" si="472"/>
        <v>0</v>
      </c>
      <c r="K204" s="348">
        <f t="shared" si="483"/>
        <v>249.3</v>
      </c>
      <c r="L204" s="354">
        <f t="shared" si="499"/>
        <v>3511</v>
      </c>
      <c r="M204" s="348">
        <f t="shared" si="484"/>
        <v>0</v>
      </c>
      <c r="N204" s="144">
        <f t="shared" si="485"/>
        <v>0</v>
      </c>
      <c r="O204" s="144">
        <f t="shared" si="486"/>
        <v>0</v>
      </c>
      <c r="P204" s="144">
        <f t="shared" si="487"/>
        <v>0</v>
      </c>
      <c r="Q204" s="144">
        <f t="shared" si="488"/>
        <v>0</v>
      </c>
      <c r="R204" s="144">
        <f t="shared" si="489"/>
        <v>0</v>
      </c>
      <c r="S204" s="348">
        <f t="shared" si="490"/>
        <v>1338</v>
      </c>
      <c r="T204" s="154"/>
      <c r="U204" s="255">
        <f>L203+L204</f>
        <v>5303</v>
      </c>
      <c r="V204" s="255">
        <f t="shared" ref="V204" si="528">M203+M204</f>
        <v>14</v>
      </c>
      <c r="W204" s="255">
        <f t="shared" ref="W204" si="529">N203+N204</f>
        <v>0</v>
      </c>
      <c r="X204" s="255">
        <f t="shared" ref="X204" si="530">O203+O204</f>
        <v>0</v>
      </c>
      <c r="Y204" s="255">
        <f t="shared" ref="Y204" si="531">P203+P204</f>
        <v>0</v>
      </c>
      <c r="Z204" s="255">
        <f t="shared" ref="Z204" si="532">Q203+Q204</f>
        <v>0</v>
      </c>
      <c r="AA204" s="255">
        <f t="shared" ref="AA204" si="533">R203+R204</f>
        <v>0</v>
      </c>
      <c r="AB204" s="255">
        <f t="shared" ref="AB204" si="534">S203+S204</f>
        <v>2339</v>
      </c>
      <c r="AC204" s="153"/>
      <c r="AD204" s="158">
        <f t="shared" si="491"/>
        <v>4450</v>
      </c>
      <c r="AE204" s="144">
        <v>2460.0868</v>
      </c>
      <c r="AF204" s="144"/>
      <c r="AG204" s="144"/>
      <c r="AH204" s="144"/>
      <c r="AI204" s="144"/>
      <c r="AJ204" s="144"/>
      <c r="AK204" s="144"/>
      <c r="AL204" s="144"/>
      <c r="AM204" s="144"/>
      <c r="AN204" s="144"/>
      <c r="AO204" s="144"/>
      <c r="AP204" s="144"/>
      <c r="AQ204" s="144"/>
      <c r="AR204" s="144"/>
      <c r="AS204" s="144"/>
      <c r="AT204" s="144"/>
      <c r="AU204" s="144"/>
      <c r="AV204" s="144"/>
      <c r="AW204" s="144"/>
      <c r="AX204" s="144"/>
      <c r="AY204" s="144"/>
      <c r="AZ204" s="144"/>
      <c r="BA204" s="144"/>
      <c r="BB204" s="144"/>
      <c r="BC204" s="144"/>
      <c r="BD204" s="144"/>
      <c r="BE204" s="144"/>
      <c r="BF204" s="144"/>
      <c r="BG204" s="144"/>
      <c r="BH204" s="144"/>
      <c r="BI204" s="144"/>
      <c r="BJ204" s="144"/>
      <c r="BK204" s="144"/>
      <c r="BL204" s="144"/>
      <c r="BM204" s="144"/>
      <c r="BN204" s="144"/>
      <c r="BO204" s="144"/>
      <c r="BP204" s="144"/>
      <c r="BQ204" s="144"/>
      <c r="BR204" s="144"/>
      <c r="BS204" s="144"/>
      <c r="BT204" s="144"/>
      <c r="BU204" s="144"/>
      <c r="BV204" s="265">
        <f>245.3+4</f>
        <v>249.3</v>
      </c>
      <c r="BW204" s="1">
        <f t="shared" si="461"/>
        <v>4450</v>
      </c>
      <c r="BX204"/>
      <c r="BY204"/>
    </row>
    <row r="205" spans="1:77" x14ac:dyDescent="0.25">
      <c r="A205" s="524"/>
      <c r="C205" s="210">
        <v>4500</v>
      </c>
      <c r="D205" s="349">
        <f t="shared" si="480"/>
        <v>3703.0574000000001</v>
      </c>
      <c r="E205" s="349">
        <f t="shared" si="481"/>
        <v>0</v>
      </c>
      <c r="F205" s="147">
        <f t="shared" si="482"/>
        <v>0</v>
      </c>
      <c r="G205" s="147">
        <f t="shared" si="469"/>
        <v>12.32</v>
      </c>
      <c r="H205" s="147">
        <f t="shared" si="470"/>
        <v>12.32</v>
      </c>
      <c r="I205" s="147">
        <f t="shared" si="471"/>
        <v>24.004100000000001</v>
      </c>
      <c r="J205" s="156">
        <f t="shared" si="472"/>
        <v>24.004100000000001</v>
      </c>
      <c r="K205" s="349">
        <f t="shared" si="483"/>
        <v>262.89999999999998</v>
      </c>
      <c r="L205" s="355">
        <f t="shared" si="499"/>
        <v>5707</v>
      </c>
      <c r="M205" s="349">
        <f t="shared" si="484"/>
        <v>0</v>
      </c>
      <c r="N205" s="147">
        <f t="shared" si="485"/>
        <v>0</v>
      </c>
      <c r="O205" s="147">
        <f t="shared" si="486"/>
        <v>12</v>
      </c>
      <c r="P205" s="147">
        <f t="shared" si="487"/>
        <v>12</v>
      </c>
      <c r="Q205" s="147">
        <f t="shared" si="488"/>
        <v>67</v>
      </c>
      <c r="R205" s="147">
        <f t="shared" si="489"/>
        <v>67</v>
      </c>
      <c r="S205" s="349">
        <f t="shared" si="490"/>
        <v>1423</v>
      </c>
      <c r="T205" s="56"/>
      <c r="U205" s="151"/>
      <c r="V205" s="147"/>
      <c r="W205" s="147"/>
      <c r="X205" s="147"/>
      <c r="Y205" s="147"/>
      <c r="Z205" s="147"/>
      <c r="AA205" s="147"/>
      <c r="AB205" s="147"/>
      <c r="AC205" s="55"/>
      <c r="AD205" s="155">
        <f t="shared" si="491"/>
        <v>4500</v>
      </c>
      <c r="AE205" s="147">
        <v>3703.0574000000001</v>
      </c>
      <c r="AF205" s="147"/>
      <c r="AG205" s="147"/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  <c r="BI205" s="147">
        <v>12.32</v>
      </c>
      <c r="BJ205" s="147"/>
      <c r="BK205" s="147"/>
      <c r="BL205" s="147">
        <f t="shared" ref="BL205" si="535">BI205</f>
        <v>12.32</v>
      </c>
      <c r="BM205" s="147"/>
      <c r="BN205" s="147"/>
      <c r="BO205" s="147">
        <v>24.004100000000001</v>
      </c>
      <c r="BP205" s="147"/>
      <c r="BQ205" s="147">
        <f t="shared" ref="BQ205" si="536">BO205</f>
        <v>24.004100000000001</v>
      </c>
      <c r="BR205" s="147"/>
      <c r="BS205" s="147"/>
      <c r="BT205" s="147"/>
      <c r="BU205" s="147"/>
      <c r="BV205" s="266">
        <f>258.9+4</f>
        <v>262.89999999999998</v>
      </c>
      <c r="BW205" s="1">
        <f t="shared" si="461"/>
        <v>4500</v>
      </c>
    </row>
    <row r="206" spans="1:77" x14ac:dyDescent="0.25">
      <c r="A206" s="524"/>
      <c r="C206" s="121">
        <v>4550</v>
      </c>
      <c r="D206" s="347">
        <f t="shared" si="480"/>
        <v>5143.5415000000003</v>
      </c>
      <c r="E206" s="347">
        <f t="shared" si="481"/>
        <v>0</v>
      </c>
      <c r="F206" s="58">
        <f t="shared" si="482"/>
        <v>0</v>
      </c>
      <c r="G206" s="58">
        <f t="shared" si="469"/>
        <v>12.32</v>
      </c>
      <c r="H206" s="58">
        <f t="shared" si="470"/>
        <v>12.32</v>
      </c>
      <c r="I206" s="58">
        <f t="shared" si="471"/>
        <v>24.004100000000001</v>
      </c>
      <c r="J206" s="51">
        <f t="shared" si="472"/>
        <v>24.004100000000001</v>
      </c>
      <c r="K206" s="347">
        <f t="shared" si="483"/>
        <v>270.3</v>
      </c>
      <c r="L206" s="353">
        <f t="shared" si="499"/>
        <v>8192</v>
      </c>
      <c r="M206" s="347">
        <f t="shared" si="484"/>
        <v>0</v>
      </c>
      <c r="N206" s="58">
        <f t="shared" si="485"/>
        <v>0</v>
      </c>
      <c r="O206" s="58">
        <f t="shared" si="486"/>
        <v>23</v>
      </c>
      <c r="P206" s="58">
        <f t="shared" si="487"/>
        <v>23</v>
      </c>
      <c r="Q206" s="58">
        <f t="shared" si="488"/>
        <v>134</v>
      </c>
      <c r="R206" s="58">
        <f t="shared" si="489"/>
        <v>134</v>
      </c>
      <c r="S206" s="347">
        <f t="shared" si="490"/>
        <v>1482</v>
      </c>
      <c r="T206" s="56"/>
      <c r="U206" s="105"/>
      <c r="V206" s="58"/>
      <c r="W206" s="58"/>
      <c r="X206" s="58"/>
      <c r="Y206" s="58"/>
      <c r="Z206" s="58"/>
      <c r="AA206" s="58"/>
      <c r="AB206" s="58"/>
      <c r="AC206" s="55"/>
      <c r="AD206" s="57">
        <f t="shared" si="491"/>
        <v>4550</v>
      </c>
      <c r="AE206" s="58">
        <v>5143.5415000000003</v>
      </c>
      <c r="AF206" s="58"/>
      <c r="AG206" s="58"/>
      <c r="AH206" s="58"/>
      <c r="AI206" s="58"/>
      <c r="AJ206" s="58"/>
      <c r="AK206" s="58"/>
      <c r="AL206" s="58"/>
      <c r="AM206" s="58"/>
      <c r="AN206" s="58"/>
      <c r="AO206" s="58"/>
      <c r="AP206" s="58"/>
      <c r="AQ206" s="58"/>
      <c r="AR206" s="58"/>
      <c r="AS206" s="58"/>
      <c r="AT206" s="58"/>
      <c r="AU206" s="58"/>
      <c r="AV206" s="58"/>
      <c r="AW206" s="58"/>
      <c r="AX206" s="58"/>
      <c r="AY206" s="58"/>
      <c r="AZ206" s="58"/>
      <c r="BA206" s="58"/>
      <c r="BB206" s="58"/>
      <c r="BC206" s="58"/>
      <c r="BD206" s="58"/>
      <c r="BE206" s="58"/>
      <c r="BF206" s="58"/>
      <c r="BG206" s="58"/>
      <c r="BH206" s="58"/>
      <c r="BI206" s="58">
        <v>12.32</v>
      </c>
      <c r="BJ206" s="58"/>
      <c r="BK206" s="58"/>
      <c r="BL206" s="58">
        <f t="shared" ref="BL206:BL210" si="537">BI206</f>
        <v>12.32</v>
      </c>
      <c r="BM206" s="58"/>
      <c r="BN206" s="58"/>
      <c r="BO206" s="58">
        <v>24.004100000000001</v>
      </c>
      <c r="BP206" s="58"/>
      <c r="BQ206" s="58">
        <f t="shared" ref="BQ206:BQ210" si="538">BO206</f>
        <v>24.004100000000001</v>
      </c>
      <c r="BR206" s="58"/>
      <c r="BS206" s="58"/>
      <c r="BT206" s="58"/>
      <c r="BU206" s="58"/>
      <c r="BV206" s="263">
        <f>266.3+4</f>
        <v>270.3</v>
      </c>
      <c r="BW206" s="1">
        <f t="shared" si="461"/>
        <v>4550</v>
      </c>
    </row>
    <row r="207" spans="1:77" s="3" customFormat="1" ht="15.75" thickBot="1" x14ac:dyDescent="0.3">
      <c r="A207" s="524"/>
      <c r="C207" s="212">
        <v>4600</v>
      </c>
      <c r="D207" s="348">
        <f t="shared" si="480"/>
        <v>6205.2636000000002</v>
      </c>
      <c r="E207" s="348">
        <f t="shared" si="481"/>
        <v>0</v>
      </c>
      <c r="F207" s="144">
        <f t="shared" si="482"/>
        <v>0</v>
      </c>
      <c r="G207" s="144">
        <f t="shared" si="469"/>
        <v>12.32</v>
      </c>
      <c r="H207" s="144">
        <f t="shared" si="470"/>
        <v>12.32</v>
      </c>
      <c r="I207" s="144">
        <f t="shared" si="471"/>
        <v>24.004100000000001</v>
      </c>
      <c r="J207" s="159">
        <f t="shared" si="472"/>
        <v>24.004100000000001</v>
      </c>
      <c r="K207" s="348">
        <f t="shared" si="483"/>
        <v>265.2</v>
      </c>
      <c r="L207" s="354">
        <f t="shared" si="499"/>
        <v>10509</v>
      </c>
      <c r="M207" s="348">
        <f t="shared" si="484"/>
        <v>0</v>
      </c>
      <c r="N207" s="144">
        <f t="shared" si="485"/>
        <v>0</v>
      </c>
      <c r="O207" s="144">
        <f t="shared" si="486"/>
        <v>23</v>
      </c>
      <c r="P207" s="144">
        <f t="shared" si="487"/>
        <v>23</v>
      </c>
      <c r="Q207" s="144">
        <f t="shared" si="488"/>
        <v>134</v>
      </c>
      <c r="R207" s="144">
        <f t="shared" si="489"/>
        <v>134</v>
      </c>
      <c r="S207" s="348">
        <f t="shared" si="490"/>
        <v>1488</v>
      </c>
      <c r="T207" s="154"/>
      <c r="U207" s="255">
        <f>L205+L206+L207</f>
        <v>24408</v>
      </c>
      <c r="V207" s="255">
        <f t="shared" ref="V207" si="539">M205+M206+M207</f>
        <v>0</v>
      </c>
      <c r="W207" s="255">
        <f t="shared" ref="W207" si="540">N205+N206+N207</f>
        <v>0</v>
      </c>
      <c r="X207" s="255">
        <f t="shared" ref="X207" si="541">O205+O206+O207</f>
        <v>58</v>
      </c>
      <c r="Y207" s="255">
        <f t="shared" ref="Y207" si="542">P205+P206+P207</f>
        <v>58</v>
      </c>
      <c r="Z207" s="255">
        <f t="shared" ref="Z207" si="543">Q205+Q206+Q207</f>
        <v>335</v>
      </c>
      <c r="AA207" s="255">
        <f t="shared" ref="AA207" si="544">R205+R206+R207</f>
        <v>335</v>
      </c>
      <c r="AB207" s="255">
        <f t="shared" ref="AB207" si="545">S205+S206+S207</f>
        <v>4393</v>
      </c>
      <c r="AC207" s="153"/>
      <c r="AD207" s="158">
        <f t="shared" si="491"/>
        <v>4600</v>
      </c>
      <c r="AE207" s="144">
        <v>6205.2636000000002</v>
      </c>
      <c r="AF207" s="144"/>
      <c r="AG207" s="144"/>
      <c r="AH207" s="144"/>
      <c r="AI207" s="144"/>
      <c r="AJ207" s="144"/>
      <c r="AK207" s="144"/>
      <c r="AL207" s="144"/>
      <c r="AM207" s="144"/>
      <c r="AN207" s="144"/>
      <c r="AO207" s="144"/>
      <c r="AP207" s="144"/>
      <c r="AQ207" s="144"/>
      <c r="AR207" s="144"/>
      <c r="AS207" s="144"/>
      <c r="AT207" s="144"/>
      <c r="AU207" s="144"/>
      <c r="AV207" s="144"/>
      <c r="AW207" s="144"/>
      <c r="AX207" s="144"/>
      <c r="AY207" s="144"/>
      <c r="AZ207" s="144"/>
      <c r="BA207" s="144"/>
      <c r="BB207" s="144"/>
      <c r="BC207" s="144"/>
      <c r="BD207" s="144"/>
      <c r="BE207" s="144"/>
      <c r="BF207" s="144"/>
      <c r="BG207" s="144"/>
      <c r="BH207" s="144"/>
      <c r="BI207" s="144">
        <v>12.32</v>
      </c>
      <c r="BJ207" s="144"/>
      <c r="BK207" s="144"/>
      <c r="BL207" s="144">
        <f t="shared" si="537"/>
        <v>12.32</v>
      </c>
      <c r="BM207" s="144"/>
      <c r="BN207" s="144"/>
      <c r="BO207" s="144">
        <v>24.004100000000001</v>
      </c>
      <c r="BP207" s="144"/>
      <c r="BQ207" s="144">
        <f t="shared" si="538"/>
        <v>24.004100000000001</v>
      </c>
      <c r="BR207" s="144"/>
      <c r="BS207" s="144"/>
      <c r="BT207" s="144"/>
      <c r="BU207" s="144"/>
      <c r="BV207" s="265">
        <f>261.2+4</f>
        <v>265.2</v>
      </c>
      <c r="BW207" s="1">
        <f t="shared" si="461"/>
        <v>4600</v>
      </c>
      <c r="BX207"/>
      <c r="BY207"/>
    </row>
    <row r="208" spans="1:77" x14ac:dyDescent="0.25">
      <c r="A208" s="524"/>
      <c r="C208" s="210">
        <v>4650</v>
      </c>
      <c r="D208" s="349">
        <f t="shared" si="480"/>
        <v>7506.3094000000001</v>
      </c>
      <c r="E208" s="349">
        <f t="shared" si="481"/>
        <v>0</v>
      </c>
      <c r="F208" s="147">
        <f t="shared" si="482"/>
        <v>0</v>
      </c>
      <c r="G208" s="147">
        <f t="shared" si="469"/>
        <v>12.32</v>
      </c>
      <c r="H208" s="147">
        <f t="shared" si="470"/>
        <v>12.32</v>
      </c>
      <c r="I208" s="147">
        <f t="shared" si="471"/>
        <v>24.004100000000001</v>
      </c>
      <c r="J208" s="156">
        <f t="shared" si="472"/>
        <v>24.004100000000001</v>
      </c>
      <c r="K208" s="349">
        <f t="shared" si="483"/>
        <v>257.10000000000002</v>
      </c>
      <c r="L208" s="355">
        <f t="shared" si="499"/>
        <v>12696</v>
      </c>
      <c r="M208" s="349">
        <f t="shared" si="484"/>
        <v>0</v>
      </c>
      <c r="N208" s="147">
        <f t="shared" si="485"/>
        <v>0</v>
      </c>
      <c r="O208" s="147">
        <f t="shared" si="486"/>
        <v>23</v>
      </c>
      <c r="P208" s="147">
        <f t="shared" si="487"/>
        <v>23</v>
      </c>
      <c r="Q208" s="147">
        <f t="shared" si="488"/>
        <v>134</v>
      </c>
      <c r="R208" s="147">
        <f t="shared" si="489"/>
        <v>134</v>
      </c>
      <c r="S208" s="349">
        <f t="shared" si="490"/>
        <v>1451</v>
      </c>
      <c r="T208" s="56"/>
      <c r="U208" s="151"/>
      <c r="V208" s="147"/>
      <c r="W208" s="147"/>
      <c r="X208" s="147"/>
      <c r="Y208" s="147"/>
      <c r="Z208" s="147"/>
      <c r="AA208" s="147"/>
      <c r="AB208" s="147"/>
      <c r="AC208" s="55"/>
      <c r="AD208" s="155">
        <f t="shared" si="491"/>
        <v>4650</v>
      </c>
      <c r="AE208" s="147">
        <v>7506.3094000000001</v>
      </c>
      <c r="AF208" s="147"/>
      <c r="AG208" s="147"/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  <c r="BI208" s="147">
        <v>12.32</v>
      </c>
      <c r="BJ208" s="147"/>
      <c r="BK208" s="147"/>
      <c r="BL208" s="147">
        <f t="shared" si="537"/>
        <v>12.32</v>
      </c>
      <c r="BM208" s="147"/>
      <c r="BN208" s="147"/>
      <c r="BO208" s="147">
        <v>24.004100000000001</v>
      </c>
      <c r="BP208" s="147"/>
      <c r="BQ208" s="147">
        <f t="shared" si="538"/>
        <v>24.004100000000001</v>
      </c>
      <c r="BR208" s="147"/>
      <c r="BS208" s="147"/>
      <c r="BT208" s="147"/>
      <c r="BU208" s="147"/>
      <c r="BV208" s="266">
        <f>253.1+4</f>
        <v>257.10000000000002</v>
      </c>
      <c r="BW208" s="1">
        <f t="shared" si="461"/>
        <v>4650</v>
      </c>
    </row>
    <row r="209" spans="1:77" x14ac:dyDescent="0.25">
      <c r="A209" s="524"/>
      <c r="C209" s="121">
        <v>4700</v>
      </c>
      <c r="D209" s="347">
        <f t="shared" si="480"/>
        <v>7851.8757999999998</v>
      </c>
      <c r="E209" s="347">
        <f t="shared" si="481"/>
        <v>0</v>
      </c>
      <c r="F209" s="58">
        <f t="shared" si="482"/>
        <v>0</v>
      </c>
      <c r="G209" s="58">
        <f t="shared" si="469"/>
        <v>12.32</v>
      </c>
      <c r="H209" s="58">
        <f t="shared" si="470"/>
        <v>12.32</v>
      </c>
      <c r="I209" s="58">
        <f t="shared" si="471"/>
        <v>24.004100000000001</v>
      </c>
      <c r="J209" s="51">
        <f t="shared" si="472"/>
        <v>24.004100000000001</v>
      </c>
      <c r="K209" s="347">
        <f t="shared" si="483"/>
        <v>243.7</v>
      </c>
      <c r="L209" s="353">
        <f t="shared" si="499"/>
        <v>14221</v>
      </c>
      <c r="M209" s="347">
        <f t="shared" si="484"/>
        <v>0</v>
      </c>
      <c r="N209" s="58">
        <f t="shared" si="485"/>
        <v>0</v>
      </c>
      <c r="O209" s="58">
        <f t="shared" si="486"/>
        <v>23</v>
      </c>
      <c r="P209" s="58">
        <f t="shared" si="487"/>
        <v>23</v>
      </c>
      <c r="Q209" s="58">
        <f t="shared" si="488"/>
        <v>134</v>
      </c>
      <c r="R209" s="58">
        <f t="shared" si="489"/>
        <v>134</v>
      </c>
      <c r="S209" s="347">
        <f t="shared" si="490"/>
        <v>1392</v>
      </c>
      <c r="T209" s="56"/>
      <c r="U209" s="105"/>
      <c r="V209" s="58"/>
      <c r="W209" s="58"/>
      <c r="X209" s="58"/>
      <c r="Y209" s="58"/>
      <c r="Z209" s="58"/>
      <c r="AA209" s="58"/>
      <c r="AB209" s="58"/>
      <c r="AC209" s="55"/>
      <c r="AD209" s="57">
        <f t="shared" si="491"/>
        <v>4700</v>
      </c>
      <c r="AE209" s="58">
        <v>7851.8757999999998</v>
      </c>
      <c r="AF209" s="58"/>
      <c r="AG209" s="58"/>
      <c r="AH209" s="58"/>
      <c r="AI209" s="58"/>
      <c r="AJ209" s="58"/>
      <c r="AK209" s="58"/>
      <c r="AL209" s="58"/>
      <c r="AM209" s="58"/>
      <c r="AN209" s="58"/>
      <c r="AO209" s="58"/>
      <c r="AP209" s="58"/>
      <c r="AQ209" s="58"/>
      <c r="AR209" s="58"/>
      <c r="AS209" s="58"/>
      <c r="AT209" s="58"/>
      <c r="AU209" s="58"/>
      <c r="AV209" s="58"/>
      <c r="AW209" s="58"/>
      <c r="AX209" s="58"/>
      <c r="AY209" s="58"/>
      <c r="AZ209" s="58"/>
      <c r="BA209" s="58"/>
      <c r="BB209" s="58"/>
      <c r="BC209" s="58"/>
      <c r="BD209" s="58"/>
      <c r="BE209" s="58"/>
      <c r="BF209" s="58"/>
      <c r="BG209" s="58"/>
      <c r="BH209" s="58"/>
      <c r="BI209" s="58">
        <v>12.32</v>
      </c>
      <c r="BJ209" s="58"/>
      <c r="BK209" s="58"/>
      <c r="BL209" s="58">
        <f t="shared" si="537"/>
        <v>12.32</v>
      </c>
      <c r="BM209" s="58"/>
      <c r="BN209" s="58"/>
      <c r="BO209" s="58">
        <v>24.004100000000001</v>
      </c>
      <c r="BP209" s="58"/>
      <c r="BQ209" s="58">
        <f t="shared" si="538"/>
        <v>24.004100000000001</v>
      </c>
      <c r="BR209" s="58"/>
      <c r="BS209" s="58"/>
      <c r="BT209" s="58"/>
      <c r="BU209" s="58"/>
      <c r="BV209" s="263">
        <f>239.7+4</f>
        <v>243.7</v>
      </c>
      <c r="BW209" s="1">
        <f t="shared" si="461"/>
        <v>4700</v>
      </c>
    </row>
    <row r="210" spans="1:77" s="3" customFormat="1" ht="15.75" thickBot="1" x14ac:dyDescent="0.3">
      <c r="A210" s="524"/>
      <c r="C210" s="212">
        <v>4750</v>
      </c>
      <c r="D210" s="348">
        <f t="shared" si="480"/>
        <v>6342.2541000000001</v>
      </c>
      <c r="E210" s="348">
        <f t="shared" si="481"/>
        <v>0</v>
      </c>
      <c r="F210" s="144">
        <f t="shared" si="482"/>
        <v>0</v>
      </c>
      <c r="G210" s="144">
        <f t="shared" si="469"/>
        <v>12.32</v>
      </c>
      <c r="H210" s="144">
        <f t="shared" si="470"/>
        <v>12.32</v>
      </c>
      <c r="I210" s="144">
        <f t="shared" si="471"/>
        <v>24.004100000000001</v>
      </c>
      <c r="J210" s="159">
        <f t="shared" si="472"/>
        <v>24.004100000000001</v>
      </c>
      <c r="K210" s="348">
        <f t="shared" si="483"/>
        <v>232.2</v>
      </c>
      <c r="L210" s="354">
        <f t="shared" si="499"/>
        <v>13143</v>
      </c>
      <c r="M210" s="348">
        <f t="shared" si="484"/>
        <v>0</v>
      </c>
      <c r="N210" s="144">
        <f t="shared" si="485"/>
        <v>0</v>
      </c>
      <c r="O210" s="144">
        <f t="shared" si="486"/>
        <v>23</v>
      </c>
      <c r="P210" s="144">
        <f t="shared" si="487"/>
        <v>23</v>
      </c>
      <c r="Q210" s="144">
        <f t="shared" si="488"/>
        <v>134</v>
      </c>
      <c r="R210" s="144">
        <f t="shared" si="489"/>
        <v>134</v>
      </c>
      <c r="S210" s="348">
        <f t="shared" si="490"/>
        <v>1322</v>
      </c>
      <c r="T210" s="154"/>
      <c r="U210" s="255">
        <f>L208+L209+L210</f>
        <v>40060</v>
      </c>
      <c r="V210" s="255">
        <f t="shared" ref="V210" si="546">M208+M209+M210</f>
        <v>0</v>
      </c>
      <c r="W210" s="255">
        <f t="shared" ref="W210" si="547">N208+N209+N210</f>
        <v>0</v>
      </c>
      <c r="X210" s="255">
        <f t="shared" ref="X210" si="548">O208+O209+O210</f>
        <v>69</v>
      </c>
      <c r="Y210" s="255">
        <f t="shared" ref="Y210" si="549">P208+P209+P210</f>
        <v>69</v>
      </c>
      <c r="Z210" s="255">
        <f t="shared" ref="Z210" si="550">Q208+Q209+Q210</f>
        <v>402</v>
      </c>
      <c r="AA210" s="255">
        <f t="shared" ref="AA210" si="551">R208+R209+R210</f>
        <v>402</v>
      </c>
      <c r="AB210" s="255">
        <f t="shared" ref="AB210" si="552">S208+S209+S210</f>
        <v>4165</v>
      </c>
      <c r="AC210" s="153"/>
      <c r="AD210" s="158">
        <f t="shared" si="491"/>
        <v>4750</v>
      </c>
      <c r="AE210" s="144">
        <v>6342.2541000000001</v>
      </c>
      <c r="AF210" s="144"/>
      <c r="AG210" s="144"/>
      <c r="AH210" s="144"/>
      <c r="AI210" s="144"/>
      <c r="AJ210" s="144"/>
      <c r="AK210" s="144"/>
      <c r="AL210" s="144"/>
      <c r="AM210" s="144"/>
      <c r="AN210" s="144"/>
      <c r="AO210" s="144"/>
      <c r="AP210" s="144"/>
      <c r="AQ210" s="144"/>
      <c r="AR210" s="144"/>
      <c r="AS210" s="144"/>
      <c r="AT210" s="144"/>
      <c r="AU210" s="144"/>
      <c r="AV210" s="144"/>
      <c r="AW210" s="144"/>
      <c r="AX210" s="144"/>
      <c r="AY210" s="144"/>
      <c r="AZ210" s="144"/>
      <c r="BA210" s="144"/>
      <c r="BB210" s="144"/>
      <c r="BC210" s="144"/>
      <c r="BD210" s="144"/>
      <c r="BE210" s="144"/>
      <c r="BF210" s="144"/>
      <c r="BG210" s="144"/>
      <c r="BH210" s="144"/>
      <c r="BI210" s="144">
        <v>12.32</v>
      </c>
      <c r="BJ210" s="144"/>
      <c r="BK210" s="144"/>
      <c r="BL210" s="144">
        <f t="shared" si="537"/>
        <v>12.32</v>
      </c>
      <c r="BM210" s="144"/>
      <c r="BN210" s="144"/>
      <c r="BO210" s="144">
        <v>24.004100000000001</v>
      </c>
      <c r="BP210" s="144"/>
      <c r="BQ210" s="144">
        <f t="shared" si="538"/>
        <v>24.004100000000001</v>
      </c>
      <c r="BR210" s="144"/>
      <c r="BS210" s="144"/>
      <c r="BT210" s="144"/>
      <c r="BU210" s="144"/>
      <c r="BV210" s="265">
        <f>228.2+4</f>
        <v>232.2</v>
      </c>
      <c r="BW210" s="1">
        <f t="shared" si="461"/>
        <v>4750</v>
      </c>
      <c r="BX210"/>
      <c r="BY210"/>
    </row>
    <row r="211" spans="1:77" x14ac:dyDescent="0.25">
      <c r="A211" s="524"/>
      <c r="C211" s="210">
        <v>4800</v>
      </c>
      <c r="D211" s="349">
        <f t="shared" si="480"/>
        <v>4230.2479000000003</v>
      </c>
      <c r="E211" s="349">
        <f t="shared" si="481"/>
        <v>0</v>
      </c>
      <c r="F211" s="147">
        <f t="shared" si="482"/>
        <v>0</v>
      </c>
      <c r="G211" s="147">
        <f t="shared" si="469"/>
        <v>12.32</v>
      </c>
      <c r="H211" s="147">
        <f t="shared" si="470"/>
        <v>12.32</v>
      </c>
      <c r="I211" s="147">
        <f t="shared" si="471"/>
        <v>24.004100000000001</v>
      </c>
      <c r="J211" s="156">
        <f t="shared" si="472"/>
        <v>24.004100000000001</v>
      </c>
      <c r="K211" s="349">
        <f t="shared" si="483"/>
        <v>213.9</v>
      </c>
      <c r="L211" s="355">
        <f t="shared" si="499"/>
        <v>9790</v>
      </c>
      <c r="M211" s="349">
        <f t="shared" si="484"/>
        <v>0</v>
      </c>
      <c r="N211" s="147">
        <f t="shared" si="485"/>
        <v>0</v>
      </c>
      <c r="O211" s="147">
        <f t="shared" si="486"/>
        <v>23</v>
      </c>
      <c r="P211" s="147">
        <f t="shared" si="487"/>
        <v>23</v>
      </c>
      <c r="Q211" s="147">
        <f t="shared" si="488"/>
        <v>134</v>
      </c>
      <c r="R211" s="147">
        <f t="shared" si="489"/>
        <v>134</v>
      </c>
      <c r="S211" s="349">
        <f t="shared" si="490"/>
        <v>1240</v>
      </c>
      <c r="T211" s="56"/>
      <c r="U211" s="151"/>
      <c r="V211" s="147"/>
      <c r="W211" s="147"/>
      <c r="X211" s="147"/>
      <c r="Y211" s="147"/>
      <c r="Z211" s="147"/>
      <c r="AA211" s="147"/>
      <c r="AB211" s="147"/>
      <c r="AC211" s="55"/>
      <c r="AD211" s="155">
        <f t="shared" si="491"/>
        <v>4800</v>
      </c>
      <c r="AE211" s="147">
        <v>4230.2479000000003</v>
      </c>
      <c r="AF211" s="147"/>
      <c r="AG211" s="147"/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  <c r="BI211" s="147">
        <v>12.32</v>
      </c>
      <c r="BJ211" s="147"/>
      <c r="BK211" s="147"/>
      <c r="BL211" s="147">
        <f t="shared" ref="BL211" si="553">BI211</f>
        <v>12.32</v>
      </c>
      <c r="BM211" s="147"/>
      <c r="BN211" s="147"/>
      <c r="BO211" s="147">
        <v>24.004100000000001</v>
      </c>
      <c r="BP211" s="147"/>
      <c r="BQ211" s="147">
        <f t="shared" ref="BQ211" si="554">BO211</f>
        <v>24.004100000000001</v>
      </c>
      <c r="BR211" s="147"/>
      <c r="BS211" s="147"/>
      <c r="BT211" s="147"/>
      <c r="BU211" s="147"/>
      <c r="BV211" s="266">
        <f>209.9+4</f>
        <v>213.9</v>
      </c>
      <c r="BW211" s="1">
        <f t="shared" si="461"/>
        <v>4800</v>
      </c>
    </row>
    <row r="212" spans="1:77" x14ac:dyDescent="0.25">
      <c r="A212" s="524"/>
      <c r="C212" s="121">
        <v>4850</v>
      </c>
      <c r="D212" s="347">
        <f t="shared" si="480"/>
        <v>1586.893</v>
      </c>
      <c r="E212" s="347">
        <f t="shared" si="481"/>
        <v>0</v>
      </c>
      <c r="F212" s="58">
        <f t="shared" si="482"/>
        <v>0</v>
      </c>
      <c r="G212" s="58">
        <f t="shared" si="469"/>
        <v>0</v>
      </c>
      <c r="H212" s="58">
        <f t="shared" si="470"/>
        <v>0</v>
      </c>
      <c r="I212" s="58">
        <f t="shared" si="471"/>
        <v>0</v>
      </c>
      <c r="J212" s="51">
        <f t="shared" si="472"/>
        <v>0</v>
      </c>
      <c r="K212" s="347">
        <f t="shared" si="483"/>
        <v>181.9</v>
      </c>
      <c r="L212" s="353">
        <f t="shared" si="499"/>
        <v>5387</v>
      </c>
      <c r="M212" s="347">
        <f t="shared" si="484"/>
        <v>0</v>
      </c>
      <c r="N212" s="58">
        <f t="shared" si="485"/>
        <v>0</v>
      </c>
      <c r="O212" s="58">
        <f t="shared" si="486"/>
        <v>12</v>
      </c>
      <c r="P212" s="58">
        <f t="shared" si="487"/>
        <v>12</v>
      </c>
      <c r="Q212" s="58">
        <f t="shared" si="488"/>
        <v>67</v>
      </c>
      <c r="R212" s="58">
        <f t="shared" si="489"/>
        <v>67</v>
      </c>
      <c r="S212" s="347">
        <f t="shared" si="490"/>
        <v>1100</v>
      </c>
      <c r="T212" s="56"/>
      <c r="U212" s="105"/>
      <c r="V212" s="58"/>
      <c r="W212" s="58"/>
      <c r="X212" s="58"/>
      <c r="Y212" s="58"/>
      <c r="Z212" s="58"/>
      <c r="AA212" s="58"/>
      <c r="AB212" s="58"/>
      <c r="AC212" s="55"/>
      <c r="AD212" s="57">
        <f t="shared" si="491"/>
        <v>4850</v>
      </c>
      <c r="AE212" s="58">
        <v>1586.893</v>
      </c>
      <c r="AF212" s="58"/>
      <c r="AG212" s="58"/>
      <c r="AH212" s="58"/>
      <c r="AI212" s="58"/>
      <c r="AJ212" s="58"/>
      <c r="AK212" s="58"/>
      <c r="AL212" s="58"/>
      <c r="AM212" s="58"/>
      <c r="AN212" s="58"/>
      <c r="AO212" s="58"/>
      <c r="AP212" s="58"/>
      <c r="AQ212" s="58"/>
      <c r="AR212" s="58"/>
      <c r="AS212" s="58"/>
      <c r="AT212" s="58"/>
      <c r="AU212" s="58"/>
      <c r="AV212" s="58"/>
      <c r="AW212" s="58"/>
      <c r="AX212" s="58"/>
      <c r="AY212" s="58"/>
      <c r="AZ212" s="58"/>
      <c r="BA212" s="58"/>
      <c r="BB212" s="58"/>
      <c r="BC212" s="58"/>
      <c r="BD212" s="58"/>
      <c r="BE212" s="58"/>
      <c r="BF212" s="58"/>
      <c r="BG212" s="58"/>
      <c r="BH212" s="58"/>
      <c r="BI212" s="58"/>
      <c r="BJ212" s="58"/>
      <c r="BK212" s="58"/>
      <c r="BL212" s="58"/>
      <c r="BM212" s="58"/>
      <c r="BN212" s="58"/>
      <c r="BO212" s="58"/>
      <c r="BP212" s="58"/>
      <c r="BQ212" s="58"/>
      <c r="BR212" s="58"/>
      <c r="BS212" s="58"/>
      <c r="BT212" s="58"/>
      <c r="BU212" s="58"/>
      <c r="BV212" s="263">
        <f>177.9+4</f>
        <v>181.9</v>
      </c>
      <c r="BW212" s="1">
        <f t="shared" si="461"/>
        <v>4850</v>
      </c>
    </row>
    <row r="213" spans="1:77" s="3" customFormat="1" ht="15.75" thickBot="1" x14ac:dyDescent="0.3">
      <c r="A213" s="524"/>
      <c r="C213" s="212">
        <v>4900</v>
      </c>
      <c r="D213" s="348">
        <f t="shared" si="480"/>
        <v>156.17670000000001</v>
      </c>
      <c r="E213" s="348">
        <f t="shared" si="481"/>
        <v>670.1268</v>
      </c>
      <c r="F213" s="144">
        <f t="shared" si="482"/>
        <v>0</v>
      </c>
      <c r="G213" s="144">
        <f t="shared" si="469"/>
        <v>0</v>
      </c>
      <c r="H213" s="144">
        <f t="shared" si="470"/>
        <v>0</v>
      </c>
      <c r="I213" s="144">
        <f t="shared" si="471"/>
        <v>0</v>
      </c>
      <c r="J213" s="159">
        <f t="shared" si="472"/>
        <v>0</v>
      </c>
      <c r="K213" s="348">
        <f t="shared" si="483"/>
        <v>123.5</v>
      </c>
      <c r="L213" s="354">
        <f t="shared" si="499"/>
        <v>1614</v>
      </c>
      <c r="M213" s="348">
        <f t="shared" si="484"/>
        <v>621</v>
      </c>
      <c r="N213" s="144">
        <f t="shared" si="485"/>
        <v>0</v>
      </c>
      <c r="O213" s="144">
        <f t="shared" si="486"/>
        <v>0</v>
      </c>
      <c r="P213" s="144">
        <f t="shared" si="487"/>
        <v>0</v>
      </c>
      <c r="Q213" s="144">
        <f t="shared" si="488"/>
        <v>0</v>
      </c>
      <c r="R213" s="144">
        <f t="shared" si="489"/>
        <v>0</v>
      </c>
      <c r="S213" s="348">
        <f t="shared" si="490"/>
        <v>849</v>
      </c>
      <c r="T213" s="154"/>
      <c r="U213" s="255">
        <f>L211+L212+L213</f>
        <v>16791</v>
      </c>
      <c r="V213" s="255">
        <f t="shared" ref="V213" si="555">M211+M212+M213</f>
        <v>621</v>
      </c>
      <c r="W213" s="255">
        <f t="shared" ref="W213" si="556">N211+N212+N213</f>
        <v>0</v>
      </c>
      <c r="X213" s="255">
        <f t="shared" ref="X213" si="557">O211+O212+O213</f>
        <v>35</v>
      </c>
      <c r="Y213" s="255">
        <f t="shared" ref="Y213" si="558">P211+P212+P213</f>
        <v>35</v>
      </c>
      <c r="Z213" s="255">
        <f t="shared" ref="Z213" si="559">Q211+Q212+Q213</f>
        <v>201</v>
      </c>
      <c r="AA213" s="255">
        <f t="shared" ref="AA213" si="560">R211+R212+R213</f>
        <v>201</v>
      </c>
      <c r="AB213" s="255">
        <f t="shared" ref="AB213" si="561">S211+S212+S213</f>
        <v>3189</v>
      </c>
      <c r="AC213" s="153"/>
      <c r="AD213" s="158">
        <f t="shared" si="491"/>
        <v>4900</v>
      </c>
      <c r="AE213" s="144">
        <v>156.17670000000001</v>
      </c>
      <c r="AF213" s="144"/>
      <c r="AG213" s="144"/>
      <c r="AH213" s="144"/>
      <c r="AI213" s="144"/>
      <c r="AJ213" s="144"/>
      <c r="AK213" s="144"/>
      <c r="AL213" s="144"/>
      <c r="AM213" s="144"/>
      <c r="AN213" s="144"/>
      <c r="AO213" s="144"/>
      <c r="AP213" s="144"/>
      <c r="AQ213" s="144"/>
      <c r="AR213" s="144"/>
      <c r="AS213" s="144"/>
      <c r="AT213" s="144"/>
      <c r="AU213" s="144"/>
      <c r="AV213" s="144">
        <v>670.1268</v>
      </c>
      <c r="AW213" s="144"/>
      <c r="AX213" s="144"/>
      <c r="AY213" s="144"/>
      <c r="AZ213" s="144"/>
      <c r="BA213" s="144"/>
      <c r="BB213" s="144"/>
      <c r="BC213" s="144"/>
      <c r="BD213" s="144"/>
      <c r="BE213" s="144"/>
      <c r="BF213" s="144"/>
      <c r="BG213" s="144"/>
      <c r="BH213" s="144"/>
      <c r="BI213" s="144"/>
      <c r="BJ213" s="144"/>
      <c r="BK213" s="144"/>
      <c r="BL213" s="144"/>
      <c r="BM213" s="144"/>
      <c r="BN213" s="144"/>
      <c r="BO213" s="144"/>
      <c r="BP213" s="144"/>
      <c r="BQ213" s="144"/>
      <c r="BR213" s="144"/>
      <c r="BS213" s="144"/>
      <c r="BT213" s="144"/>
      <c r="BU213" s="144"/>
      <c r="BV213" s="265">
        <f>119.5+4</f>
        <v>123.5</v>
      </c>
      <c r="BW213" s="1">
        <f t="shared" si="461"/>
        <v>4900</v>
      </c>
      <c r="BX213"/>
      <c r="BY213"/>
    </row>
    <row r="214" spans="1:77" x14ac:dyDescent="0.25">
      <c r="A214" s="524"/>
      <c r="C214" s="210">
        <v>4950</v>
      </c>
      <c r="D214" s="349">
        <f t="shared" si="480"/>
        <v>76.000699999999995</v>
      </c>
      <c r="E214" s="349">
        <f t="shared" si="481"/>
        <v>1336.6216999999999</v>
      </c>
      <c r="F214" s="147">
        <f t="shared" si="482"/>
        <v>0</v>
      </c>
      <c r="G214" s="147">
        <f t="shared" si="469"/>
        <v>0</v>
      </c>
      <c r="H214" s="147">
        <f t="shared" si="470"/>
        <v>0</v>
      </c>
      <c r="I214" s="147">
        <f t="shared" si="471"/>
        <v>0</v>
      </c>
      <c r="J214" s="156">
        <f t="shared" si="472"/>
        <v>0</v>
      </c>
      <c r="K214" s="349">
        <f t="shared" si="483"/>
        <v>136.30000000000001</v>
      </c>
      <c r="L214" s="355">
        <f t="shared" si="499"/>
        <v>215</v>
      </c>
      <c r="M214" s="349">
        <f t="shared" si="484"/>
        <v>1859</v>
      </c>
      <c r="N214" s="147">
        <f t="shared" si="485"/>
        <v>0</v>
      </c>
      <c r="O214" s="147">
        <f t="shared" si="486"/>
        <v>0</v>
      </c>
      <c r="P214" s="147">
        <f t="shared" si="487"/>
        <v>0</v>
      </c>
      <c r="Q214" s="147">
        <f t="shared" si="488"/>
        <v>0</v>
      </c>
      <c r="R214" s="147">
        <f t="shared" si="489"/>
        <v>0</v>
      </c>
      <c r="S214" s="349">
        <f t="shared" si="490"/>
        <v>722</v>
      </c>
      <c r="T214" s="56"/>
      <c r="U214" s="151"/>
      <c r="V214" s="147"/>
      <c r="W214" s="147"/>
      <c r="X214" s="147"/>
      <c r="Y214" s="147"/>
      <c r="Z214" s="147"/>
      <c r="AA214" s="147"/>
      <c r="AB214" s="147"/>
      <c r="AC214" s="55"/>
      <c r="AD214" s="155">
        <f t="shared" si="491"/>
        <v>4950</v>
      </c>
      <c r="AE214" s="147">
        <v>76.000699999999995</v>
      </c>
      <c r="AF214" s="147"/>
      <c r="AG214" s="147"/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>
        <v>1319.8969999999999</v>
      </c>
      <c r="AW214" s="147">
        <v>16.724699999999999</v>
      </c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  <c r="BI214" s="147"/>
      <c r="BJ214" s="147"/>
      <c r="BK214" s="147"/>
      <c r="BL214" s="147"/>
      <c r="BM214" s="147"/>
      <c r="BN214" s="147"/>
      <c r="BO214" s="147"/>
      <c r="BP214" s="147"/>
      <c r="BQ214" s="147"/>
      <c r="BR214" s="147"/>
      <c r="BS214" s="147"/>
      <c r="BT214" s="147"/>
      <c r="BU214" s="147"/>
      <c r="BV214" s="266">
        <f>132.3+4</f>
        <v>136.30000000000001</v>
      </c>
      <c r="BW214" s="1">
        <f t="shared" si="461"/>
        <v>4950</v>
      </c>
    </row>
    <row r="215" spans="1:77" x14ac:dyDescent="0.25">
      <c r="A215" s="524"/>
      <c r="C215" s="121">
        <v>5000</v>
      </c>
      <c r="D215" s="347">
        <f t="shared" si="480"/>
        <v>33.6539</v>
      </c>
      <c r="E215" s="347">
        <f t="shared" si="481"/>
        <v>1761.6946</v>
      </c>
      <c r="F215" s="58">
        <f t="shared" si="482"/>
        <v>0</v>
      </c>
      <c r="G215" s="58">
        <f t="shared" si="469"/>
        <v>0</v>
      </c>
      <c r="H215" s="58">
        <f t="shared" si="470"/>
        <v>0</v>
      </c>
      <c r="I215" s="58">
        <f t="shared" si="471"/>
        <v>0</v>
      </c>
      <c r="J215" s="51">
        <f t="shared" si="472"/>
        <v>0</v>
      </c>
      <c r="K215" s="347">
        <f t="shared" si="483"/>
        <v>132.19999999999999</v>
      </c>
      <c r="L215" s="353">
        <f t="shared" si="499"/>
        <v>102</v>
      </c>
      <c r="M215" s="347">
        <f t="shared" si="484"/>
        <v>2869</v>
      </c>
      <c r="N215" s="58">
        <f t="shared" si="485"/>
        <v>0</v>
      </c>
      <c r="O215" s="58">
        <f t="shared" si="486"/>
        <v>0</v>
      </c>
      <c r="P215" s="58">
        <f t="shared" si="487"/>
        <v>0</v>
      </c>
      <c r="Q215" s="58">
        <f t="shared" si="488"/>
        <v>0</v>
      </c>
      <c r="R215" s="58">
        <f t="shared" si="489"/>
        <v>0</v>
      </c>
      <c r="S215" s="347">
        <f t="shared" si="490"/>
        <v>746</v>
      </c>
      <c r="T215" s="56"/>
      <c r="U215" s="105"/>
      <c r="V215" s="58"/>
      <c r="W215" s="58"/>
      <c r="X215" s="58"/>
      <c r="Y215" s="58"/>
      <c r="Z215" s="58"/>
      <c r="AA215" s="58"/>
      <c r="AB215" s="58"/>
      <c r="AC215" s="55"/>
      <c r="AD215" s="57">
        <f t="shared" si="491"/>
        <v>5000</v>
      </c>
      <c r="AE215" s="58">
        <v>33.6539</v>
      </c>
      <c r="AF215" s="58"/>
      <c r="AG215" s="58"/>
      <c r="AH215" s="58"/>
      <c r="AI215" s="58"/>
      <c r="AJ215" s="58"/>
      <c r="AK215" s="58"/>
      <c r="AL215" s="58"/>
      <c r="AM215" s="58"/>
      <c r="AN215" s="58"/>
      <c r="AO215" s="58"/>
      <c r="AP215" s="58"/>
      <c r="AQ215" s="58"/>
      <c r="AR215" s="58"/>
      <c r="AS215" s="58"/>
      <c r="AT215" s="58"/>
      <c r="AU215" s="58"/>
      <c r="AV215" s="58">
        <v>1745.4174</v>
      </c>
      <c r="AW215" s="58">
        <v>16.277200000000001</v>
      </c>
      <c r="AX215" s="58"/>
      <c r="AY215" s="58"/>
      <c r="AZ215" s="58"/>
      <c r="BA215" s="58"/>
      <c r="BB215" s="58"/>
      <c r="BC215" s="58"/>
      <c r="BD215" s="58"/>
      <c r="BE215" s="58"/>
      <c r="BF215" s="58"/>
      <c r="BG215" s="58"/>
      <c r="BH215" s="58"/>
      <c r="BI215" s="58"/>
      <c r="BJ215" s="58"/>
      <c r="BK215" s="58"/>
      <c r="BL215" s="58"/>
      <c r="BM215" s="58"/>
      <c r="BN215" s="58"/>
      <c r="BO215" s="58"/>
      <c r="BP215" s="58"/>
      <c r="BQ215" s="58"/>
      <c r="BR215" s="58"/>
      <c r="BS215" s="58"/>
      <c r="BT215" s="58"/>
      <c r="BU215" s="58"/>
      <c r="BV215" s="263">
        <f>128.2+4</f>
        <v>132.19999999999999</v>
      </c>
      <c r="BW215" s="1">
        <f t="shared" si="461"/>
        <v>5000</v>
      </c>
    </row>
    <row r="216" spans="1:77" x14ac:dyDescent="0.25">
      <c r="A216" s="524"/>
      <c r="C216" s="121">
        <v>5050</v>
      </c>
      <c r="D216" s="347">
        <f t="shared" si="480"/>
        <v>0</v>
      </c>
      <c r="E216" s="347">
        <f t="shared" si="481"/>
        <v>2053.3960999999999</v>
      </c>
      <c r="F216" s="58">
        <f t="shared" si="482"/>
        <v>0</v>
      </c>
      <c r="G216" s="58">
        <f t="shared" si="469"/>
        <v>0</v>
      </c>
      <c r="H216" s="58">
        <f t="shared" si="470"/>
        <v>0</v>
      </c>
      <c r="I216" s="58">
        <f t="shared" si="471"/>
        <v>0</v>
      </c>
      <c r="J216" s="51">
        <f t="shared" si="472"/>
        <v>0</v>
      </c>
      <c r="K216" s="347">
        <f t="shared" si="483"/>
        <v>116.3</v>
      </c>
      <c r="L216" s="353">
        <f t="shared" si="499"/>
        <v>32</v>
      </c>
      <c r="M216" s="347">
        <f t="shared" si="484"/>
        <v>3533</v>
      </c>
      <c r="N216" s="58">
        <f t="shared" si="485"/>
        <v>0</v>
      </c>
      <c r="O216" s="58">
        <f t="shared" si="486"/>
        <v>0</v>
      </c>
      <c r="P216" s="58">
        <f t="shared" si="487"/>
        <v>0</v>
      </c>
      <c r="Q216" s="58">
        <f t="shared" si="488"/>
        <v>0</v>
      </c>
      <c r="R216" s="58">
        <f t="shared" si="489"/>
        <v>0</v>
      </c>
      <c r="S216" s="347">
        <f t="shared" si="490"/>
        <v>691</v>
      </c>
      <c r="T216" s="56"/>
      <c r="U216" s="105"/>
      <c r="V216" s="58"/>
      <c r="W216" s="58"/>
      <c r="X216" s="58"/>
      <c r="Y216" s="58"/>
      <c r="Z216" s="58"/>
      <c r="AA216" s="58"/>
      <c r="AB216" s="58"/>
      <c r="AC216" s="55"/>
      <c r="AD216" s="57">
        <f t="shared" si="491"/>
        <v>5050</v>
      </c>
      <c r="AE216" s="58"/>
      <c r="AF216" s="58"/>
      <c r="AG216" s="58"/>
      <c r="AH216" s="58"/>
      <c r="AI216" s="58"/>
      <c r="AJ216" s="58"/>
      <c r="AK216" s="58"/>
      <c r="AL216" s="58"/>
      <c r="AM216" s="58"/>
      <c r="AN216" s="58"/>
      <c r="AO216" s="58"/>
      <c r="AP216" s="58"/>
      <c r="AQ216" s="58"/>
      <c r="AR216" s="58"/>
      <c r="AS216" s="58"/>
      <c r="AT216" s="58"/>
      <c r="AU216" s="58"/>
      <c r="AV216" s="58">
        <v>2037.7339999999999</v>
      </c>
      <c r="AW216" s="58">
        <v>15.662100000000001</v>
      </c>
      <c r="AX216" s="58"/>
      <c r="AY216" s="58"/>
      <c r="AZ216" s="58"/>
      <c r="BA216" s="58"/>
      <c r="BB216" s="58"/>
      <c r="BC216" s="58"/>
      <c r="BD216" s="58"/>
      <c r="BE216" s="58"/>
      <c r="BF216" s="58"/>
      <c r="BG216" s="58"/>
      <c r="BH216" s="58"/>
      <c r="BI216" s="58"/>
      <c r="BJ216" s="58"/>
      <c r="BK216" s="58"/>
      <c r="BL216" s="58"/>
      <c r="BM216" s="58"/>
      <c r="BN216" s="58"/>
      <c r="BO216" s="58"/>
      <c r="BP216" s="58"/>
      <c r="BQ216" s="58"/>
      <c r="BR216" s="58"/>
      <c r="BS216" s="58"/>
      <c r="BT216" s="58"/>
      <c r="BU216" s="58"/>
      <c r="BV216" s="263">
        <f>112.3+4</f>
        <v>116.3</v>
      </c>
      <c r="BW216" s="1">
        <f t="shared" si="461"/>
        <v>5050</v>
      </c>
    </row>
    <row r="217" spans="1:77" s="3" customFormat="1" ht="15.75" thickBot="1" x14ac:dyDescent="0.3">
      <c r="A217" s="524"/>
      <c r="C217" s="212">
        <v>5100</v>
      </c>
      <c r="D217" s="348">
        <f t="shared" si="480"/>
        <v>0</v>
      </c>
      <c r="E217" s="348">
        <f t="shared" si="481"/>
        <v>2205.9207000000001</v>
      </c>
      <c r="F217" s="144">
        <f t="shared" si="482"/>
        <v>0</v>
      </c>
      <c r="G217" s="144">
        <f t="shared" si="469"/>
        <v>0</v>
      </c>
      <c r="H217" s="144">
        <f t="shared" si="470"/>
        <v>0</v>
      </c>
      <c r="I217" s="144">
        <f t="shared" si="471"/>
        <v>0</v>
      </c>
      <c r="J217" s="159">
        <f t="shared" si="472"/>
        <v>0</v>
      </c>
      <c r="K217" s="348">
        <f t="shared" si="483"/>
        <v>170.2</v>
      </c>
      <c r="L217" s="354">
        <f t="shared" si="499"/>
        <v>0</v>
      </c>
      <c r="M217" s="348">
        <f t="shared" si="484"/>
        <v>3944</v>
      </c>
      <c r="N217" s="144">
        <f t="shared" si="485"/>
        <v>0</v>
      </c>
      <c r="O217" s="144">
        <f t="shared" si="486"/>
        <v>0</v>
      </c>
      <c r="P217" s="144">
        <f t="shared" si="487"/>
        <v>0</v>
      </c>
      <c r="Q217" s="144">
        <f t="shared" si="488"/>
        <v>0</v>
      </c>
      <c r="R217" s="144">
        <f t="shared" si="489"/>
        <v>0</v>
      </c>
      <c r="S217" s="348">
        <f t="shared" si="490"/>
        <v>796</v>
      </c>
      <c r="T217" s="154"/>
      <c r="U217" s="255">
        <f>L214+L215+L216+L217</f>
        <v>349</v>
      </c>
      <c r="V217" s="255">
        <f t="shared" ref="V217" si="562">M214+M215+M216+M217</f>
        <v>12205</v>
      </c>
      <c r="W217" s="255">
        <f t="shared" ref="W217" si="563">N214+N215+N216+N217</f>
        <v>0</v>
      </c>
      <c r="X217" s="255">
        <f t="shared" ref="X217" si="564">O214+O215+O216+O217</f>
        <v>0</v>
      </c>
      <c r="Y217" s="255">
        <f t="shared" ref="Y217" si="565">P214+P215+P216+P217</f>
        <v>0</v>
      </c>
      <c r="Z217" s="255">
        <f t="shared" ref="Z217" si="566">Q214+Q215+Q216+Q217</f>
        <v>0</v>
      </c>
      <c r="AA217" s="255">
        <f t="shared" ref="AA217" si="567">R214+R215+R216+R217</f>
        <v>0</v>
      </c>
      <c r="AB217" s="255">
        <f t="shared" ref="AB217" si="568">S214+S215+S216+S217</f>
        <v>2955</v>
      </c>
      <c r="AC217" s="153"/>
      <c r="AD217" s="158">
        <f t="shared" si="491"/>
        <v>5100</v>
      </c>
      <c r="AE217" s="144"/>
      <c r="AF217" s="144"/>
      <c r="AG217" s="144"/>
      <c r="AH217" s="144"/>
      <c r="AI217" s="144"/>
      <c r="AJ217" s="144"/>
      <c r="AK217" s="144"/>
      <c r="AL217" s="144"/>
      <c r="AM217" s="144"/>
      <c r="AN217" s="144"/>
      <c r="AO217" s="144"/>
      <c r="AP217" s="144"/>
      <c r="AQ217" s="144"/>
      <c r="AR217" s="144"/>
      <c r="AS217" s="144"/>
      <c r="AT217" s="144"/>
      <c r="AU217" s="144"/>
      <c r="AV217" s="144">
        <v>2190.8937000000001</v>
      </c>
      <c r="AW217" s="144">
        <v>15.026999999999999</v>
      </c>
      <c r="AX217" s="144"/>
      <c r="AY217" s="144"/>
      <c r="AZ217" s="144"/>
      <c r="BA217" s="144"/>
      <c r="BB217" s="144"/>
      <c r="BC217" s="144"/>
      <c r="BD217" s="144"/>
      <c r="BE217" s="144"/>
      <c r="BF217" s="144"/>
      <c r="BG217" s="144"/>
      <c r="BH217" s="144"/>
      <c r="BI217" s="144"/>
      <c r="BJ217" s="144"/>
      <c r="BK217" s="144"/>
      <c r="BL217" s="144"/>
      <c r="BM217" s="144"/>
      <c r="BN217" s="144"/>
      <c r="BO217" s="144"/>
      <c r="BP217" s="144"/>
      <c r="BQ217" s="144"/>
      <c r="BR217" s="144"/>
      <c r="BS217" s="144"/>
      <c r="BT217" s="144"/>
      <c r="BU217" s="144"/>
      <c r="BV217" s="265">
        <f>166.2+4</f>
        <v>170.2</v>
      </c>
      <c r="BW217" s="1">
        <f t="shared" si="461"/>
        <v>5100</v>
      </c>
      <c r="BX217"/>
      <c r="BY217"/>
    </row>
    <row r="218" spans="1:77" x14ac:dyDescent="0.25">
      <c r="A218" s="524"/>
      <c r="C218" s="210">
        <v>5150</v>
      </c>
      <c r="D218" s="349">
        <f t="shared" si="480"/>
        <v>0</v>
      </c>
      <c r="E218" s="349">
        <f t="shared" si="481"/>
        <v>3516.6308000000004</v>
      </c>
      <c r="F218" s="147">
        <f t="shared" si="482"/>
        <v>0</v>
      </c>
      <c r="G218" s="147">
        <f t="shared" si="469"/>
        <v>0</v>
      </c>
      <c r="H218" s="147">
        <f t="shared" si="470"/>
        <v>0</v>
      </c>
      <c r="I218" s="147">
        <f t="shared" si="471"/>
        <v>0</v>
      </c>
      <c r="J218" s="156">
        <f t="shared" si="472"/>
        <v>0</v>
      </c>
      <c r="K218" s="349">
        <f t="shared" si="483"/>
        <v>189.2</v>
      </c>
      <c r="L218" s="355">
        <f t="shared" si="499"/>
        <v>0</v>
      </c>
      <c r="M218" s="349">
        <f t="shared" si="484"/>
        <v>5299</v>
      </c>
      <c r="N218" s="147">
        <f t="shared" si="485"/>
        <v>0</v>
      </c>
      <c r="O218" s="147">
        <f t="shared" si="486"/>
        <v>0</v>
      </c>
      <c r="P218" s="147">
        <f t="shared" si="487"/>
        <v>0</v>
      </c>
      <c r="Q218" s="147">
        <f t="shared" si="488"/>
        <v>0</v>
      </c>
      <c r="R218" s="147">
        <f t="shared" si="489"/>
        <v>0</v>
      </c>
      <c r="S218" s="349">
        <f t="shared" si="490"/>
        <v>999</v>
      </c>
      <c r="T218" s="56"/>
      <c r="U218" s="151"/>
      <c r="V218" s="147"/>
      <c r="W218" s="147"/>
      <c r="X218" s="147"/>
      <c r="Y218" s="147"/>
      <c r="Z218" s="147"/>
      <c r="AA218" s="147"/>
      <c r="AB218" s="147"/>
      <c r="AC218" s="55"/>
      <c r="AD218" s="155">
        <f t="shared" si="491"/>
        <v>5150</v>
      </c>
      <c r="AE218" s="147"/>
      <c r="AF218" s="147"/>
      <c r="AG218" s="147"/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>
        <v>3501.3672000000001</v>
      </c>
      <c r="AW218" s="147">
        <v>15.2636</v>
      </c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  <c r="BI218" s="147"/>
      <c r="BJ218" s="147"/>
      <c r="BK218" s="147"/>
      <c r="BL218" s="147"/>
      <c r="BM218" s="147"/>
      <c r="BN218" s="147"/>
      <c r="BO218" s="147"/>
      <c r="BP218" s="147"/>
      <c r="BQ218" s="147"/>
      <c r="BR218" s="147"/>
      <c r="BS218" s="147"/>
      <c r="BT218" s="147"/>
      <c r="BU218" s="147"/>
      <c r="BV218" s="266">
        <f>185.2+4</f>
        <v>189.2</v>
      </c>
      <c r="BW218" s="1">
        <f t="shared" si="461"/>
        <v>5150</v>
      </c>
    </row>
    <row r="219" spans="1:77" x14ac:dyDescent="0.25">
      <c r="A219" s="524"/>
      <c r="C219" s="121">
        <v>5200</v>
      </c>
      <c r="D219" s="347">
        <f t="shared" si="480"/>
        <v>0</v>
      </c>
      <c r="E219" s="347">
        <f t="shared" si="481"/>
        <v>3387.5572999999999</v>
      </c>
      <c r="F219" s="58">
        <f t="shared" si="482"/>
        <v>0</v>
      </c>
      <c r="G219" s="58">
        <f t="shared" si="469"/>
        <v>0</v>
      </c>
      <c r="H219" s="58">
        <f t="shared" si="470"/>
        <v>0</v>
      </c>
      <c r="I219" s="58">
        <f t="shared" si="471"/>
        <v>0</v>
      </c>
      <c r="J219" s="51">
        <f t="shared" si="472"/>
        <v>0</v>
      </c>
      <c r="K219" s="347">
        <f t="shared" si="483"/>
        <v>175.9</v>
      </c>
      <c r="L219" s="353">
        <f t="shared" si="499"/>
        <v>0</v>
      </c>
      <c r="M219" s="347">
        <f t="shared" si="484"/>
        <v>6393</v>
      </c>
      <c r="N219" s="58">
        <f t="shared" si="485"/>
        <v>0</v>
      </c>
      <c r="O219" s="58">
        <f t="shared" si="486"/>
        <v>0</v>
      </c>
      <c r="P219" s="58">
        <f t="shared" si="487"/>
        <v>0</v>
      </c>
      <c r="Q219" s="58">
        <f t="shared" si="488"/>
        <v>0</v>
      </c>
      <c r="R219" s="58">
        <f t="shared" si="489"/>
        <v>0</v>
      </c>
      <c r="S219" s="347">
        <f t="shared" si="490"/>
        <v>1015</v>
      </c>
      <c r="T219" s="56"/>
      <c r="U219" s="105"/>
      <c r="V219" s="58"/>
      <c r="W219" s="58"/>
      <c r="X219" s="58"/>
      <c r="Y219" s="58"/>
      <c r="Z219" s="58"/>
      <c r="AA219" s="58"/>
      <c r="AB219" s="58"/>
      <c r="AC219" s="55"/>
      <c r="AD219" s="57">
        <f t="shared" si="491"/>
        <v>5200</v>
      </c>
      <c r="AE219" s="58"/>
      <c r="AF219" s="58"/>
      <c r="AG219" s="58"/>
      <c r="AH219" s="58"/>
      <c r="AI219" s="58"/>
      <c r="AJ219" s="58"/>
      <c r="AK219" s="58"/>
      <c r="AL219" s="58"/>
      <c r="AM219" s="58"/>
      <c r="AN219" s="58"/>
      <c r="AO219" s="58"/>
      <c r="AP219" s="58"/>
      <c r="AQ219" s="58"/>
      <c r="AR219" s="58"/>
      <c r="AS219" s="58"/>
      <c r="AT219" s="58"/>
      <c r="AU219" s="58"/>
      <c r="AV219" s="58">
        <v>3371.7303999999999</v>
      </c>
      <c r="AW219" s="58">
        <v>15.8269</v>
      </c>
      <c r="AX219" s="58"/>
      <c r="AY219" s="58"/>
      <c r="AZ219" s="58"/>
      <c r="BA219" s="58"/>
      <c r="BB219" s="58"/>
      <c r="BC219" s="58"/>
      <c r="BD219" s="58"/>
      <c r="BE219" s="58"/>
      <c r="BF219" s="58"/>
      <c r="BG219" s="58"/>
      <c r="BH219" s="58"/>
      <c r="BI219" s="58"/>
      <c r="BJ219" s="58"/>
      <c r="BK219" s="58"/>
      <c r="BL219" s="58"/>
      <c r="BM219" s="58"/>
      <c r="BN219" s="58"/>
      <c r="BO219" s="58"/>
      <c r="BP219" s="58"/>
      <c r="BQ219" s="58"/>
      <c r="BR219" s="58"/>
      <c r="BS219" s="58"/>
      <c r="BT219" s="58"/>
      <c r="BU219" s="58"/>
      <c r="BV219" s="263">
        <f>171.9+4</f>
        <v>175.9</v>
      </c>
      <c r="BW219" s="1">
        <f t="shared" si="461"/>
        <v>5200</v>
      </c>
    </row>
    <row r="220" spans="1:77" s="3" customFormat="1" ht="15.75" thickBot="1" x14ac:dyDescent="0.3">
      <c r="A220" s="524"/>
      <c r="C220" s="212">
        <v>5250</v>
      </c>
      <c r="D220" s="348">
        <f t="shared" si="480"/>
        <v>0</v>
      </c>
      <c r="E220" s="348">
        <f t="shared" si="481"/>
        <v>2816.6405999999997</v>
      </c>
      <c r="F220" s="144">
        <f t="shared" si="482"/>
        <v>0</v>
      </c>
      <c r="G220" s="144">
        <f t="shared" si="469"/>
        <v>0</v>
      </c>
      <c r="H220" s="144">
        <f t="shared" si="470"/>
        <v>0</v>
      </c>
      <c r="I220" s="144">
        <f t="shared" si="471"/>
        <v>0</v>
      </c>
      <c r="J220" s="159">
        <f t="shared" si="472"/>
        <v>0</v>
      </c>
      <c r="K220" s="348">
        <f t="shared" si="483"/>
        <v>159.19999999999999</v>
      </c>
      <c r="L220" s="354">
        <f t="shared" si="499"/>
        <v>0</v>
      </c>
      <c r="M220" s="348">
        <f>ROUNDUP(((E219+E220)*0.5)*(C220-C219)/27,0)</f>
        <v>5745</v>
      </c>
      <c r="N220" s="144">
        <f t="shared" si="485"/>
        <v>0</v>
      </c>
      <c r="O220" s="144">
        <f t="shared" si="486"/>
        <v>0</v>
      </c>
      <c r="P220" s="144">
        <f t="shared" si="487"/>
        <v>0</v>
      </c>
      <c r="Q220" s="144">
        <f t="shared" si="488"/>
        <v>0</v>
      </c>
      <c r="R220" s="144">
        <f t="shared" si="489"/>
        <v>0</v>
      </c>
      <c r="S220" s="348">
        <f t="shared" si="490"/>
        <v>931</v>
      </c>
      <c r="T220" s="154"/>
      <c r="U220" s="255">
        <f>L218+L219+L220</f>
        <v>0</v>
      </c>
      <c r="V220" s="255">
        <f t="shared" ref="V220" si="569">M218+M219+M220</f>
        <v>17437</v>
      </c>
      <c r="W220" s="255">
        <f t="shared" ref="W220" si="570">N218+N219+N220</f>
        <v>0</v>
      </c>
      <c r="X220" s="255">
        <f t="shared" ref="X220" si="571">O218+O219+O220</f>
        <v>0</v>
      </c>
      <c r="Y220" s="255">
        <f t="shared" ref="Y220" si="572">P218+P219+P220</f>
        <v>0</v>
      </c>
      <c r="Z220" s="255">
        <f t="shared" ref="Z220" si="573">Q218+Q219+Q220</f>
        <v>0</v>
      </c>
      <c r="AA220" s="255">
        <f t="shared" ref="AA220" si="574">R218+R219+R220</f>
        <v>0</v>
      </c>
      <c r="AB220" s="255">
        <f t="shared" ref="AB220" si="575">S218+S219+S220</f>
        <v>2945</v>
      </c>
      <c r="AC220" s="153"/>
      <c r="AD220" s="158">
        <f t="shared" si="491"/>
        <v>5250</v>
      </c>
      <c r="AE220" s="144"/>
      <c r="AF220" s="144"/>
      <c r="AG220" s="144"/>
      <c r="AH220" s="144"/>
      <c r="AI220" s="144"/>
      <c r="AJ220" s="144"/>
      <c r="AK220" s="144"/>
      <c r="AL220" s="144"/>
      <c r="AM220" s="144"/>
      <c r="AN220" s="144"/>
      <c r="AO220" s="144"/>
      <c r="AP220" s="144"/>
      <c r="AQ220" s="144"/>
      <c r="AR220" s="144"/>
      <c r="AS220" s="144"/>
      <c r="AT220" s="144"/>
      <c r="AU220" s="144"/>
      <c r="AV220" s="144">
        <v>2800.8627999999999</v>
      </c>
      <c r="AW220" s="144">
        <v>15.777799999999999</v>
      </c>
      <c r="AX220" s="144"/>
      <c r="AY220" s="144"/>
      <c r="AZ220" s="144"/>
      <c r="BA220" s="144"/>
      <c r="BB220" s="144"/>
      <c r="BC220" s="144"/>
      <c r="BD220" s="144"/>
      <c r="BE220" s="144"/>
      <c r="BF220" s="144"/>
      <c r="BG220" s="144"/>
      <c r="BH220" s="144"/>
      <c r="BI220" s="144"/>
      <c r="BJ220" s="144"/>
      <c r="BK220" s="144"/>
      <c r="BL220" s="144"/>
      <c r="BM220" s="144"/>
      <c r="BN220" s="144"/>
      <c r="BO220" s="144"/>
      <c r="BP220" s="144"/>
      <c r="BQ220" s="144"/>
      <c r="BR220" s="144"/>
      <c r="BS220" s="144"/>
      <c r="BT220" s="144"/>
      <c r="BU220" s="144"/>
      <c r="BV220" s="265">
        <f>151.2+8</f>
        <v>159.19999999999999</v>
      </c>
      <c r="BW220" s="1">
        <f t="shared" si="461"/>
        <v>5250</v>
      </c>
      <c r="BX220"/>
      <c r="BY220"/>
    </row>
    <row r="221" spans="1:77" x14ac:dyDescent="0.25">
      <c r="A221" s="524"/>
      <c r="C221" s="210">
        <v>5300</v>
      </c>
      <c r="D221" s="349">
        <f t="shared" si="480"/>
        <v>15.139699999999999</v>
      </c>
      <c r="E221" s="349">
        <f t="shared" si="481"/>
        <v>2220.5003999999999</v>
      </c>
      <c r="F221" s="147">
        <f t="shared" si="482"/>
        <v>0</v>
      </c>
      <c r="G221" s="147">
        <f t="shared" si="469"/>
        <v>0</v>
      </c>
      <c r="H221" s="147">
        <f t="shared" si="470"/>
        <v>0</v>
      </c>
      <c r="I221" s="147">
        <f t="shared" si="471"/>
        <v>0</v>
      </c>
      <c r="J221" s="156">
        <f t="shared" si="472"/>
        <v>0</v>
      </c>
      <c r="K221" s="349">
        <f t="shared" si="483"/>
        <v>137.30000000000001</v>
      </c>
      <c r="L221" s="355">
        <f t="shared" si="499"/>
        <v>15</v>
      </c>
      <c r="M221" s="349">
        <f t="shared" si="484"/>
        <v>4665</v>
      </c>
      <c r="N221" s="147">
        <f t="shared" si="485"/>
        <v>0</v>
      </c>
      <c r="O221" s="147">
        <f t="shared" si="486"/>
        <v>0</v>
      </c>
      <c r="P221" s="147">
        <f t="shared" si="487"/>
        <v>0</v>
      </c>
      <c r="Q221" s="147">
        <f t="shared" si="488"/>
        <v>0</v>
      </c>
      <c r="R221" s="147">
        <f t="shared" si="489"/>
        <v>0</v>
      </c>
      <c r="S221" s="349">
        <f t="shared" si="490"/>
        <v>824</v>
      </c>
      <c r="T221" s="56"/>
      <c r="U221" s="151"/>
      <c r="V221" s="147"/>
      <c r="W221" s="147"/>
      <c r="X221" s="147"/>
      <c r="Y221" s="147"/>
      <c r="Z221" s="147"/>
      <c r="AA221" s="147"/>
      <c r="AB221" s="147"/>
      <c r="AC221" s="55"/>
      <c r="AD221" s="155">
        <f t="shared" si="491"/>
        <v>5300</v>
      </c>
      <c r="AE221" s="147">
        <v>15.139699999999999</v>
      </c>
      <c r="AF221" s="147"/>
      <c r="AG221" s="147"/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>
        <v>2220.5003999999999</v>
      </c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  <c r="BI221" s="147"/>
      <c r="BJ221" s="147"/>
      <c r="BK221" s="147"/>
      <c r="BL221" s="147"/>
      <c r="BM221" s="147"/>
      <c r="BN221" s="147"/>
      <c r="BO221" s="147"/>
      <c r="BP221" s="147"/>
      <c r="BQ221" s="147"/>
      <c r="BR221" s="147"/>
      <c r="BS221" s="147"/>
      <c r="BT221" s="147"/>
      <c r="BU221" s="147"/>
      <c r="BV221" s="266">
        <f>133.3+4</f>
        <v>137.30000000000001</v>
      </c>
      <c r="BW221" s="1">
        <f t="shared" si="461"/>
        <v>5300</v>
      </c>
    </row>
    <row r="222" spans="1:77" x14ac:dyDescent="0.25">
      <c r="A222" s="524"/>
      <c r="C222" s="121">
        <v>5350</v>
      </c>
      <c r="D222" s="347">
        <f t="shared" si="480"/>
        <v>83.972899999999996</v>
      </c>
      <c r="E222" s="347">
        <f t="shared" si="481"/>
        <v>1456.1121000000001</v>
      </c>
      <c r="F222" s="58">
        <f t="shared" si="482"/>
        <v>0</v>
      </c>
      <c r="G222" s="58">
        <f t="shared" si="469"/>
        <v>0</v>
      </c>
      <c r="H222" s="58">
        <f t="shared" si="470"/>
        <v>0</v>
      </c>
      <c r="I222" s="58">
        <f t="shared" si="471"/>
        <v>0</v>
      </c>
      <c r="J222" s="51">
        <f t="shared" si="472"/>
        <v>0</v>
      </c>
      <c r="K222" s="347">
        <f t="shared" si="483"/>
        <v>121.1</v>
      </c>
      <c r="L222" s="353">
        <f t="shared" si="499"/>
        <v>92</v>
      </c>
      <c r="M222" s="347">
        <f t="shared" si="484"/>
        <v>3405</v>
      </c>
      <c r="N222" s="58">
        <f t="shared" si="485"/>
        <v>0</v>
      </c>
      <c r="O222" s="58">
        <f t="shared" si="486"/>
        <v>0</v>
      </c>
      <c r="P222" s="58">
        <f t="shared" si="487"/>
        <v>0</v>
      </c>
      <c r="Q222" s="58">
        <f t="shared" si="488"/>
        <v>0</v>
      </c>
      <c r="R222" s="58">
        <f t="shared" si="489"/>
        <v>0</v>
      </c>
      <c r="S222" s="347">
        <f t="shared" si="490"/>
        <v>718</v>
      </c>
      <c r="T222" s="56"/>
      <c r="U222" s="105"/>
      <c r="V222" s="58"/>
      <c r="W222" s="58"/>
      <c r="X222" s="58"/>
      <c r="Y222" s="58"/>
      <c r="Z222" s="58"/>
      <c r="AA222" s="58"/>
      <c r="AB222" s="58"/>
      <c r="AC222" s="55"/>
      <c r="AD222" s="57">
        <f t="shared" si="491"/>
        <v>5350</v>
      </c>
      <c r="AE222" s="58">
        <v>83.972899999999996</v>
      </c>
      <c r="AF222" s="58"/>
      <c r="AG222" s="58"/>
      <c r="AH222" s="58"/>
      <c r="AI222" s="58"/>
      <c r="AJ222" s="58"/>
      <c r="AK222" s="58"/>
      <c r="AL222" s="58"/>
      <c r="AM222" s="58"/>
      <c r="AN222" s="58"/>
      <c r="AO222" s="58"/>
      <c r="AP222" s="58"/>
      <c r="AQ222" s="58"/>
      <c r="AR222" s="58"/>
      <c r="AS222" s="58"/>
      <c r="AT222" s="58"/>
      <c r="AU222" s="58"/>
      <c r="AV222" s="58">
        <v>1456.1121000000001</v>
      </c>
      <c r="AW222" s="58"/>
      <c r="AX222" s="58"/>
      <c r="AY222" s="58"/>
      <c r="AZ222" s="58"/>
      <c r="BA222" s="58"/>
      <c r="BB222" s="58"/>
      <c r="BC222" s="58"/>
      <c r="BD222" s="58"/>
      <c r="BE222" s="58"/>
      <c r="BF222" s="58"/>
      <c r="BG222" s="58"/>
      <c r="BH222" s="58"/>
      <c r="BI222" s="58"/>
      <c r="BJ222" s="58"/>
      <c r="BK222" s="58"/>
      <c r="BL222" s="58"/>
      <c r="BM222" s="58"/>
      <c r="BN222" s="58"/>
      <c r="BO222" s="58"/>
      <c r="BP222" s="58"/>
      <c r="BQ222" s="58"/>
      <c r="BR222" s="58"/>
      <c r="BS222" s="58"/>
      <c r="BT222" s="58"/>
      <c r="BU222" s="58"/>
      <c r="BV222" s="263">
        <f>117.1+4</f>
        <v>121.1</v>
      </c>
      <c r="BW222" s="1">
        <f t="shared" si="461"/>
        <v>5350</v>
      </c>
    </row>
    <row r="223" spans="1:77" s="3" customFormat="1" ht="15.75" thickBot="1" x14ac:dyDescent="0.3">
      <c r="A223" s="524"/>
      <c r="C223" s="212">
        <v>5400</v>
      </c>
      <c r="D223" s="348">
        <f t="shared" si="480"/>
        <v>481.69540000000006</v>
      </c>
      <c r="E223" s="348">
        <f t="shared" si="481"/>
        <v>555.7826</v>
      </c>
      <c r="F223" s="144">
        <f t="shared" si="482"/>
        <v>0</v>
      </c>
      <c r="G223" s="144">
        <f t="shared" si="469"/>
        <v>0</v>
      </c>
      <c r="H223" s="144">
        <f t="shared" si="470"/>
        <v>0</v>
      </c>
      <c r="I223" s="144">
        <f t="shared" si="471"/>
        <v>0</v>
      </c>
      <c r="J223" s="159">
        <f t="shared" si="472"/>
        <v>0</v>
      </c>
      <c r="K223" s="348">
        <f t="shared" si="483"/>
        <v>103.1</v>
      </c>
      <c r="L223" s="354">
        <f t="shared" si="499"/>
        <v>524</v>
      </c>
      <c r="M223" s="348">
        <f t="shared" si="484"/>
        <v>1863</v>
      </c>
      <c r="N223" s="144">
        <f t="shared" si="485"/>
        <v>0</v>
      </c>
      <c r="O223" s="144">
        <f t="shared" si="486"/>
        <v>0</v>
      </c>
      <c r="P223" s="144">
        <f t="shared" si="487"/>
        <v>0</v>
      </c>
      <c r="Q223" s="144">
        <f t="shared" si="488"/>
        <v>0</v>
      </c>
      <c r="R223" s="144">
        <f t="shared" si="489"/>
        <v>0</v>
      </c>
      <c r="S223" s="348">
        <f t="shared" si="490"/>
        <v>623</v>
      </c>
      <c r="T223" s="154"/>
      <c r="U223" s="255">
        <f>L221+L222+L223</f>
        <v>631</v>
      </c>
      <c r="V223" s="255">
        <f t="shared" ref="V223" si="576">M221+M222+M223</f>
        <v>9933</v>
      </c>
      <c r="W223" s="255">
        <f t="shared" ref="W223" si="577">N221+N222+N223</f>
        <v>0</v>
      </c>
      <c r="X223" s="255">
        <f t="shared" ref="X223" si="578">O221+O222+O223</f>
        <v>0</v>
      </c>
      <c r="Y223" s="255">
        <f t="shared" ref="Y223" si="579">P221+P222+P223</f>
        <v>0</v>
      </c>
      <c r="Z223" s="255">
        <f t="shared" ref="Z223" si="580">Q221+Q222+Q223</f>
        <v>0</v>
      </c>
      <c r="AA223" s="255">
        <f t="shared" ref="AA223" si="581">R221+R222+R223</f>
        <v>0</v>
      </c>
      <c r="AB223" s="255">
        <f t="shared" ref="AB223" si="582">S221+S222+S223</f>
        <v>2165</v>
      </c>
      <c r="AC223" s="153"/>
      <c r="AD223" s="158">
        <f t="shared" si="491"/>
        <v>5400</v>
      </c>
      <c r="AE223" s="144">
        <v>286.88470000000001</v>
      </c>
      <c r="AF223" s="247">
        <v>123.83750000000001</v>
      </c>
      <c r="AG223" s="247">
        <v>70.973200000000006</v>
      </c>
      <c r="AH223" s="144"/>
      <c r="AI223" s="144"/>
      <c r="AJ223" s="144"/>
      <c r="AK223" s="144"/>
      <c r="AL223" s="144"/>
      <c r="AM223" s="144"/>
      <c r="AN223" s="144"/>
      <c r="AO223" s="144"/>
      <c r="AP223" s="144"/>
      <c r="AQ223" s="144"/>
      <c r="AR223" s="144"/>
      <c r="AS223" s="144"/>
      <c r="AT223" s="144"/>
      <c r="AU223" s="144"/>
      <c r="AV223" s="144">
        <v>360.97190000000001</v>
      </c>
      <c r="AW223" s="247">
        <v>123.83750000000001</v>
      </c>
      <c r="AX223" s="247">
        <v>70.973200000000006</v>
      </c>
      <c r="AY223" s="144"/>
      <c r="AZ223" s="144"/>
      <c r="BA223" s="144"/>
      <c r="BB223" s="144"/>
      <c r="BC223" s="144"/>
      <c r="BD223" s="144"/>
      <c r="BE223" s="144"/>
      <c r="BF223" s="144"/>
      <c r="BG223" s="144"/>
      <c r="BH223" s="144"/>
      <c r="BI223" s="144"/>
      <c r="BJ223" s="144"/>
      <c r="BK223" s="144"/>
      <c r="BL223" s="144"/>
      <c r="BM223" s="144"/>
      <c r="BN223" s="144"/>
      <c r="BO223" s="144"/>
      <c r="BP223" s="144"/>
      <c r="BQ223" s="144"/>
      <c r="BR223" s="144"/>
      <c r="BS223" s="144"/>
      <c r="BT223" s="144"/>
      <c r="BU223" s="144"/>
      <c r="BV223" s="265">
        <f>99.1+4</f>
        <v>103.1</v>
      </c>
      <c r="BW223" s="1">
        <f t="shared" si="461"/>
        <v>5400</v>
      </c>
      <c r="BX223"/>
      <c r="BY223"/>
    </row>
    <row r="224" spans="1:77" x14ac:dyDescent="0.25">
      <c r="A224" s="524"/>
      <c r="C224" s="210">
        <v>5450</v>
      </c>
      <c r="D224" s="349">
        <f t="shared" si="480"/>
        <v>982.37570000000005</v>
      </c>
      <c r="E224" s="349">
        <f t="shared" si="481"/>
        <v>0</v>
      </c>
      <c r="F224" s="147">
        <f t="shared" si="482"/>
        <v>0</v>
      </c>
      <c r="G224" s="147">
        <f t="shared" si="469"/>
        <v>0</v>
      </c>
      <c r="H224" s="147">
        <f t="shared" si="470"/>
        <v>0</v>
      </c>
      <c r="I224" s="147">
        <f t="shared" si="471"/>
        <v>0</v>
      </c>
      <c r="J224" s="156">
        <f t="shared" si="472"/>
        <v>0</v>
      </c>
      <c r="K224" s="349">
        <f t="shared" si="483"/>
        <v>62.9</v>
      </c>
      <c r="L224" s="355">
        <f t="shared" si="499"/>
        <v>1356</v>
      </c>
      <c r="M224" s="349">
        <f>ROUNDUP(((E223+E224)*0.5)*(C224-C223)/27,0)</f>
        <v>515</v>
      </c>
      <c r="N224" s="147">
        <f t="shared" si="485"/>
        <v>0</v>
      </c>
      <c r="O224" s="147">
        <f t="shared" si="486"/>
        <v>0</v>
      </c>
      <c r="P224" s="147">
        <f t="shared" si="487"/>
        <v>0</v>
      </c>
      <c r="Q224" s="147">
        <f t="shared" si="488"/>
        <v>0</v>
      </c>
      <c r="R224" s="147">
        <f t="shared" si="489"/>
        <v>0</v>
      </c>
      <c r="S224" s="349">
        <f t="shared" si="490"/>
        <v>462</v>
      </c>
      <c r="T224" s="56"/>
      <c r="U224" s="151"/>
      <c r="V224" s="147"/>
      <c r="W224" s="147"/>
      <c r="X224" s="147"/>
      <c r="Y224" s="147"/>
      <c r="Z224" s="147"/>
      <c r="AA224" s="147"/>
      <c r="AB224" s="147"/>
      <c r="AC224" s="55"/>
      <c r="AD224" s="155">
        <f t="shared" si="491"/>
        <v>5450</v>
      </c>
      <c r="AE224" s="147">
        <v>982.37570000000005</v>
      </c>
      <c r="AF224" s="147"/>
      <c r="AG224" s="147"/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  <c r="BI224" s="147"/>
      <c r="BJ224" s="147"/>
      <c r="BK224" s="147"/>
      <c r="BL224" s="147"/>
      <c r="BM224" s="147"/>
      <c r="BN224" s="147"/>
      <c r="BO224" s="147"/>
      <c r="BP224" s="147"/>
      <c r="BQ224" s="147"/>
      <c r="BR224" s="147"/>
      <c r="BS224" s="147"/>
      <c r="BT224" s="147"/>
      <c r="BU224" s="147"/>
      <c r="BV224" s="266">
        <f>58.9+4</f>
        <v>62.9</v>
      </c>
      <c r="BW224" s="1">
        <f t="shared" si="461"/>
        <v>5450</v>
      </c>
    </row>
    <row r="225" spans="1:107" x14ac:dyDescent="0.25">
      <c r="A225" s="524"/>
      <c r="C225" s="121">
        <v>5500</v>
      </c>
      <c r="D225" s="347">
        <f t="shared" si="480"/>
        <v>1384.9214999999999</v>
      </c>
      <c r="E225" s="347">
        <f t="shared" si="481"/>
        <v>0</v>
      </c>
      <c r="F225" s="58">
        <f t="shared" si="482"/>
        <v>0</v>
      </c>
      <c r="G225" s="58">
        <f t="shared" si="469"/>
        <v>0</v>
      </c>
      <c r="H225" s="58">
        <f t="shared" si="470"/>
        <v>0</v>
      </c>
      <c r="I225" s="58">
        <f t="shared" si="471"/>
        <v>0</v>
      </c>
      <c r="J225" s="51">
        <f t="shared" si="472"/>
        <v>0</v>
      </c>
      <c r="K225" s="347">
        <f t="shared" si="483"/>
        <v>90.1</v>
      </c>
      <c r="L225" s="353">
        <f t="shared" si="499"/>
        <v>2192</v>
      </c>
      <c r="M225" s="347">
        <f t="shared" si="484"/>
        <v>0</v>
      </c>
      <c r="N225" s="58">
        <f t="shared" si="485"/>
        <v>0</v>
      </c>
      <c r="O225" s="58">
        <f t="shared" si="486"/>
        <v>0</v>
      </c>
      <c r="P225" s="58">
        <f t="shared" si="487"/>
        <v>0</v>
      </c>
      <c r="Q225" s="58">
        <f t="shared" si="488"/>
        <v>0</v>
      </c>
      <c r="R225" s="58">
        <f t="shared" si="489"/>
        <v>0</v>
      </c>
      <c r="S225" s="347">
        <f t="shared" si="490"/>
        <v>425</v>
      </c>
      <c r="T225" s="56"/>
      <c r="U225" s="105"/>
      <c r="V225" s="58"/>
      <c r="W225" s="58"/>
      <c r="X225" s="58"/>
      <c r="Y225" s="58"/>
      <c r="Z225" s="58"/>
      <c r="AA225" s="58"/>
      <c r="AB225" s="58"/>
      <c r="AC225" s="55"/>
      <c r="AD225" s="57">
        <f t="shared" si="491"/>
        <v>5500</v>
      </c>
      <c r="AE225" s="58">
        <v>1384.9214999999999</v>
      </c>
      <c r="AF225" s="58"/>
      <c r="AG225" s="58"/>
      <c r="AH225" s="58"/>
      <c r="AI225" s="58"/>
      <c r="AJ225" s="58"/>
      <c r="AK225" s="58"/>
      <c r="AL225" s="58"/>
      <c r="AM225" s="58"/>
      <c r="AN225" s="58"/>
      <c r="AO225" s="58"/>
      <c r="AP225" s="58"/>
      <c r="AQ225" s="58"/>
      <c r="AR225" s="58"/>
      <c r="AS225" s="58"/>
      <c r="AT225" s="58"/>
      <c r="AU225" s="58"/>
      <c r="AV225" s="58"/>
      <c r="AW225" s="58"/>
      <c r="AX225" s="58"/>
      <c r="AY225" s="58"/>
      <c r="AZ225" s="58"/>
      <c r="BA225" s="58"/>
      <c r="BB225" s="58"/>
      <c r="BC225" s="58"/>
      <c r="BD225" s="58"/>
      <c r="BE225" s="58"/>
      <c r="BF225" s="58"/>
      <c r="BG225" s="58"/>
      <c r="BH225" s="58"/>
      <c r="BI225" s="58"/>
      <c r="BJ225" s="58"/>
      <c r="BK225" s="58"/>
      <c r="BL225" s="58"/>
      <c r="BM225" s="58"/>
      <c r="BN225" s="58"/>
      <c r="BO225" s="58"/>
      <c r="BP225" s="58"/>
      <c r="BQ225" s="58"/>
      <c r="BR225" s="58"/>
      <c r="BS225" s="58"/>
      <c r="BT225" s="58"/>
      <c r="BU225" s="58"/>
      <c r="BV225" s="263">
        <f>86.1+4</f>
        <v>90.1</v>
      </c>
      <c r="BW225" s="1">
        <f t="shared" si="461"/>
        <v>5500</v>
      </c>
    </row>
    <row r="226" spans="1:107" x14ac:dyDescent="0.25">
      <c r="A226" s="524"/>
      <c r="C226" s="121">
        <v>5550</v>
      </c>
      <c r="D226" s="347">
        <f t="shared" si="480"/>
        <v>1297.1166000000001</v>
      </c>
      <c r="E226" s="347">
        <f t="shared" si="481"/>
        <v>41.021100000000004</v>
      </c>
      <c r="F226" s="58">
        <f t="shared" si="482"/>
        <v>0</v>
      </c>
      <c r="G226" s="58">
        <f t="shared" si="469"/>
        <v>0</v>
      </c>
      <c r="H226" s="58">
        <f t="shared" si="470"/>
        <v>0</v>
      </c>
      <c r="I226" s="58">
        <f t="shared" si="471"/>
        <v>0</v>
      </c>
      <c r="J226" s="51">
        <f t="shared" si="472"/>
        <v>0</v>
      </c>
      <c r="K226" s="347">
        <f t="shared" si="483"/>
        <v>114.3</v>
      </c>
      <c r="L226" s="353">
        <f t="shared" si="499"/>
        <v>2484</v>
      </c>
      <c r="M226" s="347">
        <f t="shared" si="484"/>
        <v>38</v>
      </c>
      <c r="N226" s="58">
        <f t="shared" si="485"/>
        <v>0</v>
      </c>
      <c r="O226" s="58">
        <f t="shared" si="486"/>
        <v>0</v>
      </c>
      <c r="P226" s="58">
        <f t="shared" si="487"/>
        <v>0</v>
      </c>
      <c r="Q226" s="58">
        <f t="shared" si="488"/>
        <v>0</v>
      </c>
      <c r="R226" s="58">
        <f t="shared" si="489"/>
        <v>0</v>
      </c>
      <c r="S226" s="347">
        <f t="shared" si="490"/>
        <v>568</v>
      </c>
      <c r="T226" s="56"/>
      <c r="U226" s="105"/>
      <c r="V226" s="58"/>
      <c r="W226" s="58"/>
      <c r="X226" s="58"/>
      <c r="Y226" s="58"/>
      <c r="Z226" s="58"/>
      <c r="AA226" s="58"/>
      <c r="AB226" s="58"/>
      <c r="AC226" s="55"/>
      <c r="AD226" s="57">
        <f t="shared" si="491"/>
        <v>5550</v>
      </c>
      <c r="AE226" s="58">
        <v>1297.1166000000001</v>
      </c>
      <c r="AF226" s="58"/>
      <c r="AG226" s="58"/>
      <c r="AH226" s="58"/>
      <c r="AI226" s="58"/>
      <c r="AJ226" s="58"/>
      <c r="AK226" s="58"/>
      <c r="AL226" s="58"/>
      <c r="AM226" s="58"/>
      <c r="AN226" s="58"/>
      <c r="AO226" s="58"/>
      <c r="AP226" s="58"/>
      <c r="AQ226" s="58"/>
      <c r="AR226" s="58"/>
      <c r="AS226" s="58"/>
      <c r="AT226" s="58"/>
      <c r="AU226" s="58"/>
      <c r="AV226" s="58">
        <v>24.470600000000001</v>
      </c>
      <c r="AW226" s="58">
        <v>16.5505</v>
      </c>
      <c r="AX226" s="58"/>
      <c r="AY226" s="58"/>
      <c r="AZ226" s="58"/>
      <c r="BA226" s="58"/>
      <c r="BB226" s="58"/>
      <c r="BC226" s="58"/>
      <c r="BD226" s="58"/>
      <c r="BE226" s="58"/>
      <c r="BF226" s="58"/>
      <c r="BG226" s="58"/>
      <c r="BH226" s="58"/>
      <c r="BI226" s="58"/>
      <c r="BJ226" s="58"/>
      <c r="BK226" s="58"/>
      <c r="BL226" s="58"/>
      <c r="BM226" s="58"/>
      <c r="BN226" s="58"/>
      <c r="BO226" s="58"/>
      <c r="BP226" s="58"/>
      <c r="BQ226" s="58"/>
      <c r="BR226" s="58"/>
      <c r="BS226" s="58"/>
      <c r="BT226" s="58"/>
      <c r="BU226" s="58"/>
      <c r="BV226" s="263">
        <f>106.3+8</f>
        <v>114.3</v>
      </c>
      <c r="BW226" s="1">
        <f t="shared" si="461"/>
        <v>5550</v>
      </c>
    </row>
    <row r="227" spans="1:107" s="3" customFormat="1" ht="15.75" thickBot="1" x14ac:dyDescent="0.3">
      <c r="A227" s="524"/>
      <c r="C227" s="212">
        <v>5600</v>
      </c>
      <c r="D227" s="348">
        <f t="shared" si="480"/>
        <v>1465.1758</v>
      </c>
      <c r="E227" s="348">
        <f t="shared" si="481"/>
        <v>27.661899999999999</v>
      </c>
      <c r="F227" s="144">
        <f t="shared" si="482"/>
        <v>0</v>
      </c>
      <c r="G227" s="144">
        <f t="shared" si="469"/>
        <v>0</v>
      </c>
      <c r="H227" s="144">
        <f t="shared" si="470"/>
        <v>0</v>
      </c>
      <c r="I227" s="144">
        <f t="shared" si="471"/>
        <v>0</v>
      </c>
      <c r="J227" s="159">
        <f t="shared" si="472"/>
        <v>0</v>
      </c>
      <c r="K227" s="348">
        <f t="shared" si="483"/>
        <v>116.2</v>
      </c>
      <c r="L227" s="354">
        <f t="shared" si="499"/>
        <v>2558</v>
      </c>
      <c r="M227" s="348">
        <f t="shared" si="484"/>
        <v>64</v>
      </c>
      <c r="N227" s="144">
        <f t="shared" si="485"/>
        <v>0</v>
      </c>
      <c r="O227" s="144">
        <f t="shared" si="486"/>
        <v>0</v>
      </c>
      <c r="P227" s="144">
        <f t="shared" si="487"/>
        <v>0</v>
      </c>
      <c r="Q227" s="144">
        <f t="shared" si="488"/>
        <v>0</v>
      </c>
      <c r="R227" s="144">
        <f t="shared" si="489"/>
        <v>0</v>
      </c>
      <c r="S227" s="348">
        <f t="shared" si="490"/>
        <v>641</v>
      </c>
      <c r="T227" s="154"/>
      <c r="U227" s="255">
        <f>L224+L225+L226+L227</f>
        <v>8590</v>
      </c>
      <c r="V227" s="255">
        <f t="shared" ref="V227" si="583">M224+M225+M226+M227</f>
        <v>617</v>
      </c>
      <c r="W227" s="255">
        <f t="shared" ref="W227" si="584">N224+N225+N226+N227</f>
        <v>0</v>
      </c>
      <c r="X227" s="255">
        <f t="shared" ref="X227" si="585">O224+O225+O226+O227</f>
        <v>0</v>
      </c>
      <c r="Y227" s="255">
        <f t="shared" ref="Y227" si="586">P224+P225+P226+P227</f>
        <v>0</v>
      </c>
      <c r="Z227" s="255">
        <f t="shared" ref="Z227" si="587">Q224+Q225+Q226+Q227</f>
        <v>0</v>
      </c>
      <c r="AA227" s="255">
        <f t="shared" ref="AA227" si="588">R224+R225+R226+R227</f>
        <v>0</v>
      </c>
      <c r="AB227" s="255">
        <f t="shared" ref="AB227" si="589">S224+S225+S226+S227</f>
        <v>2096</v>
      </c>
      <c r="AC227" s="153"/>
      <c r="AD227" s="158">
        <f t="shared" si="491"/>
        <v>5600</v>
      </c>
      <c r="AE227" s="144">
        <v>732.58789999999999</v>
      </c>
      <c r="AF227" s="144">
        <v>732.58789999999999</v>
      </c>
      <c r="AG227" s="144"/>
      <c r="AH227" s="144"/>
      <c r="AI227" s="144"/>
      <c r="AJ227" s="144"/>
      <c r="AK227" s="144"/>
      <c r="AL227" s="144"/>
      <c r="AM227" s="144"/>
      <c r="AN227" s="144"/>
      <c r="AO227" s="144"/>
      <c r="AP227" s="144"/>
      <c r="AQ227" s="144"/>
      <c r="AR227" s="144"/>
      <c r="AS227" s="144"/>
      <c r="AT227" s="144"/>
      <c r="AU227" s="144"/>
      <c r="AV227" s="144">
        <v>7.5378999999999996</v>
      </c>
      <c r="AW227" s="144">
        <v>5.1585999999999999</v>
      </c>
      <c r="AX227" s="144">
        <v>0.53300000000000003</v>
      </c>
      <c r="AY227" s="144">
        <v>14.432399999999999</v>
      </c>
      <c r="AZ227" s="144"/>
      <c r="BA227" s="144"/>
      <c r="BB227" s="144"/>
      <c r="BC227" s="144"/>
      <c r="BD227" s="144"/>
      <c r="BE227" s="144"/>
      <c r="BF227" s="144"/>
      <c r="BG227" s="144"/>
      <c r="BH227" s="144"/>
      <c r="BI227" s="144"/>
      <c r="BJ227" s="144"/>
      <c r="BK227" s="144"/>
      <c r="BL227" s="144"/>
      <c r="BM227" s="144"/>
      <c r="BN227" s="144"/>
      <c r="BO227" s="144"/>
      <c r="BP227" s="144"/>
      <c r="BQ227" s="144"/>
      <c r="BR227" s="144"/>
      <c r="BS227" s="144"/>
      <c r="BT227" s="144"/>
      <c r="BU227" s="144"/>
      <c r="BV227" s="265">
        <f>108.2+8</f>
        <v>116.2</v>
      </c>
      <c r="BW227" s="1">
        <f t="shared" si="461"/>
        <v>5600</v>
      </c>
      <c r="BX227"/>
      <c r="BY227"/>
    </row>
    <row r="228" spans="1:107" x14ac:dyDescent="0.25">
      <c r="A228" s="524"/>
      <c r="C228" s="210">
        <v>5650</v>
      </c>
      <c r="D228" s="349">
        <f t="shared" si="480"/>
        <v>1.7208000000000001</v>
      </c>
      <c r="E228" s="349">
        <f t="shared" si="481"/>
        <v>49.675899999999999</v>
      </c>
      <c r="F228" s="147">
        <f t="shared" si="482"/>
        <v>0</v>
      </c>
      <c r="G228" s="147">
        <f t="shared" si="469"/>
        <v>0</v>
      </c>
      <c r="H228" s="147">
        <f t="shared" si="470"/>
        <v>0</v>
      </c>
      <c r="I228" s="147">
        <f t="shared" si="471"/>
        <v>0</v>
      </c>
      <c r="J228" s="156">
        <f t="shared" si="472"/>
        <v>0</v>
      </c>
      <c r="K228" s="349">
        <f t="shared" si="483"/>
        <v>58.5</v>
      </c>
      <c r="L228" s="355">
        <f t="shared" si="499"/>
        <v>1359</v>
      </c>
      <c r="M228" s="349">
        <f t="shared" si="484"/>
        <v>72</v>
      </c>
      <c r="N228" s="147">
        <f t="shared" si="485"/>
        <v>0</v>
      </c>
      <c r="O228" s="147">
        <f t="shared" si="486"/>
        <v>0</v>
      </c>
      <c r="P228" s="147">
        <f t="shared" si="487"/>
        <v>0</v>
      </c>
      <c r="Q228" s="147">
        <f t="shared" si="488"/>
        <v>0</v>
      </c>
      <c r="R228" s="147">
        <f t="shared" si="489"/>
        <v>0</v>
      </c>
      <c r="S228" s="349">
        <f t="shared" si="490"/>
        <v>486</v>
      </c>
      <c r="T228" s="56"/>
      <c r="U228" s="151"/>
      <c r="V228" s="147"/>
      <c r="W228" s="147"/>
      <c r="X228" s="147"/>
      <c r="Y228" s="147"/>
      <c r="Z228" s="147"/>
      <c r="AA228" s="147"/>
      <c r="AB228" s="147"/>
      <c r="AC228" s="55"/>
      <c r="AD228" s="155">
        <f t="shared" si="491"/>
        <v>5650</v>
      </c>
      <c r="AE228" s="147">
        <v>1.7008000000000001</v>
      </c>
      <c r="AF228" s="147">
        <v>0.02</v>
      </c>
      <c r="AG228" s="147"/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>
        <v>22.078700000000001</v>
      </c>
      <c r="AW228" s="147">
        <v>25.3322</v>
      </c>
      <c r="AX228" s="147">
        <v>0.63570000000000004</v>
      </c>
      <c r="AY228" s="147">
        <v>1.6293</v>
      </c>
      <c r="AZ228" s="147"/>
      <c r="BA228" s="147"/>
      <c r="BB228" s="147"/>
      <c r="BC228" s="147"/>
      <c r="BD228" s="147"/>
      <c r="BE228" s="147"/>
      <c r="BF228" s="147"/>
      <c r="BG228" s="147"/>
      <c r="BH228" s="147"/>
      <c r="BI228" s="147"/>
      <c r="BJ228" s="147"/>
      <c r="BK228" s="147"/>
      <c r="BL228" s="147"/>
      <c r="BM228" s="147"/>
      <c r="BN228" s="147"/>
      <c r="BO228" s="147"/>
      <c r="BP228" s="147"/>
      <c r="BQ228" s="147"/>
      <c r="BR228" s="147"/>
      <c r="BS228" s="147"/>
      <c r="BT228" s="147"/>
      <c r="BU228" s="147"/>
      <c r="BV228" s="266">
        <f>50.5+8</f>
        <v>58.5</v>
      </c>
      <c r="BW228" s="1">
        <f t="shared" si="461"/>
        <v>5650</v>
      </c>
    </row>
    <row r="229" spans="1:107" ht="15.75" thickBot="1" x14ac:dyDescent="0.3">
      <c r="A229" s="524"/>
      <c r="C229" s="121">
        <v>5673.01</v>
      </c>
      <c r="D229" s="347">
        <f t="shared" si="480"/>
        <v>2.331</v>
      </c>
      <c r="E229" s="347">
        <f t="shared" si="481"/>
        <v>0</v>
      </c>
      <c r="F229" s="58">
        <f t="shared" si="482"/>
        <v>0</v>
      </c>
      <c r="G229" s="58">
        <f t="shared" si="469"/>
        <v>0</v>
      </c>
      <c r="H229" s="58">
        <f t="shared" si="470"/>
        <v>0</v>
      </c>
      <c r="I229" s="58">
        <f t="shared" si="471"/>
        <v>0</v>
      </c>
      <c r="J229" s="51">
        <f t="shared" si="472"/>
        <v>0</v>
      </c>
      <c r="K229" s="347">
        <f t="shared" si="483"/>
        <v>8</v>
      </c>
      <c r="L229" s="353">
        <f t="shared" si="499"/>
        <v>2</v>
      </c>
      <c r="M229" s="347">
        <f t="shared" si="484"/>
        <v>22</v>
      </c>
      <c r="N229" s="58">
        <f t="shared" si="485"/>
        <v>0</v>
      </c>
      <c r="O229" s="58">
        <f t="shared" si="486"/>
        <v>0</v>
      </c>
      <c r="P229" s="58">
        <f t="shared" si="487"/>
        <v>0</v>
      </c>
      <c r="Q229" s="58">
        <f t="shared" si="488"/>
        <v>0</v>
      </c>
      <c r="R229" s="58">
        <f t="shared" si="489"/>
        <v>0</v>
      </c>
      <c r="S229" s="347">
        <f t="shared" si="490"/>
        <v>86</v>
      </c>
      <c r="T229" s="56"/>
      <c r="U229" s="255">
        <f>L228+L229</f>
        <v>1361</v>
      </c>
      <c r="V229" s="255">
        <f t="shared" ref="V229" si="590">M228+M229</f>
        <v>94</v>
      </c>
      <c r="W229" s="255">
        <f t="shared" ref="W229" si="591">N228+N229</f>
        <v>0</v>
      </c>
      <c r="X229" s="255">
        <f t="shared" ref="X229" si="592">O228+O229</f>
        <v>0</v>
      </c>
      <c r="Y229" s="255">
        <f t="shared" ref="Y229" si="593">P228+P229</f>
        <v>0</v>
      </c>
      <c r="Z229" s="255">
        <f t="shared" ref="Z229" si="594">Q228+Q229</f>
        <v>0</v>
      </c>
      <c r="AA229" s="255">
        <f t="shared" ref="AA229" si="595">R228+R229</f>
        <v>0</v>
      </c>
      <c r="AB229" s="255">
        <f t="shared" ref="AB229" si="596">S228+S229</f>
        <v>572</v>
      </c>
      <c r="AC229" s="55"/>
      <c r="AD229" s="57">
        <f t="shared" si="491"/>
        <v>5673.01</v>
      </c>
      <c r="AE229" s="58">
        <v>0.80269999999999997</v>
      </c>
      <c r="AF229" s="58">
        <v>0.3372</v>
      </c>
      <c r="AG229" s="58">
        <v>0.37519999999999998</v>
      </c>
      <c r="AH229" s="58">
        <v>0.81589999999999996</v>
      </c>
      <c r="AI229" s="58"/>
      <c r="AJ229" s="58"/>
      <c r="AK229" s="58"/>
      <c r="AL229" s="58"/>
      <c r="AM229" s="58"/>
      <c r="AN229" s="58"/>
      <c r="AO229" s="58"/>
      <c r="AP229" s="58"/>
      <c r="AQ229" s="58"/>
      <c r="AR229" s="58"/>
      <c r="AS229" s="58"/>
      <c r="AT229" s="58"/>
      <c r="AU229" s="58"/>
      <c r="AV229" s="58"/>
      <c r="AW229" s="58"/>
      <c r="AX229" s="58"/>
      <c r="AY229" s="58"/>
      <c r="AZ229" s="58"/>
      <c r="BA229" s="58"/>
      <c r="BB229" s="58"/>
      <c r="BC229" s="58"/>
      <c r="BD229" s="58"/>
      <c r="BE229" s="58"/>
      <c r="BF229" s="58"/>
      <c r="BG229" s="58"/>
      <c r="BH229" s="58"/>
      <c r="BI229" s="58"/>
      <c r="BJ229" s="58"/>
      <c r="BK229" s="58"/>
      <c r="BL229" s="58"/>
      <c r="BM229" s="58"/>
      <c r="BN229" s="58"/>
      <c r="BO229" s="58"/>
      <c r="BP229" s="58"/>
      <c r="BQ229" s="58"/>
      <c r="BR229" s="58"/>
      <c r="BS229" s="58"/>
      <c r="BT229" s="58"/>
      <c r="BU229" s="58"/>
      <c r="BV229" s="263">
        <v>8</v>
      </c>
      <c r="BW229" s="1">
        <f t="shared" si="461"/>
        <v>5673.01</v>
      </c>
    </row>
    <row r="230" spans="1:107" x14ac:dyDescent="0.25">
      <c r="BW230" s="1"/>
    </row>
    <row r="231" spans="1:107" ht="15.75" thickBot="1" x14ac:dyDescent="0.3">
      <c r="BX231" s="3"/>
      <c r="BY231" s="3"/>
    </row>
    <row r="232" spans="1:107" ht="21" x14ac:dyDescent="0.35">
      <c r="L232" s="385">
        <f>SUM(L126:L229)</f>
        <v>269898</v>
      </c>
      <c r="M232" s="385">
        <f t="shared" ref="M232:S232" si="597">SUM(M126:M229)</f>
        <v>113092</v>
      </c>
      <c r="N232" s="120">
        <f t="shared" si="597"/>
        <v>23726</v>
      </c>
      <c r="O232" s="120">
        <f t="shared" si="597"/>
        <v>422</v>
      </c>
      <c r="P232" s="120">
        <f t="shared" si="597"/>
        <v>422</v>
      </c>
      <c r="Q232" s="120">
        <f t="shared" si="597"/>
        <v>2465</v>
      </c>
      <c r="R232" s="120">
        <f t="shared" si="597"/>
        <v>2465</v>
      </c>
      <c r="S232" s="385">
        <f t="shared" si="597"/>
        <v>91495</v>
      </c>
      <c r="U232" s="120">
        <f>SUM(U126:U229)</f>
        <v>269898</v>
      </c>
      <c r="V232" s="120">
        <f t="shared" ref="V232:AB232" si="598">SUM(V126:V229)</f>
        <v>113092</v>
      </c>
      <c r="W232" s="120">
        <f t="shared" si="598"/>
        <v>23726</v>
      </c>
      <c r="X232" s="120">
        <f t="shared" si="598"/>
        <v>422</v>
      </c>
      <c r="Y232" s="120">
        <f t="shared" si="598"/>
        <v>422</v>
      </c>
      <c r="Z232" s="120">
        <f t="shared" si="598"/>
        <v>2465</v>
      </c>
      <c r="AA232" s="120">
        <f t="shared" si="598"/>
        <v>2465</v>
      </c>
      <c r="AB232" s="120">
        <f t="shared" si="598"/>
        <v>91495</v>
      </c>
    </row>
    <row r="234" spans="1:107" x14ac:dyDescent="0.25">
      <c r="BW234" s="1"/>
    </row>
    <row r="235" spans="1:107" x14ac:dyDescent="0.25">
      <c r="BW235" s="1"/>
    </row>
    <row r="236" spans="1:107" x14ac:dyDescent="0.25">
      <c r="BW236" s="1"/>
    </row>
    <row r="237" spans="1:107" ht="15.75" thickBot="1" x14ac:dyDescent="0.3">
      <c r="C237" s="57"/>
      <c r="D237" s="360"/>
      <c r="E237" s="360"/>
      <c r="F237" s="75"/>
      <c r="G237" s="75"/>
      <c r="H237" s="75"/>
      <c r="I237" s="75"/>
      <c r="J237" s="75"/>
      <c r="K237" s="373"/>
      <c r="L237" s="384"/>
      <c r="M237" s="360"/>
      <c r="N237" s="75"/>
      <c r="O237" s="75"/>
      <c r="P237" s="75"/>
      <c r="Q237" s="75"/>
      <c r="R237" s="75"/>
      <c r="S237" s="360"/>
      <c r="T237" s="4"/>
      <c r="U237" s="104"/>
      <c r="V237" s="75"/>
      <c r="W237" s="75"/>
      <c r="X237" s="75"/>
      <c r="Y237" s="75"/>
      <c r="Z237" s="75"/>
      <c r="AA237" s="75"/>
      <c r="AB237" s="75"/>
      <c r="AC237" s="55"/>
      <c r="AD237" s="49"/>
      <c r="AE237" s="78"/>
      <c r="AF237" s="78"/>
      <c r="AG237" s="78"/>
      <c r="AH237" s="78"/>
      <c r="AI237" s="78"/>
      <c r="AJ237" s="78"/>
      <c r="AK237" s="78"/>
      <c r="AL237" s="78"/>
      <c r="AM237" s="78"/>
      <c r="AN237" s="78"/>
      <c r="AO237" s="78"/>
      <c r="AP237" s="78"/>
      <c r="AQ237" s="78"/>
      <c r="AR237" s="78"/>
      <c r="AS237" s="78"/>
      <c r="AT237" s="78"/>
      <c r="AU237" s="78"/>
      <c r="AV237" s="78"/>
      <c r="AW237" s="78"/>
      <c r="AX237" s="78"/>
      <c r="AY237" s="78"/>
      <c r="AZ237" s="78"/>
      <c r="BA237" s="78"/>
      <c r="BB237" s="78"/>
      <c r="BC237" s="78"/>
      <c r="BD237" s="78"/>
      <c r="BE237" s="78"/>
      <c r="BF237" s="78"/>
      <c r="BG237" s="78"/>
      <c r="BH237" s="78"/>
      <c r="BI237" s="78"/>
      <c r="BJ237" s="78"/>
      <c r="BK237" s="78"/>
      <c r="BL237" s="78"/>
      <c r="BM237" s="78"/>
      <c r="BN237" s="78"/>
      <c r="BO237" s="78"/>
      <c r="BP237" s="78"/>
      <c r="BQ237" s="78"/>
      <c r="BR237" s="78"/>
      <c r="BS237" s="49"/>
      <c r="BT237" s="49"/>
      <c r="BU237" s="49"/>
      <c r="BV237" s="263"/>
      <c r="BW237" s="1"/>
    </row>
    <row r="238" spans="1:107" s="2" customFormat="1" ht="15" customHeight="1" x14ac:dyDescent="0.25">
      <c r="A238" s="523" t="s">
        <v>67</v>
      </c>
      <c r="B238" s="125"/>
      <c r="C238" s="121">
        <v>1018.3</v>
      </c>
      <c r="D238" s="347">
        <f>SUM(AE238:AU238)</f>
        <v>0</v>
      </c>
      <c r="E238" s="347">
        <f>SUM(AV238:BD238)</f>
        <v>541.53150000000005</v>
      </c>
      <c r="F238" s="58">
        <f>SUM(BF238:BH238)</f>
        <v>2171.0203000000001</v>
      </c>
      <c r="G238" s="58">
        <f t="shared" ref="G238:G248" si="599">SUM(BI238:BK238)</f>
        <v>0</v>
      </c>
      <c r="H238" s="58">
        <f t="shared" ref="H238:H248" si="600">SUM(BL238:BN238)</f>
        <v>0</v>
      </c>
      <c r="I238" s="58">
        <f t="shared" ref="I238:I248" si="601">SUM(BO238:BP238)</f>
        <v>0</v>
      </c>
      <c r="J238" s="51">
        <f t="shared" ref="J238:J248" si="602">BQ238+BR238</f>
        <v>0</v>
      </c>
      <c r="K238" s="347">
        <f>SUM(BS238:BV238)</f>
        <v>0</v>
      </c>
      <c r="L238" s="353"/>
      <c r="M238" s="347"/>
      <c r="N238" s="58"/>
      <c r="O238" s="58"/>
      <c r="P238" s="58"/>
      <c r="Q238" s="58"/>
      <c r="R238" s="58"/>
      <c r="S238" s="347"/>
      <c r="T238" s="56"/>
      <c r="U238" s="105"/>
      <c r="V238" s="58"/>
      <c r="W238" s="58"/>
      <c r="X238" s="58"/>
      <c r="Y238" s="58"/>
      <c r="Z238" s="58"/>
      <c r="AA238" s="58"/>
      <c r="AB238" s="58"/>
      <c r="AC238" s="55"/>
      <c r="AD238" s="57">
        <f t="shared" ref="AD238:AD239" si="603">C238</f>
        <v>1018.3</v>
      </c>
      <c r="AE238" s="58"/>
      <c r="AF238" s="58"/>
      <c r="AG238" s="58"/>
      <c r="AH238" s="58"/>
      <c r="AI238" s="58"/>
      <c r="AJ238" s="58"/>
      <c r="AK238" s="58"/>
      <c r="AL238" s="58"/>
      <c r="AM238" s="58"/>
      <c r="AN238" s="58"/>
      <c r="AO238" s="58"/>
      <c r="AP238" s="58"/>
      <c r="AQ238" s="58"/>
      <c r="AR238" s="58"/>
      <c r="AS238" s="58"/>
      <c r="AT238" s="58"/>
      <c r="AU238" s="58"/>
      <c r="AV238" s="58">
        <v>541.53150000000005</v>
      </c>
      <c r="AW238" s="58"/>
      <c r="AX238" s="58"/>
      <c r="AY238" s="58"/>
      <c r="AZ238" s="58"/>
      <c r="BA238" s="58"/>
      <c r="BB238" s="58"/>
      <c r="BC238" s="58"/>
      <c r="BD238" s="58"/>
      <c r="BE238" s="58"/>
      <c r="BF238" s="58">
        <v>2140.7240999999999</v>
      </c>
      <c r="BG238" s="58">
        <v>30.296199999999999</v>
      </c>
      <c r="BH238" s="58"/>
      <c r="BI238" s="58"/>
      <c r="BJ238" s="58"/>
      <c r="BK238" s="58"/>
      <c r="BL238" s="58"/>
      <c r="BM238" s="58"/>
      <c r="BN238" s="58"/>
      <c r="BO238" s="58"/>
      <c r="BP238" s="58"/>
      <c r="BQ238" s="58"/>
      <c r="BR238" s="58"/>
      <c r="BS238" s="58"/>
      <c r="BT238" s="58"/>
      <c r="BU238" s="58"/>
      <c r="BV238" s="263">
        <v>0</v>
      </c>
      <c r="BW238" s="1">
        <f t="shared" ref="BW238:BW248" si="604">C238</f>
        <v>1018.3</v>
      </c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 s="41"/>
    </row>
    <row r="239" spans="1:107" x14ac:dyDescent="0.25">
      <c r="A239" s="524"/>
      <c r="B239" s="125"/>
      <c r="C239" s="121">
        <v>1050</v>
      </c>
      <c r="D239" s="347">
        <f t="shared" ref="D239" si="605">SUM(AE239:AU239)</f>
        <v>0</v>
      </c>
      <c r="E239" s="347">
        <f t="shared" ref="E239" si="606">SUM(AV239:BD239)</f>
        <v>340.55160000000001</v>
      </c>
      <c r="F239" s="58">
        <f t="shared" ref="F239" si="607">SUM(BF239:BH239)</f>
        <v>1515.4095</v>
      </c>
      <c r="G239" s="58">
        <f t="shared" si="599"/>
        <v>0</v>
      </c>
      <c r="H239" s="58">
        <f t="shared" si="600"/>
        <v>0</v>
      </c>
      <c r="I239" s="58">
        <f t="shared" si="601"/>
        <v>0</v>
      </c>
      <c r="J239" s="51">
        <f t="shared" si="602"/>
        <v>0</v>
      </c>
      <c r="K239" s="347">
        <f t="shared" ref="K239" si="608">SUM(BS239:BV239)</f>
        <v>95.031099999999995</v>
      </c>
      <c r="L239" s="353">
        <f>ROUNDUP(((D238+D239)*0.5)*(C239-C238)/27,0)</f>
        <v>0</v>
      </c>
      <c r="M239" s="347">
        <f>ROUNDUP(((E238+E239)*0.5)*(C239-C238)/27,0)</f>
        <v>518</v>
      </c>
      <c r="N239" s="58">
        <f>ROUNDUP(((F238+F239)*0.5)*(C239-C238)/27,0)</f>
        <v>2165</v>
      </c>
      <c r="O239" s="58">
        <f>ROUNDUP(((G239+G238)*0.5)*(C239-C238)/27,0)</f>
        <v>0</v>
      </c>
      <c r="P239" s="58">
        <f>ROUNDUP(((H239+H238)*0.5)*(C239-C238)/27,0)</f>
        <v>0</v>
      </c>
      <c r="Q239" s="58">
        <f>ROUNDUP(((I239+I238)*0.5)*(C239-C238)/9,0)</f>
        <v>0</v>
      </c>
      <c r="R239" s="58">
        <f>ROUNDUP(((J239+J238)*0.5)*(C239-C238)/9,0)</f>
        <v>0</v>
      </c>
      <c r="S239" s="347">
        <f>ROUNDUP(((K239+K238)*0.5)*(C239-C238)/9,0)</f>
        <v>168</v>
      </c>
      <c r="T239" s="56"/>
      <c r="U239" s="105"/>
      <c r="V239" s="58"/>
      <c r="W239" s="58"/>
      <c r="X239" s="58"/>
      <c r="Y239" s="58"/>
      <c r="Z239" s="58"/>
      <c r="AA239" s="58"/>
      <c r="AB239" s="58"/>
      <c r="AC239" s="55"/>
      <c r="AD239" s="57">
        <f t="shared" si="603"/>
        <v>1050</v>
      </c>
      <c r="AE239" s="58"/>
      <c r="AF239" s="58"/>
      <c r="AG239" s="58"/>
      <c r="AH239" s="58"/>
      <c r="AI239" s="58"/>
      <c r="AJ239" s="58"/>
      <c r="AK239" s="58"/>
      <c r="AL239" s="58"/>
      <c r="AM239" s="58"/>
      <c r="AN239" s="58"/>
      <c r="AO239" s="58"/>
      <c r="AP239" s="58"/>
      <c r="AQ239" s="58"/>
      <c r="AR239" s="58"/>
      <c r="AS239" s="58"/>
      <c r="AT239" s="58"/>
      <c r="AU239" s="58"/>
      <c r="AV239" s="58">
        <v>340.55160000000001</v>
      </c>
      <c r="AW239" s="58"/>
      <c r="AX239" s="58"/>
      <c r="AY239" s="58"/>
      <c r="AZ239" s="58"/>
      <c r="BA239" s="58"/>
      <c r="BB239" s="58"/>
      <c r="BC239" s="58"/>
      <c r="BD239" s="58"/>
      <c r="BE239" s="58"/>
      <c r="BF239" s="58">
        <v>1494.9776999999999</v>
      </c>
      <c r="BG239" s="58">
        <v>20.431799999999999</v>
      </c>
      <c r="BH239" s="58"/>
      <c r="BI239" s="58"/>
      <c r="BJ239" s="58"/>
      <c r="BK239" s="58"/>
      <c r="BL239" s="58"/>
      <c r="BM239" s="58"/>
      <c r="BN239" s="58"/>
      <c r="BO239" s="58"/>
      <c r="BP239" s="58"/>
      <c r="BQ239" s="58"/>
      <c r="BR239" s="58"/>
      <c r="BS239" s="58"/>
      <c r="BT239" s="58"/>
      <c r="BU239" s="58"/>
      <c r="BV239" s="263">
        <v>95.031099999999995</v>
      </c>
      <c r="BW239" s="1">
        <f t="shared" si="604"/>
        <v>1050</v>
      </c>
    </row>
    <row r="240" spans="1:107" s="3" customFormat="1" ht="15.75" thickBot="1" x14ac:dyDescent="0.3">
      <c r="A240" s="524"/>
      <c r="B240" s="211"/>
      <c r="C240" s="212">
        <v>1100</v>
      </c>
      <c r="D240" s="348">
        <f t="shared" ref="D240:D248" si="609">SUM(AE240:AU240)</f>
        <v>31.4894</v>
      </c>
      <c r="E240" s="348">
        <f t="shared" ref="E240:E248" si="610">SUM(AV240:BD240)</f>
        <v>42.8065</v>
      </c>
      <c r="F240" s="144">
        <f t="shared" ref="F240:F248" si="611">SUM(BF240:BH240)</f>
        <v>531.40499999999997</v>
      </c>
      <c r="G240" s="144">
        <f t="shared" si="599"/>
        <v>0</v>
      </c>
      <c r="H240" s="144">
        <f t="shared" si="600"/>
        <v>0</v>
      </c>
      <c r="I240" s="144">
        <f t="shared" si="601"/>
        <v>0</v>
      </c>
      <c r="J240" s="159">
        <f t="shared" si="602"/>
        <v>0</v>
      </c>
      <c r="K240" s="348">
        <f t="shared" ref="K240:K248" si="612">SUM(BS240:BV240)</f>
        <v>142.7567</v>
      </c>
      <c r="L240" s="354">
        <f t="shared" ref="L240:L248" si="613">ROUNDUP(((D239+D240)*0.5)*(C240-C239)/27,0)</f>
        <v>30</v>
      </c>
      <c r="M240" s="348">
        <f t="shared" ref="M240:M248" si="614">ROUNDUP(((E239+E240)*0.5)*(C240-C239)/27,0)</f>
        <v>355</v>
      </c>
      <c r="N240" s="144">
        <f>ROUNDUP(((F239+F240)*0.5)*(C240-C239)/27,0)</f>
        <v>1896</v>
      </c>
      <c r="O240" s="144">
        <f t="shared" ref="O240:O248" si="615">ROUNDUP(((G240+G239)*0.5)*(C240-C239)/27,0)</f>
        <v>0</v>
      </c>
      <c r="P240" s="144">
        <f t="shared" ref="P240:P248" si="616">ROUNDUP(((H240+H239)*0.5)*(C240-C239)/27,0)</f>
        <v>0</v>
      </c>
      <c r="Q240" s="144">
        <f t="shared" ref="Q240:Q248" si="617">ROUNDUP(((I240+I239)*0.5)*(C240-C239)/9,0)</f>
        <v>0</v>
      </c>
      <c r="R240" s="144">
        <f t="shared" ref="R240:R248" si="618">ROUNDUP(((J240+J239)*0.5)*(C240-C239)/9,0)</f>
        <v>0</v>
      </c>
      <c r="S240" s="348">
        <f t="shared" ref="S240:S248" si="619">ROUNDUP(((K240+K239)*0.5)*(C240-C239)/9,0)</f>
        <v>661</v>
      </c>
      <c r="T240" s="154"/>
      <c r="U240" s="255">
        <f>L238+L239+L240</f>
        <v>30</v>
      </c>
      <c r="V240" s="255">
        <f t="shared" ref="V240" si="620">M238+M239+M240</f>
        <v>873</v>
      </c>
      <c r="W240" s="255">
        <f t="shared" ref="W240" si="621">N238+N239+N240</f>
        <v>4061</v>
      </c>
      <c r="X240" s="255">
        <f t="shared" ref="X240" si="622">O238+O239+O240</f>
        <v>0</v>
      </c>
      <c r="Y240" s="255">
        <f t="shared" ref="Y240" si="623">P238+P239+P240</f>
        <v>0</v>
      </c>
      <c r="Z240" s="255">
        <f t="shared" ref="Z240" si="624">Q238+Q239+Q240</f>
        <v>0</v>
      </c>
      <c r="AA240" s="255">
        <f t="shared" ref="AA240" si="625">R238+R239+R240</f>
        <v>0</v>
      </c>
      <c r="AB240" s="255">
        <f t="shared" ref="AB240" si="626">S238+S239+S240</f>
        <v>829</v>
      </c>
      <c r="AC240" s="153"/>
      <c r="AD240" s="158">
        <f t="shared" ref="AD240:AD248" si="627">C240</f>
        <v>1100</v>
      </c>
      <c r="AE240" s="144">
        <v>31.4894</v>
      </c>
      <c r="AF240" s="144"/>
      <c r="AG240" s="144"/>
      <c r="AH240" s="144"/>
      <c r="AI240" s="144"/>
      <c r="AJ240" s="144"/>
      <c r="AK240" s="144"/>
      <c r="AL240" s="144"/>
      <c r="AM240" s="144"/>
      <c r="AN240" s="144"/>
      <c r="AO240" s="144"/>
      <c r="AP240" s="144"/>
      <c r="AQ240" s="144"/>
      <c r="AR240" s="144"/>
      <c r="AS240" s="144"/>
      <c r="AT240" s="144"/>
      <c r="AU240" s="144"/>
      <c r="AV240" s="144">
        <v>12.260400000000001</v>
      </c>
      <c r="AW240" s="144">
        <v>30.546099999999999</v>
      </c>
      <c r="AX240" s="144"/>
      <c r="AY240" s="144"/>
      <c r="AZ240" s="144"/>
      <c r="BA240" s="144"/>
      <c r="BB240" s="144"/>
      <c r="BC240" s="144"/>
      <c r="BD240" s="144"/>
      <c r="BE240" s="144"/>
      <c r="BF240" s="144">
        <v>514.66390000000001</v>
      </c>
      <c r="BG240" s="144">
        <v>16.741099999999999</v>
      </c>
      <c r="BH240" s="144"/>
      <c r="BI240" s="144"/>
      <c r="BJ240" s="144"/>
      <c r="BK240" s="144"/>
      <c r="BL240" s="144"/>
      <c r="BM240" s="144"/>
      <c r="BN240" s="144"/>
      <c r="BO240" s="144"/>
      <c r="BP240" s="144"/>
      <c r="BQ240" s="144"/>
      <c r="BR240" s="144"/>
      <c r="BS240" s="144"/>
      <c r="BT240" s="144"/>
      <c r="BU240" s="144"/>
      <c r="BV240" s="265">
        <f>138.7567+4</f>
        <v>142.7567</v>
      </c>
      <c r="BW240" s="1">
        <f t="shared" si="604"/>
        <v>1100</v>
      </c>
      <c r="BX240"/>
      <c r="BY240"/>
    </row>
    <row r="241" spans="1:107" s="2" customFormat="1" x14ac:dyDescent="0.25">
      <c r="A241" s="524"/>
      <c r="B241" s="125"/>
      <c r="C241" s="210">
        <v>1150</v>
      </c>
      <c r="D241" s="349">
        <f t="shared" si="609"/>
        <v>2706.6687000000002</v>
      </c>
      <c r="E241" s="349">
        <f t="shared" si="610"/>
        <v>0</v>
      </c>
      <c r="F241" s="147">
        <f t="shared" si="611"/>
        <v>428.17009999999999</v>
      </c>
      <c r="G241" s="147">
        <f t="shared" si="599"/>
        <v>0</v>
      </c>
      <c r="H241" s="147">
        <f t="shared" si="600"/>
        <v>0</v>
      </c>
      <c r="I241" s="147">
        <f t="shared" si="601"/>
        <v>0</v>
      </c>
      <c r="J241" s="156">
        <f t="shared" si="602"/>
        <v>0</v>
      </c>
      <c r="K241" s="349">
        <f t="shared" si="612"/>
        <v>313.8288</v>
      </c>
      <c r="L241" s="355">
        <f t="shared" si="613"/>
        <v>2536</v>
      </c>
      <c r="M241" s="349">
        <f t="shared" si="614"/>
        <v>40</v>
      </c>
      <c r="N241" s="147">
        <f t="shared" ref="N241:N248" si="628">ROUNDUP(((F240+F241)*0.5)*(C241-C240)/27,0)</f>
        <v>889</v>
      </c>
      <c r="O241" s="147">
        <f t="shared" si="615"/>
        <v>0</v>
      </c>
      <c r="P241" s="147">
        <f t="shared" si="616"/>
        <v>0</v>
      </c>
      <c r="Q241" s="147">
        <f t="shared" si="617"/>
        <v>0</v>
      </c>
      <c r="R241" s="147">
        <f t="shared" si="618"/>
        <v>0</v>
      </c>
      <c r="S241" s="349">
        <f t="shared" si="619"/>
        <v>1269</v>
      </c>
      <c r="T241" s="56"/>
      <c r="U241" s="151"/>
      <c r="V241" s="147"/>
      <c r="W241" s="147"/>
      <c r="X241" s="147"/>
      <c r="Y241" s="147"/>
      <c r="Z241" s="147"/>
      <c r="AA241" s="147"/>
      <c r="AB241" s="147"/>
      <c r="AC241" s="55"/>
      <c r="AD241" s="155">
        <f t="shared" si="627"/>
        <v>1150</v>
      </c>
      <c r="AE241" s="147">
        <v>2706.6687000000002</v>
      </c>
      <c r="AF241" s="147"/>
      <c r="AG241" s="147"/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>
        <v>410.72129999999999</v>
      </c>
      <c r="BG241" s="147">
        <v>17.448799999999999</v>
      </c>
      <c r="BH241" s="147"/>
      <c r="BI241" s="147"/>
      <c r="BJ241" s="147"/>
      <c r="BK241" s="147"/>
      <c r="BL241" s="147"/>
      <c r="BM241" s="147"/>
      <c r="BN241" s="147"/>
      <c r="BO241" s="147"/>
      <c r="BP241" s="147"/>
      <c r="BQ241" s="147"/>
      <c r="BR241" s="147"/>
      <c r="BS241" s="147"/>
      <c r="BT241" s="147"/>
      <c r="BU241" s="147"/>
      <c r="BV241" s="266">
        <f>309.8288+4</f>
        <v>313.8288</v>
      </c>
      <c r="BW241" s="1">
        <f t="shared" si="604"/>
        <v>1150</v>
      </c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 s="41"/>
    </row>
    <row r="242" spans="1:107" s="168" customFormat="1" ht="15.75" thickBot="1" x14ac:dyDescent="0.3">
      <c r="A242" s="524"/>
      <c r="B242" s="211"/>
      <c r="C242" s="212">
        <v>1200</v>
      </c>
      <c r="D242" s="348">
        <f t="shared" si="609"/>
        <v>3125.5138000000002</v>
      </c>
      <c r="E242" s="348">
        <f t="shared" si="610"/>
        <v>0</v>
      </c>
      <c r="F242" s="144">
        <f t="shared" si="611"/>
        <v>356.94130000000001</v>
      </c>
      <c r="G242" s="144">
        <f t="shared" si="599"/>
        <v>0</v>
      </c>
      <c r="H242" s="144">
        <f t="shared" si="600"/>
        <v>0</v>
      </c>
      <c r="I242" s="144">
        <f t="shared" si="601"/>
        <v>0</v>
      </c>
      <c r="J242" s="159">
        <f t="shared" si="602"/>
        <v>0</v>
      </c>
      <c r="K242" s="348">
        <f t="shared" si="612"/>
        <v>282.29070000000002</v>
      </c>
      <c r="L242" s="354">
        <f t="shared" si="613"/>
        <v>5401</v>
      </c>
      <c r="M242" s="348">
        <f t="shared" si="614"/>
        <v>0</v>
      </c>
      <c r="N242" s="144">
        <f t="shared" si="628"/>
        <v>727</v>
      </c>
      <c r="O242" s="144">
        <f t="shared" si="615"/>
        <v>0</v>
      </c>
      <c r="P242" s="144">
        <f t="shared" si="616"/>
        <v>0</v>
      </c>
      <c r="Q242" s="144">
        <f t="shared" si="617"/>
        <v>0</v>
      </c>
      <c r="R242" s="144">
        <f t="shared" si="618"/>
        <v>0</v>
      </c>
      <c r="S242" s="348">
        <f t="shared" si="619"/>
        <v>1656</v>
      </c>
      <c r="T242" s="154"/>
      <c r="U242" s="255">
        <f>L241+L242</f>
        <v>7937</v>
      </c>
      <c r="V242" s="255">
        <f t="shared" ref="V242" si="629">M241+M242</f>
        <v>40</v>
      </c>
      <c r="W242" s="255">
        <f t="shared" ref="W242" si="630">N241+N242</f>
        <v>1616</v>
      </c>
      <c r="X242" s="255">
        <f t="shared" ref="X242" si="631">O241+O242</f>
        <v>0</v>
      </c>
      <c r="Y242" s="255">
        <f t="shared" ref="Y242" si="632">P241+P242</f>
        <v>0</v>
      </c>
      <c r="Z242" s="255">
        <f t="shared" ref="Z242" si="633">Q241+Q242</f>
        <v>0</v>
      </c>
      <c r="AA242" s="255">
        <f t="shared" ref="AA242" si="634">R241+R242</f>
        <v>0</v>
      </c>
      <c r="AB242" s="255">
        <f t="shared" ref="AB242" si="635">S241+S242</f>
        <v>2925</v>
      </c>
      <c r="AC242" s="153"/>
      <c r="AD242" s="158">
        <f t="shared" si="627"/>
        <v>1200</v>
      </c>
      <c r="AE242" s="144">
        <v>3125.5138000000002</v>
      </c>
      <c r="AF242" s="144"/>
      <c r="AG242" s="144"/>
      <c r="AH242" s="144"/>
      <c r="AI242" s="144"/>
      <c r="AJ242" s="144"/>
      <c r="AK242" s="144"/>
      <c r="AL242" s="144"/>
      <c r="AM242" s="144"/>
      <c r="AN242" s="144"/>
      <c r="AO242" s="144"/>
      <c r="AP242" s="144"/>
      <c r="AQ242" s="144"/>
      <c r="AR242" s="144"/>
      <c r="AS242" s="144"/>
      <c r="AT242" s="144"/>
      <c r="AU242" s="144"/>
      <c r="AV242" s="144"/>
      <c r="AW242" s="144"/>
      <c r="AX242" s="144"/>
      <c r="AY242" s="144"/>
      <c r="AZ242" s="144"/>
      <c r="BA242" s="144"/>
      <c r="BB242" s="144"/>
      <c r="BC242" s="144"/>
      <c r="BD242" s="144"/>
      <c r="BE242" s="144"/>
      <c r="BF242" s="144">
        <v>340.54349999999999</v>
      </c>
      <c r="BG242" s="144">
        <v>16.3978</v>
      </c>
      <c r="BH242" s="144"/>
      <c r="BI242" s="144"/>
      <c r="BJ242" s="144"/>
      <c r="BK242" s="144"/>
      <c r="BL242" s="144"/>
      <c r="BM242" s="144"/>
      <c r="BN242" s="144"/>
      <c r="BO242" s="144"/>
      <c r="BP242" s="144"/>
      <c r="BQ242" s="144"/>
      <c r="BR242" s="144"/>
      <c r="BS242" s="144"/>
      <c r="BT242" s="144"/>
      <c r="BU242" s="144"/>
      <c r="BV242" s="265">
        <f>278.2907+4</f>
        <v>282.29070000000002</v>
      </c>
      <c r="BW242" s="1">
        <f t="shared" si="604"/>
        <v>1200</v>
      </c>
      <c r="BX242"/>
      <c r="BY242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167"/>
    </row>
    <row r="243" spans="1:107" x14ac:dyDescent="0.25">
      <c r="A243" s="524"/>
      <c r="B243" s="125"/>
      <c r="C243" s="210">
        <v>1250</v>
      </c>
      <c r="D243" s="349">
        <f t="shared" si="609"/>
        <v>3409.1232999999997</v>
      </c>
      <c r="E243" s="349">
        <f t="shared" si="610"/>
        <v>0</v>
      </c>
      <c r="F243" s="147">
        <f t="shared" si="611"/>
        <v>233.24010000000001</v>
      </c>
      <c r="G243" s="147">
        <f t="shared" si="599"/>
        <v>0</v>
      </c>
      <c r="H243" s="147">
        <f t="shared" si="600"/>
        <v>0</v>
      </c>
      <c r="I243" s="147">
        <f t="shared" si="601"/>
        <v>0</v>
      </c>
      <c r="J243" s="156">
        <f t="shared" si="602"/>
        <v>0</v>
      </c>
      <c r="K243" s="349">
        <f t="shared" si="612"/>
        <v>287.2</v>
      </c>
      <c r="L243" s="355">
        <f t="shared" si="613"/>
        <v>6051</v>
      </c>
      <c r="M243" s="349">
        <f t="shared" si="614"/>
        <v>0</v>
      </c>
      <c r="N243" s="147">
        <f t="shared" si="628"/>
        <v>547</v>
      </c>
      <c r="O243" s="147">
        <f t="shared" si="615"/>
        <v>0</v>
      </c>
      <c r="P243" s="147">
        <f t="shared" si="616"/>
        <v>0</v>
      </c>
      <c r="Q243" s="147">
        <f t="shared" si="617"/>
        <v>0</v>
      </c>
      <c r="R243" s="147">
        <f t="shared" si="618"/>
        <v>0</v>
      </c>
      <c r="S243" s="349">
        <f t="shared" si="619"/>
        <v>1582</v>
      </c>
      <c r="T243" s="56"/>
      <c r="U243" s="151"/>
      <c r="V243" s="147"/>
      <c r="W243" s="147"/>
      <c r="X243" s="147"/>
      <c r="Y243" s="147"/>
      <c r="Z243" s="147"/>
      <c r="AA243" s="147"/>
      <c r="AB243" s="147"/>
      <c r="AC243" s="55"/>
      <c r="AD243" s="155">
        <f t="shared" si="627"/>
        <v>1250</v>
      </c>
      <c r="AE243" s="147">
        <v>3393.9407999999999</v>
      </c>
      <c r="AF243" s="147">
        <v>15.182499999999999</v>
      </c>
      <c r="AG243" s="147"/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>
        <v>218.00460000000001</v>
      </c>
      <c r="BG243" s="147">
        <v>15.2355</v>
      </c>
      <c r="BH243" s="147"/>
      <c r="BI243" s="147"/>
      <c r="BJ243" s="147"/>
      <c r="BK243" s="147"/>
      <c r="BL243" s="147"/>
      <c r="BM243" s="147"/>
      <c r="BN243" s="147"/>
      <c r="BO243" s="147"/>
      <c r="BP243" s="147"/>
      <c r="BQ243" s="147"/>
      <c r="BR243" s="147"/>
      <c r="BS243" s="147"/>
      <c r="BT243" s="147"/>
      <c r="BU243" s="147"/>
      <c r="BV243" s="266">
        <f>283.2+4</f>
        <v>287.2</v>
      </c>
      <c r="BW243" s="1">
        <f t="shared" si="604"/>
        <v>1250</v>
      </c>
    </row>
    <row r="244" spans="1:107" s="3" customFormat="1" ht="15.75" thickBot="1" x14ac:dyDescent="0.3">
      <c r="A244" s="524"/>
      <c r="B244" s="211"/>
      <c r="C244" s="212">
        <v>1300</v>
      </c>
      <c r="D244" s="348">
        <f t="shared" si="609"/>
        <v>3879.7069000000001</v>
      </c>
      <c r="E244" s="348">
        <f t="shared" si="610"/>
        <v>0</v>
      </c>
      <c r="F244" s="144">
        <f t="shared" si="611"/>
        <v>151.47969999999998</v>
      </c>
      <c r="G244" s="144">
        <f t="shared" si="599"/>
        <v>0</v>
      </c>
      <c r="H244" s="144">
        <f t="shared" si="600"/>
        <v>0</v>
      </c>
      <c r="I244" s="144">
        <f t="shared" si="601"/>
        <v>0</v>
      </c>
      <c r="J244" s="159">
        <f t="shared" si="602"/>
        <v>0</v>
      </c>
      <c r="K244" s="348">
        <f t="shared" si="612"/>
        <v>312.3</v>
      </c>
      <c r="L244" s="354">
        <f t="shared" si="613"/>
        <v>6749</v>
      </c>
      <c r="M244" s="348">
        <f t="shared" si="614"/>
        <v>0</v>
      </c>
      <c r="N244" s="144">
        <f t="shared" si="628"/>
        <v>357</v>
      </c>
      <c r="O244" s="144">
        <f t="shared" si="615"/>
        <v>0</v>
      </c>
      <c r="P244" s="144">
        <f t="shared" si="616"/>
        <v>0</v>
      </c>
      <c r="Q244" s="144">
        <f t="shared" si="617"/>
        <v>0</v>
      </c>
      <c r="R244" s="144">
        <f t="shared" si="618"/>
        <v>0</v>
      </c>
      <c r="S244" s="348">
        <f t="shared" si="619"/>
        <v>1666</v>
      </c>
      <c r="T244" s="154"/>
      <c r="U244" s="255">
        <f>L243+L244</f>
        <v>12800</v>
      </c>
      <c r="V244" s="255">
        <f t="shared" ref="V244" si="636">M243+M244</f>
        <v>0</v>
      </c>
      <c r="W244" s="255">
        <f t="shared" ref="W244" si="637">N243+N244</f>
        <v>904</v>
      </c>
      <c r="X244" s="255">
        <f t="shared" ref="X244" si="638">O243+O244</f>
        <v>0</v>
      </c>
      <c r="Y244" s="255">
        <f t="shared" ref="Y244" si="639">P243+P244</f>
        <v>0</v>
      </c>
      <c r="Z244" s="255">
        <f t="shared" ref="Z244" si="640">Q243+Q244</f>
        <v>0</v>
      </c>
      <c r="AA244" s="255">
        <f t="shared" ref="AA244" si="641">R243+R244</f>
        <v>0</v>
      </c>
      <c r="AB244" s="255">
        <f t="shared" ref="AB244" si="642">S243+S244</f>
        <v>3248</v>
      </c>
      <c r="AC244" s="153"/>
      <c r="AD244" s="158">
        <f t="shared" si="627"/>
        <v>1300</v>
      </c>
      <c r="AE244" s="144">
        <v>3879.7069000000001</v>
      </c>
      <c r="AF244" s="144"/>
      <c r="AG244" s="144"/>
      <c r="AH244" s="144"/>
      <c r="AI244" s="144"/>
      <c r="AJ244" s="144"/>
      <c r="AK244" s="144"/>
      <c r="AL244" s="144"/>
      <c r="AM244" s="144"/>
      <c r="AN244" s="144"/>
      <c r="AO244" s="144"/>
      <c r="AP244" s="144"/>
      <c r="AQ244" s="144"/>
      <c r="AR244" s="144"/>
      <c r="AS244" s="144"/>
      <c r="AT244" s="144"/>
      <c r="AU244" s="144"/>
      <c r="AV244" s="144"/>
      <c r="AW244" s="144"/>
      <c r="AX244" s="144"/>
      <c r="AY244" s="144"/>
      <c r="AZ244" s="144"/>
      <c r="BA244" s="144"/>
      <c r="BB244" s="144"/>
      <c r="BC244" s="144"/>
      <c r="BD244" s="144"/>
      <c r="BE244" s="144"/>
      <c r="BF244" s="144">
        <v>136.82509999999999</v>
      </c>
      <c r="BG244" s="144">
        <v>14.6546</v>
      </c>
      <c r="BH244" s="144"/>
      <c r="BI244" s="144"/>
      <c r="BJ244" s="144"/>
      <c r="BK244" s="144"/>
      <c r="BL244" s="144"/>
      <c r="BM244" s="144"/>
      <c r="BN244" s="144"/>
      <c r="BO244" s="144"/>
      <c r="BP244" s="144"/>
      <c r="BQ244" s="144"/>
      <c r="BR244" s="144"/>
      <c r="BS244" s="144"/>
      <c r="BT244" s="144"/>
      <c r="BU244" s="144"/>
      <c r="BV244" s="265">
        <f>304.3+8</f>
        <v>312.3</v>
      </c>
      <c r="BW244" s="1">
        <f t="shared" si="604"/>
        <v>1300</v>
      </c>
      <c r="BX244"/>
      <c r="BY244"/>
    </row>
    <row r="245" spans="1:107" x14ac:dyDescent="0.25">
      <c r="A245" s="524"/>
      <c r="C245" s="210">
        <v>1350</v>
      </c>
      <c r="D245" s="349">
        <f t="shared" si="609"/>
        <v>4698.9782999999998</v>
      </c>
      <c r="E245" s="349">
        <f t="shared" si="610"/>
        <v>0</v>
      </c>
      <c r="F245" s="147">
        <f t="shared" si="611"/>
        <v>94.2928</v>
      </c>
      <c r="G245" s="147">
        <f t="shared" si="599"/>
        <v>0</v>
      </c>
      <c r="H245" s="147">
        <f t="shared" si="600"/>
        <v>0</v>
      </c>
      <c r="I245" s="147">
        <f t="shared" si="601"/>
        <v>0</v>
      </c>
      <c r="J245" s="156">
        <f t="shared" si="602"/>
        <v>0</v>
      </c>
      <c r="K245" s="349">
        <f t="shared" si="612"/>
        <v>343</v>
      </c>
      <c r="L245" s="355">
        <f t="shared" si="613"/>
        <v>7944</v>
      </c>
      <c r="M245" s="349">
        <f t="shared" si="614"/>
        <v>0</v>
      </c>
      <c r="N245" s="147">
        <f t="shared" si="628"/>
        <v>228</v>
      </c>
      <c r="O245" s="147">
        <f t="shared" si="615"/>
        <v>0</v>
      </c>
      <c r="P245" s="147">
        <f t="shared" si="616"/>
        <v>0</v>
      </c>
      <c r="Q245" s="147">
        <f t="shared" si="617"/>
        <v>0</v>
      </c>
      <c r="R245" s="147">
        <f t="shared" si="618"/>
        <v>0</v>
      </c>
      <c r="S245" s="349">
        <f t="shared" si="619"/>
        <v>1821</v>
      </c>
      <c r="T245" s="56"/>
      <c r="U245" s="151"/>
      <c r="V245" s="147"/>
      <c r="W245" s="147"/>
      <c r="X245" s="147"/>
      <c r="Y245" s="147"/>
      <c r="Z245" s="147"/>
      <c r="AA245" s="147"/>
      <c r="AB245" s="147"/>
      <c r="AC245" s="55"/>
      <c r="AD245" s="155">
        <f t="shared" si="627"/>
        <v>1350</v>
      </c>
      <c r="AE245" s="147">
        <v>4694.0410000000002</v>
      </c>
      <c r="AF245" s="147">
        <v>4.9372999999999996</v>
      </c>
      <c r="AG245" s="147"/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>
        <v>79.183000000000007</v>
      </c>
      <c r="BG245" s="147">
        <v>15.1098</v>
      </c>
      <c r="BH245" s="147"/>
      <c r="BI245" s="147"/>
      <c r="BJ245" s="147"/>
      <c r="BK245" s="147"/>
      <c r="BL245" s="147"/>
      <c r="BM245" s="147"/>
      <c r="BN245" s="147"/>
      <c r="BO245" s="147"/>
      <c r="BP245" s="147"/>
      <c r="BQ245" s="147"/>
      <c r="BR245" s="147"/>
      <c r="BS245" s="147"/>
      <c r="BT245" s="147"/>
      <c r="BU245" s="147"/>
      <c r="BV245" s="266">
        <f>335+8</f>
        <v>343</v>
      </c>
      <c r="BW245" s="1">
        <f t="shared" si="604"/>
        <v>1350</v>
      </c>
    </row>
    <row r="246" spans="1:107" s="3" customFormat="1" ht="15.75" thickBot="1" x14ac:dyDescent="0.3">
      <c r="A246" s="524"/>
      <c r="C246" s="212">
        <v>1400</v>
      </c>
      <c r="D246" s="348">
        <f t="shared" si="609"/>
        <v>5181.7224999999999</v>
      </c>
      <c r="E246" s="348">
        <f t="shared" si="610"/>
        <v>0</v>
      </c>
      <c r="F246" s="144">
        <f>SUM(BF246:BH246)</f>
        <v>27.461400000000001</v>
      </c>
      <c r="G246" s="144">
        <f t="shared" si="599"/>
        <v>25.508299999999998</v>
      </c>
      <c r="H246" s="144">
        <f t="shared" si="600"/>
        <v>25.508299999999998</v>
      </c>
      <c r="I246" s="144">
        <f t="shared" si="601"/>
        <v>21.013100000000001</v>
      </c>
      <c r="J246" s="159">
        <f t="shared" si="602"/>
        <v>21.013100000000001</v>
      </c>
      <c r="K246" s="348">
        <f t="shared" si="612"/>
        <v>362.4</v>
      </c>
      <c r="L246" s="354">
        <f t="shared" si="613"/>
        <v>9149</v>
      </c>
      <c r="M246" s="348">
        <f t="shared" si="614"/>
        <v>0</v>
      </c>
      <c r="N246" s="144">
        <f>ROUNDUP(((F245+F246)*0.5)*(C246-C245)/27,0)</f>
        <v>113</v>
      </c>
      <c r="O246" s="144">
        <f t="shared" si="615"/>
        <v>24</v>
      </c>
      <c r="P246" s="144">
        <f t="shared" si="616"/>
        <v>24</v>
      </c>
      <c r="Q246" s="144">
        <f t="shared" si="617"/>
        <v>59</v>
      </c>
      <c r="R246" s="144">
        <f t="shared" si="618"/>
        <v>59</v>
      </c>
      <c r="S246" s="348">
        <f t="shared" si="619"/>
        <v>1960</v>
      </c>
      <c r="T246" s="154"/>
      <c r="U246" s="255">
        <f>L245+L246</f>
        <v>17093</v>
      </c>
      <c r="V246" s="255">
        <f t="shared" ref="V246" si="643">M245+M246</f>
        <v>0</v>
      </c>
      <c r="W246" s="255">
        <f t="shared" ref="W246" si="644">N245+N246</f>
        <v>341</v>
      </c>
      <c r="X246" s="255">
        <f t="shared" ref="X246" si="645">O245+O246</f>
        <v>24</v>
      </c>
      <c r="Y246" s="255">
        <f t="shared" ref="Y246" si="646">P245+P246</f>
        <v>24</v>
      </c>
      <c r="Z246" s="255">
        <f t="shared" ref="Z246" si="647">Q245+Q246</f>
        <v>59</v>
      </c>
      <c r="AA246" s="255">
        <f t="shared" ref="AA246" si="648">R245+R246</f>
        <v>59</v>
      </c>
      <c r="AB246" s="255">
        <f t="shared" ref="AB246" si="649">S245+S246</f>
        <v>3781</v>
      </c>
      <c r="AC246" s="153"/>
      <c r="AD246" s="158">
        <f t="shared" si="627"/>
        <v>1400</v>
      </c>
      <c r="AE246" s="144">
        <v>5181.7224999999999</v>
      </c>
      <c r="AF246" s="144"/>
      <c r="AG246" s="144"/>
      <c r="AH246" s="144"/>
      <c r="AI246" s="144"/>
      <c r="AJ246" s="144"/>
      <c r="AK246" s="144"/>
      <c r="AL246" s="144"/>
      <c r="AM246" s="144"/>
      <c r="AN246" s="144"/>
      <c r="AO246" s="144"/>
      <c r="AP246" s="144"/>
      <c r="AQ246" s="144"/>
      <c r="AR246" s="144"/>
      <c r="AS246" s="144"/>
      <c r="AT246" s="144"/>
      <c r="AU246" s="144"/>
      <c r="AV246" s="144"/>
      <c r="AW246" s="144"/>
      <c r="AX246" s="144"/>
      <c r="AY246" s="144"/>
      <c r="AZ246" s="144"/>
      <c r="BA246" s="144"/>
      <c r="BB246" s="144"/>
      <c r="BC246" s="144"/>
      <c r="BD246" s="144"/>
      <c r="BE246" s="144"/>
      <c r="BF246" s="144">
        <v>11.2713</v>
      </c>
      <c r="BG246" s="144">
        <v>16.190100000000001</v>
      </c>
      <c r="BH246" s="144"/>
      <c r="BI246" s="144">
        <v>25.508299999999998</v>
      </c>
      <c r="BJ246" s="144"/>
      <c r="BK246" s="144"/>
      <c r="BL246" s="144">
        <f t="shared" ref="BL246:BL247" si="650">BI246</f>
        <v>25.508299999999998</v>
      </c>
      <c r="BM246" s="144"/>
      <c r="BN246" s="144"/>
      <c r="BO246" s="144">
        <v>21.013100000000001</v>
      </c>
      <c r="BP246" s="144"/>
      <c r="BQ246" s="144">
        <f t="shared" ref="BQ246:BQ247" si="651">BO246</f>
        <v>21.013100000000001</v>
      </c>
      <c r="BR246" s="144"/>
      <c r="BS246" s="144"/>
      <c r="BT246" s="144"/>
      <c r="BU246" s="144"/>
      <c r="BV246" s="265">
        <f>354.4+8</f>
        <v>362.4</v>
      </c>
      <c r="BW246" s="1">
        <f t="shared" si="604"/>
        <v>1400</v>
      </c>
      <c r="BX246"/>
      <c r="BY246"/>
    </row>
    <row r="247" spans="1:107" x14ac:dyDescent="0.25">
      <c r="A247" s="524"/>
      <c r="C247" s="210">
        <v>1450</v>
      </c>
      <c r="D247" s="349">
        <f t="shared" si="609"/>
        <v>5956.3580999999995</v>
      </c>
      <c r="E247" s="349">
        <f t="shared" si="610"/>
        <v>0</v>
      </c>
      <c r="F247" s="147">
        <f t="shared" si="611"/>
        <v>6.9197999999999995</v>
      </c>
      <c r="G247" s="147">
        <f t="shared" si="599"/>
        <v>32.108899999999998</v>
      </c>
      <c r="H247" s="147">
        <f t="shared" si="600"/>
        <v>32.108899999999998</v>
      </c>
      <c r="I247" s="147">
        <f t="shared" si="601"/>
        <v>21.000800000000002</v>
      </c>
      <c r="J247" s="156">
        <f t="shared" si="602"/>
        <v>21.000800000000002</v>
      </c>
      <c r="K247" s="349">
        <f t="shared" si="612"/>
        <v>372.5</v>
      </c>
      <c r="L247" s="355">
        <f t="shared" si="613"/>
        <v>10314</v>
      </c>
      <c r="M247" s="349">
        <f t="shared" si="614"/>
        <v>0</v>
      </c>
      <c r="N247" s="147">
        <f t="shared" si="628"/>
        <v>32</v>
      </c>
      <c r="O247" s="147">
        <f t="shared" si="615"/>
        <v>54</v>
      </c>
      <c r="P247" s="147">
        <f t="shared" si="616"/>
        <v>54</v>
      </c>
      <c r="Q247" s="147">
        <f t="shared" si="617"/>
        <v>117</v>
      </c>
      <c r="R247" s="147">
        <f t="shared" si="618"/>
        <v>117</v>
      </c>
      <c r="S247" s="349">
        <f>ROUNDUP(((K247+K246)*0.5)*(C247-C246)/9,0)</f>
        <v>2042</v>
      </c>
      <c r="T247" s="56"/>
      <c r="U247" s="151"/>
      <c r="V247" s="147"/>
      <c r="W247" s="147"/>
      <c r="X247" s="147"/>
      <c r="Y247" s="147"/>
      <c r="Z247" s="147"/>
      <c r="AA247" s="147"/>
      <c r="AB247" s="147"/>
      <c r="AC247" s="55"/>
      <c r="AD247" s="155">
        <f t="shared" si="627"/>
        <v>1450</v>
      </c>
      <c r="AE247" s="147">
        <v>5953.8567999999996</v>
      </c>
      <c r="AF247" s="147">
        <v>1.2522</v>
      </c>
      <c r="AG247" s="147">
        <v>1.2491000000000001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>
        <v>5.4341999999999997</v>
      </c>
      <c r="BG247" s="147">
        <v>1.4856</v>
      </c>
      <c r="BH247" s="147"/>
      <c r="BI247" s="147">
        <v>32.108899999999998</v>
      </c>
      <c r="BJ247" s="147"/>
      <c r="BK247" s="147"/>
      <c r="BL247" s="147">
        <f t="shared" si="650"/>
        <v>32.108899999999998</v>
      </c>
      <c r="BM247" s="147"/>
      <c r="BN247" s="147"/>
      <c r="BO247" s="147">
        <v>21.000800000000002</v>
      </c>
      <c r="BP247" s="147"/>
      <c r="BQ247" s="147">
        <f t="shared" si="651"/>
        <v>21.000800000000002</v>
      </c>
      <c r="BR247" s="147"/>
      <c r="BS247" s="147"/>
      <c r="BT247" s="147"/>
      <c r="BU247" s="147"/>
      <c r="BV247" s="266">
        <f>364.5+8</f>
        <v>372.5</v>
      </c>
      <c r="BW247" s="1">
        <f t="shared" si="604"/>
        <v>1450</v>
      </c>
    </row>
    <row r="248" spans="1:107" ht="15.75" thickBot="1" x14ac:dyDescent="0.3">
      <c r="A248" s="524"/>
      <c r="C248" s="121">
        <v>1476.01</v>
      </c>
      <c r="D248" s="347">
        <f t="shared" si="609"/>
        <v>1.8714999999999999</v>
      </c>
      <c r="E248" s="347">
        <f t="shared" si="610"/>
        <v>0</v>
      </c>
      <c r="F248" s="58">
        <f t="shared" si="611"/>
        <v>0</v>
      </c>
      <c r="G248" s="58">
        <f t="shared" si="599"/>
        <v>29.839099999999998</v>
      </c>
      <c r="H248" s="58">
        <f t="shared" si="600"/>
        <v>29.839099999999998</v>
      </c>
      <c r="I248" s="58">
        <f t="shared" si="601"/>
        <v>19.168399999999998</v>
      </c>
      <c r="J248" s="51">
        <f t="shared" si="602"/>
        <v>19.168399999999998</v>
      </c>
      <c r="K248" s="347">
        <f t="shared" si="612"/>
        <v>8</v>
      </c>
      <c r="L248" s="353">
        <f t="shared" si="613"/>
        <v>2870</v>
      </c>
      <c r="M248" s="347">
        <f t="shared" si="614"/>
        <v>0</v>
      </c>
      <c r="N248" s="58">
        <f t="shared" si="628"/>
        <v>4</v>
      </c>
      <c r="O248" s="58">
        <f t="shared" si="615"/>
        <v>30</v>
      </c>
      <c r="P248" s="58">
        <f t="shared" si="616"/>
        <v>30</v>
      </c>
      <c r="Q248" s="58">
        <f t="shared" si="617"/>
        <v>59</v>
      </c>
      <c r="R248" s="58">
        <f t="shared" si="618"/>
        <v>59</v>
      </c>
      <c r="S248" s="347">
        <f t="shared" si="619"/>
        <v>550</v>
      </c>
      <c r="T248" s="56"/>
      <c r="U248" s="255">
        <f>L247+L248</f>
        <v>13184</v>
      </c>
      <c r="V248" s="255">
        <f t="shared" ref="V248" si="652">M247+M248</f>
        <v>0</v>
      </c>
      <c r="W248" s="255">
        <f t="shared" ref="W248" si="653">N247+N248</f>
        <v>36</v>
      </c>
      <c r="X248" s="255">
        <f t="shared" ref="X248" si="654">O247+O248</f>
        <v>84</v>
      </c>
      <c r="Y248" s="255">
        <f t="shared" ref="Y248" si="655">P247+P248</f>
        <v>84</v>
      </c>
      <c r="Z248" s="255">
        <f t="shared" ref="Z248" si="656">Q247+Q248</f>
        <v>176</v>
      </c>
      <c r="AA248" s="255">
        <f t="shared" ref="AA248" si="657">R247+R248</f>
        <v>176</v>
      </c>
      <c r="AB248" s="255">
        <f t="shared" ref="AB248" si="658">S247+S248</f>
        <v>2592</v>
      </c>
      <c r="AC248" s="55"/>
      <c r="AD248" s="57">
        <f t="shared" si="627"/>
        <v>1476.01</v>
      </c>
      <c r="AE248" s="58">
        <v>0.78859999999999997</v>
      </c>
      <c r="AF248" s="58">
        <v>1.0829</v>
      </c>
      <c r="AG248" s="58"/>
      <c r="AH248" s="58"/>
      <c r="AI248" s="58"/>
      <c r="AJ248" s="58"/>
      <c r="AK248" s="58"/>
      <c r="AL248" s="58"/>
      <c r="AM248" s="58"/>
      <c r="AN248" s="58"/>
      <c r="AO248" s="58"/>
      <c r="AP248" s="58"/>
      <c r="AQ248" s="58"/>
      <c r="AR248" s="58"/>
      <c r="AS248" s="58"/>
      <c r="AT248" s="58"/>
      <c r="AU248" s="58"/>
      <c r="AV248" s="58"/>
      <c r="AW248" s="58"/>
      <c r="AX248" s="58"/>
      <c r="AY248" s="58"/>
      <c r="AZ248" s="58"/>
      <c r="BA248" s="58"/>
      <c r="BB248" s="58"/>
      <c r="BC248" s="58"/>
      <c r="BD248" s="58"/>
      <c r="BE248" s="58"/>
      <c r="BF248" s="58"/>
      <c r="BG248" s="58"/>
      <c r="BH248" s="207"/>
      <c r="BI248" s="58">
        <v>29.839099999999998</v>
      </c>
      <c r="BJ248" s="58"/>
      <c r="BK248" s="58"/>
      <c r="BL248" s="58">
        <f t="shared" ref="BL248" si="659">BI248</f>
        <v>29.839099999999998</v>
      </c>
      <c r="BM248" s="58"/>
      <c r="BN248" s="58"/>
      <c r="BO248" s="58">
        <v>19.168399999999998</v>
      </c>
      <c r="BP248" s="58"/>
      <c r="BQ248" s="58">
        <f t="shared" ref="BQ248" si="660">BO248</f>
        <v>19.168399999999998</v>
      </c>
      <c r="BR248" s="58"/>
      <c r="BS248" s="256"/>
      <c r="BT248" s="58"/>
      <c r="BU248" s="58"/>
      <c r="BV248" s="263">
        <v>8</v>
      </c>
      <c r="BW248" s="1">
        <f t="shared" si="604"/>
        <v>1476.01</v>
      </c>
    </row>
    <row r="249" spans="1:107" x14ac:dyDescent="0.25">
      <c r="A249" s="524"/>
      <c r="AD249" s="57"/>
      <c r="AE249" s="58"/>
      <c r="AF249" s="58"/>
      <c r="AG249" s="58"/>
      <c r="AH249" s="58"/>
      <c r="AI249" s="58"/>
      <c r="AJ249" s="58"/>
      <c r="AK249" s="58"/>
      <c r="AL249" s="58"/>
      <c r="AM249" s="58"/>
      <c r="AN249" s="58"/>
      <c r="AO249" s="58"/>
      <c r="AP249" s="58"/>
      <c r="AQ249" s="58"/>
      <c r="AR249" s="58"/>
      <c r="AS249" s="58"/>
      <c r="AT249" s="58"/>
      <c r="AU249" s="58"/>
      <c r="AV249" s="58"/>
      <c r="AW249" s="58"/>
      <c r="AX249" s="58"/>
      <c r="AY249" s="58"/>
      <c r="AZ249" s="58"/>
      <c r="BA249" s="58"/>
      <c r="BB249" s="58"/>
      <c r="BC249" s="58"/>
      <c r="BD249" s="58"/>
      <c r="BE249" s="58"/>
      <c r="BF249" s="58"/>
      <c r="BG249" s="58"/>
      <c r="BH249" s="207"/>
      <c r="BI249" s="58"/>
      <c r="BJ249" s="58"/>
      <c r="BK249" s="58"/>
      <c r="BL249" s="58"/>
      <c r="BM249" s="58"/>
      <c r="BN249" s="58"/>
      <c r="BO249" s="58"/>
      <c r="BP249" s="58"/>
      <c r="BQ249" s="58"/>
      <c r="BR249" s="58"/>
      <c r="BS249" s="256"/>
      <c r="BT249" s="58"/>
      <c r="BU249" s="58"/>
      <c r="BV249" s="263"/>
      <c r="BW249" s="1"/>
    </row>
    <row r="250" spans="1:107" ht="21.75" thickBot="1" x14ac:dyDescent="0.4">
      <c r="A250" s="524"/>
      <c r="L250" s="385">
        <f>SUM(L238:L248)</f>
        <v>51044</v>
      </c>
      <c r="M250" s="385">
        <f t="shared" ref="M250:S250" si="661">SUM(M238:M248)</f>
        <v>913</v>
      </c>
      <c r="N250" s="120">
        <f t="shared" si="661"/>
        <v>6958</v>
      </c>
      <c r="O250" s="120">
        <f t="shared" si="661"/>
        <v>108</v>
      </c>
      <c r="P250" s="120">
        <f t="shared" si="661"/>
        <v>108</v>
      </c>
      <c r="Q250" s="120">
        <f t="shared" si="661"/>
        <v>235</v>
      </c>
      <c r="R250" s="120">
        <f t="shared" si="661"/>
        <v>235</v>
      </c>
      <c r="S250" s="385">
        <f t="shared" si="661"/>
        <v>13375</v>
      </c>
      <c r="T250" s="120"/>
      <c r="U250" s="120">
        <f>SUM(U238:U248)</f>
        <v>51044</v>
      </c>
      <c r="V250" s="120">
        <f t="shared" ref="V250:AB250" si="662">SUM(V238:V248)</f>
        <v>913</v>
      </c>
      <c r="W250" s="120">
        <f t="shared" si="662"/>
        <v>6958</v>
      </c>
      <c r="X250" s="120">
        <f t="shared" si="662"/>
        <v>108</v>
      </c>
      <c r="Y250" s="120">
        <f t="shared" si="662"/>
        <v>108</v>
      </c>
      <c r="Z250" s="120">
        <f t="shared" si="662"/>
        <v>235</v>
      </c>
      <c r="AA250" s="120">
        <f t="shared" si="662"/>
        <v>235</v>
      </c>
      <c r="AB250" s="120">
        <f t="shared" si="662"/>
        <v>13375</v>
      </c>
      <c r="BI250" s="53"/>
      <c r="BJ250" s="53"/>
      <c r="BK250" s="53"/>
      <c r="BL250" s="53"/>
      <c r="BM250" s="53"/>
      <c r="BN250" s="53"/>
      <c r="BO250" s="53"/>
      <c r="BP250" s="53"/>
      <c r="BQ250" s="53"/>
      <c r="BR250" s="53"/>
      <c r="BW250" s="1"/>
      <c r="BX250" s="3"/>
      <c r="BY250" s="3"/>
    </row>
    <row r="251" spans="1:107" x14ac:dyDescent="0.25">
      <c r="A251" s="524"/>
      <c r="BW251" s="1"/>
    </row>
    <row r="252" spans="1:107" x14ac:dyDescent="0.25">
      <c r="A252" s="524"/>
    </row>
    <row r="254" spans="1:107" x14ac:dyDescent="0.25">
      <c r="BW254" s="1"/>
    </row>
    <row r="255" spans="1:107" x14ac:dyDescent="0.25">
      <c r="BW255" s="1"/>
    </row>
    <row r="256" spans="1:107" x14ac:dyDescent="0.25">
      <c r="BW256" s="1"/>
    </row>
    <row r="257" spans="1:107" ht="15.75" thickBot="1" x14ac:dyDescent="0.3">
      <c r="C257" s="57"/>
      <c r="D257" s="360"/>
      <c r="E257" s="360"/>
      <c r="F257" s="75"/>
      <c r="G257" s="75"/>
      <c r="H257" s="75"/>
      <c r="I257" s="75"/>
      <c r="J257" s="75"/>
      <c r="K257" s="373"/>
      <c r="L257" s="384"/>
      <c r="M257" s="360"/>
      <c r="N257" s="75"/>
      <c r="O257" s="75"/>
      <c r="P257" s="75"/>
      <c r="Q257" s="75"/>
      <c r="R257" s="75"/>
      <c r="S257" s="360"/>
      <c r="T257" s="4"/>
      <c r="U257" s="104"/>
      <c r="V257" s="75"/>
      <c r="W257" s="75"/>
      <c r="X257" s="75"/>
      <c r="Y257" s="75"/>
      <c r="Z257" s="75"/>
      <c r="AA257" s="75"/>
      <c r="AB257" s="75"/>
      <c r="AC257" s="55"/>
      <c r="AD257" s="49"/>
      <c r="AE257" s="78"/>
      <c r="AF257" s="78"/>
      <c r="AG257" s="78"/>
      <c r="AH257" s="78"/>
      <c r="AI257" s="78"/>
      <c r="AJ257" s="78"/>
      <c r="AK257" s="78"/>
      <c r="AL257" s="78"/>
      <c r="AM257" s="78"/>
      <c r="AN257" s="78"/>
      <c r="AO257" s="78"/>
      <c r="AP257" s="78"/>
      <c r="AQ257" s="78"/>
      <c r="AR257" s="78"/>
      <c r="AS257" s="78"/>
      <c r="AT257" s="78"/>
      <c r="AU257" s="78"/>
      <c r="AV257" s="78"/>
      <c r="AW257" s="78"/>
      <c r="AX257" s="78"/>
      <c r="AY257" s="78"/>
      <c r="AZ257" s="78"/>
      <c r="BA257" s="78"/>
      <c r="BB257" s="78"/>
      <c r="BC257" s="78"/>
      <c r="BD257" s="78"/>
      <c r="BE257" s="78"/>
      <c r="BF257" s="78"/>
      <c r="BG257" s="78"/>
      <c r="BH257" s="78"/>
      <c r="BI257" s="78"/>
      <c r="BJ257" s="78"/>
      <c r="BK257" s="78"/>
      <c r="BL257" s="78"/>
      <c r="BM257" s="78"/>
      <c r="BN257" s="78"/>
      <c r="BO257" s="78"/>
      <c r="BP257" s="78"/>
      <c r="BQ257" s="78"/>
      <c r="BR257" s="78"/>
      <c r="BS257" s="49"/>
      <c r="BT257" s="49"/>
      <c r="BU257" s="49"/>
      <c r="BV257" s="263"/>
      <c r="BW257" s="1"/>
    </row>
    <row r="258" spans="1:107" s="2" customFormat="1" ht="15" customHeight="1" x14ac:dyDescent="0.25">
      <c r="A258" s="523" t="s">
        <v>68</v>
      </c>
      <c r="B258" s="125"/>
      <c r="C258" s="121">
        <v>1018.28</v>
      </c>
      <c r="D258" s="347">
        <f>SUM(AE258:AU258)</f>
        <v>0</v>
      </c>
      <c r="E258" s="347">
        <f>SUM(AV258:BD258)</f>
        <v>666.80359999999996</v>
      </c>
      <c r="F258" s="58">
        <f>SUM(BF258:BH258)</f>
        <v>0</v>
      </c>
      <c r="G258" s="58">
        <f t="shared" ref="G258:G274" si="663">SUM(BI258:BK258)</f>
        <v>0</v>
      </c>
      <c r="H258" s="58">
        <f t="shared" ref="H258:H274" si="664">SUM(BL258:BN258)</f>
        <v>0</v>
      </c>
      <c r="I258" s="58">
        <f t="shared" ref="I258:I274" si="665">SUM(BO258:BP258)</f>
        <v>0</v>
      </c>
      <c r="J258" s="51">
        <f t="shared" ref="J258:J274" si="666">BQ258+BR258</f>
        <v>0</v>
      </c>
      <c r="K258" s="347">
        <f>SUM(BS258:BV258)</f>
        <v>0</v>
      </c>
      <c r="L258" s="353"/>
      <c r="M258" s="347"/>
      <c r="N258" s="58"/>
      <c r="O258" s="58"/>
      <c r="P258" s="58"/>
      <c r="Q258" s="58"/>
      <c r="R258" s="58"/>
      <c r="S258" s="347"/>
      <c r="T258" s="56"/>
      <c r="U258" s="105"/>
      <c r="V258" s="58"/>
      <c r="W258" s="58"/>
      <c r="X258" s="58"/>
      <c r="Y258" s="58"/>
      <c r="Z258" s="58"/>
      <c r="AA258" s="58"/>
      <c r="AB258" s="58"/>
      <c r="AC258" s="55"/>
      <c r="AD258" s="57">
        <f t="shared" ref="AD258:AD263" si="667">C258</f>
        <v>1018.28</v>
      </c>
      <c r="AE258" s="58"/>
      <c r="AF258" s="58"/>
      <c r="AG258" s="58"/>
      <c r="AH258" s="58"/>
      <c r="AI258" s="58"/>
      <c r="AJ258" s="58"/>
      <c r="AK258" s="58"/>
      <c r="AL258" s="58"/>
      <c r="AM258" s="58"/>
      <c r="AN258" s="58"/>
      <c r="AO258" s="58"/>
      <c r="AP258" s="58"/>
      <c r="AQ258" s="58"/>
      <c r="AR258" s="58"/>
      <c r="AS258" s="58"/>
      <c r="AT258" s="58"/>
      <c r="AU258" s="58"/>
      <c r="AV258" s="58">
        <v>666.80359999999996</v>
      </c>
      <c r="AW258" s="58"/>
      <c r="AX258" s="58"/>
      <c r="AY258" s="58"/>
      <c r="AZ258" s="58"/>
      <c r="BA258" s="58"/>
      <c r="BB258" s="58"/>
      <c r="BC258" s="58"/>
      <c r="BD258" s="58"/>
      <c r="BE258" s="58"/>
      <c r="BF258" s="58"/>
      <c r="BG258" s="58"/>
      <c r="BH258" s="58"/>
      <c r="BI258" s="58"/>
      <c r="BJ258" s="58"/>
      <c r="BK258" s="58"/>
      <c r="BL258" s="58"/>
      <c r="BM258" s="58"/>
      <c r="BN258" s="58"/>
      <c r="BO258" s="58"/>
      <c r="BP258" s="58"/>
      <c r="BQ258" s="58"/>
      <c r="BR258" s="58"/>
      <c r="BS258" s="58"/>
      <c r="BT258" s="58"/>
      <c r="BU258" s="58"/>
      <c r="BV258" s="263">
        <v>0</v>
      </c>
      <c r="BW258" s="1">
        <f t="shared" ref="BW258:BW274" si="668">C258</f>
        <v>1018.28</v>
      </c>
      <c r="BX258" t="s">
        <v>96</v>
      </c>
      <c r="BY258">
        <v>0</v>
      </c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 s="41"/>
    </row>
    <row r="259" spans="1:107" x14ac:dyDescent="0.25">
      <c r="A259" s="524"/>
      <c r="B259" s="125"/>
      <c r="C259" s="121">
        <v>1050</v>
      </c>
      <c r="D259" s="347">
        <f t="shared" ref="D259" si="669">SUM(AE259:AU259)</f>
        <v>137.89150000000001</v>
      </c>
      <c r="E259" s="347">
        <f t="shared" ref="E259:E263" si="670">SUM(AV259:BD259)</f>
        <v>144.8133</v>
      </c>
      <c r="F259" s="58">
        <f t="shared" ref="F259:F263" si="671">SUM(BF259:BH259)</f>
        <v>0</v>
      </c>
      <c r="G259" s="58">
        <f t="shared" si="663"/>
        <v>0</v>
      </c>
      <c r="H259" s="58">
        <f t="shared" si="664"/>
        <v>0</v>
      </c>
      <c r="I259" s="58">
        <f t="shared" si="665"/>
        <v>0</v>
      </c>
      <c r="J259" s="51">
        <f t="shared" si="666"/>
        <v>0</v>
      </c>
      <c r="K259" s="347">
        <f t="shared" ref="K259:K263" si="672">SUM(BS259:BV259)</f>
        <v>94.2</v>
      </c>
      <c r="L259" s="353">
        <f>ROUNDUP(((D258+D259)*0.5)*(C259-C258)/27,0)</f>
        <v>81</v>
      </c>
      <c r="M259" s="347">
        <f>ROUNDUP(((E258+E259)*0.5)*(C259-C258)/27,0)</f>
        <v>477</v>
      </c>
      <c r="N259" s="58">
        <f>ROUNDUP(((F258+F259)*0.5)*(C259-C258)/27,0)</f>
        <v>0</v>
      </c>
      <c r="O259" s="58">
        <f>ROUNDUP(((G259+G258)*0.5)*(C259-C258)/27,0)</f>
        <v>0</v>
      </c>
      <c r="P259" s="58">
        <f>ROUNDUP(((H259+H258)*0.5)*(C259-C258)/27,0)</f>
        <v>0</v>
      </c>
      <c r="Q259" s="58">
        <f>ROUNDUP(((I259+I258)*0.5)*(C259-C258)/9,0)</f>
        <v>0</v>
      </c>
      <c r="R259" s="58">
        <f>ROUNDUP(((J259+J258)*0.5)*(C259-C258)/9,0)</f>
        <v>0</v>
      </c>
      <c r="S259" s="347">
        <f>ROUNDUP(((K259+K258)*0.5)*(C259-C258)/9,0)</f>
        <v>167</v>
      </c>
      <c r="T259" s="56"/>
      <c r="U259" s="105"/>
      <c r="V259" s="58"/>
      <c r="W259" s="58"/>
      <c r="X259" s="58"/>
      <c r="Y259" s="58"/>
      <c r="Z259" s="58"/>
      <c r="AA259" s="58"/>
      <c r="AB259" s="58"/>
      <c r="AC259" s="55"/>
      <c r="AD259" s="57">
        <f>C259</f>
        <v>1050</v>
      </c>
      <c r="AE259" s="58">
        <v>136.9641</v>
      </c>
      <c r="AF259" s="58">
        <v>0.9274</v>
      </c>
      <c r="AG259" s="58"/>
      <c r="AH259" s="58"/>
      <c r="AI259" s="58"/>
      <c r="AJ259" s="58"/>
      <c r="AK259" s="58"/>
      <c r="AL259" s="58"/>
      <c r="AM259" s="58"/>
      <c r="AN259" s="58"/>
      <c r="AO259" s="58"/>
      <c r="AP259" s="58"/>
      <c r="AQ259" s="58"/>
      <c r="AR259" s="58"/>
      <c r="AS259" s="58"/>
      <c r="AT259" s="58"/>
      <c r="AU259" s="58"/>
      <c r="AV259" s="58">
        <v>144.8133</v>
      </c>
      <c r="AW259" s="58"/>
      <c r="AX259" s="58"/>
      <c r="AY259" s="58"/>
      <c r="AZ259" s="58"/>
      <c r="BA259" s="58"/>
      <c r="BB259" s="58"/>
      <c r="BC259" s="58"/>
      <c r="BD259" s="58"/>
      <c r="BE259" s="58"/>
      <c r="BF259" s="58"/>
      <c r="BG259" s="58"/>
      <c r="BH259" s="58"/>
      <c r="BI259" s="58"/>
      <c r="BJ259" s="58"/>
      <c r="BK259" s="58"/>
      <c r="BL259" s="58"/>
      <c r="BM259" s="58"/>
      <c r="BN259" s="58"/>
      <c r="BO259" s="58"/>
      <c r="BP259" s="58"/>
      <c r="BQ259" s="58"/>
      <c r="BR259" s="58"/>
      <c r="BS259" s="58"/>
      <c r="BT259" s="58"/>
      <c r="BU259" s="58"/>
      <c r="BV259" s="263">
        <v>94.2</v>
      </c>
      <c r="BW259" s="1">
        <f t="shared" si="668"/>
        <v>1050</v>
      </c>
      <c r="BX259" t="s">
        <v>95</v>
      </c>
      <c r="BY259">
        <v>94.2</v>
      </c>
    </row>
    <row r="260" spans="1:107" s="3" customFormat="1" ht="15.75" thickBot="1" x14ac:dyDescent="0.3">
      <c r="A260" s="524"/>
      <c r="B260" s="125"/>
      <c r="C260" s="121">
        <v>1100</v>
      </c>
      <c r="D260" s="347">
        <f t="shared" ref="D260:D263" si="673">SUM(AE260:AU260)</f>
        <v>865.45929999999998</v>
      </c>
      <c r="E260" s="347">
        <f t="shared" si="670"/>
        <v>0</v>
      </c>
      <c r="F260" s="58">
        <f t="shared" si="671"/>
        <v>0</v>
      </c>
      <c r="G260" s="58">
        <f t="shared" si="663"/>
        <v>0</v>
      </c>
      <c r="H260" s="58">
        <f t="shared" si="664"/>
        <v>0</v>
      </c>
      <c r="I260" s="58">
        <f t="shared" si="665"/>
        <v>0</v>
      </c>
      <c r="J260" s="51">
        <f t="shared" si="666"/>
        <v>0</v>
      </c>
      <c r="K260" s="347">
        <f t="shared" si="672"/>
        <v>143.19999999999999</v>
      </c>
      <c r="L260" s="353">
        <f>ROUNDUP(((D259+D260)*0.5)*(C260-C259)/27,0)</f>
        <v>930</v>
      </c>
      <c r="M260" s="347">
        <f>ROUNDUP(((E259+E260)*0.5)*(C260-C259)/27,0)</f>
        <v>135</v>
      </c>
      <c r="N260" s="58">
        <f>ROUNDUP(((F259+F260)*0.5)*(C260-C259)/27,0)</f>
        <v>0</v>
      </c>
      <c r="O260" s="58">
        <f>ROUNDUP(((G260+G259)*0.5)*(C260-C259)/27,0)</f>
        <v>0</v>
      </c>
      <c r="P260" s="58">
        <f>ROUNDUP(((H260+H259)*0.5)*(C260-C259)/27,0)</f>
        <v>0</v>
      </c>
      <c r="Q260" s="58">
        <f>ROUNDUP(((I260+I259)*0.5)*(C260-C259)/9,0)</f>
        <v>0</v>
      </c>
      <c r="R260" s="58">
        <f>ROUNDUP(((J260+J259)*0.5)*(C260-C259)/9,0)</f>
        <v>0</v>
      </c>
      <c r="S260" s="347">
        <f>ROUNDUP(((K260+K259)*0.5)*(C260-C259)/9,0)</f>
        <v>660</v>
      </c>
      <c r="T260" s="56"/>
      <c r="U260" s="105"/>
      <c r="V260" s="58"/>
      <c r="W260" s="58"/>
      <c r="X260" s="58"/>
      <c r="Y260" s="58"/>
      <c r="Z260" s="58"/>
      <c r="AA260" s="58"/>
      <c r="AB260" s="58"/>
      <c r="AC260" s="55"/>
      <c r="AD260" s="57">
        <f>C260</f>
        <v>1100</v>
      </c>
      <c r="AE260" s="58">
        <v>865.45929999999998</v>
      </c>
      <c r="AF260" s="58"/>
      <c r="AG260" s="58"/>
      <c r="AH260" s="58"/>
      <c r="AI260" s="58"/>
      <c r="AJ260" s="58"/>
      <c r="AK260" s="58"/>
      <c r="AL260" s="58"/>
      <c r="AM260" s="58"/>
      <c r="AN260" s="58"/>
      <c r="AO260" s="58"/>
      <c r="AP260" s="58"/>
      <c r="AQ260" s="58"/>
      <c r="AR260" s="58"/>
      <c r="AS260" s="58"/>
      <c r="AT260" s="58"/>
      <c r="AU260" s="58"/>
      <c r="AV260" s="58"/>
      <c r="AW260" s="58"/>
      <c r="AX260" s="58"/>
      <c r="AY260" s="58"/>
      <c r="AZ260" s="58"/>
      <c r="BA260" s="58"/>
      <c r="BB260" s="58"/>
      <c r="BC260" s="58"/>
      <c r="BD260" s="58"/>
      <c r="BE260" s="58"/>
      <c r="BF260" s="58"/>
      <c r="BG260" s="58"/>
      <c r="BH260" s="58"/>
      <c r="BI260" s="58"/>
      <c r="BJ260" s="58"/>
      <c r="BK260" s="58"/>
      <c r="BL260" s="58"/>
      <c r="BM260" s="58"/>
      <c r="BN260" s="58"/>
      <c r="BO260" s="58"/>
      <c r="BP260" s="58"/>
      <c r="BQ260" s="58"/>
      <c r="BR260" s="58"/>
      <c r="BS260" s="58"/>
      <c r="BT260" s="58"/>
      <c r="BU260" s="58"/>
      <c r="BV260" s="263">
        <f>135.2+8</f>
        <v>143.19999999999999</v>
      </c>
      <c r="BW260" s="1">
        <f t="shared" si="668"/>
        <v>1100</v>
      </c>
      <c r="BX260" t="s">
        <v>80</v>
      </c>
      <c r="BY260">
        <v>135.19999999999999</v>
      </c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</row>
    <row r="261" spans="1:107" s="168" customFormat="1" ht="15.75" thickBot="1" x14ac:dyDescent="0.3">
      <c r="A261" s="524"/>
      <c r="B261" s="211"/>
      <c r="C261" s="212">
        <v>1150</v>
      </c>
      <c r="D261" s="348">
        <f t="shared" si="673"/>
        <v>1697.3706999999999</v>
      </c>
      <c r="E261" s="348">
        <f t="shared" si="670"/>
        <v>0</v>
      </c>
      <c r="F261" s="144">
        <f t="shared" si="671"/>
        <v>0</v>
      </c>
      <c r="G261" s="144">
        <f t="shared" si="663"/>
        <v>0</v>
      </c>
      <c r="H261" s="144">
        <f t="shared" si="664"/>
        <v>0</v>
      </c>
      <c r="I261" s="144">
        <f t="shared" si="665"/>
        <v>0</v>
      </c>
      <c r="J261" s="159">
        <f t="shared" si="666"/>
        <v>0</v>
      </c>
      <c r="K261" s="348">
        <f t="shared" si="672"/>
        <v>216.6</v>
      </c>
      <c r="L261" s="354">
        <f>ROUNDUP(((D260+D261)*0.5)*(C261-C260)/27,0)</f>
        <v>2373</v>
      </c>
      <c r="M261" s="348">
        <f>ROUNDUP(((E260+E261)*0.5)*(C261-C260)/27,0)</f>
        <v>0</v>
      </c>
      <c r="N261" s="144">
        <f>ROUNDUP(((F260+F261)*0.5)*(C261-C260)/27,0)</f>
        <v>0</v>
      </c>
      <c r="O261" s="144">
        <f>ROUNDUP(((G261+G260)*0.5)*(C261-C260)/27,0)</f>
        <v>0</v>
      </c>
      <c r="P261" s="144">
        <f>ROUNDUP(((H261+H260)*0.5)*(C261-C260)/27,0)</f>
        <v>0</v>
      </c>
      <c r="Q261" s="144">
        <f>ROUNDUP(((I261+I260)*0.5)*(C261-C260)/9,0)</f>
        <v>0</v>
      </c>
      <c r="R261" s="144">
        <f>ROUNDUP(((J261+J260)*0.5)*(C261-C260)/9,0)</f>
        <v>0</v>
      </c>
      <c r="S261" s="348">
        <f>ROUNDUP(((K261+K260)*0.5)*(C261-C260)/9,0)</f>
        <v>1000</v>
      </c>
      <c r="T261" s="154"/>
      <c r="U261" s="255">
        <f>L258+L259+L260+L261</f>
        <v>3384</v>
      </c>
      <c r="V261" s="255">
        <f t="shared" ref="V261" si="674">M258+M259+M260+M261</f>
        <v>612</v>
      </c>
      <c r="W261" s="255">
        <f t="shared" ref="W261" si="675">N258+N259+N260+N261</f>
        <v>0</v>
      </c>
      <c r="X261" s="255">
        <f t="shared" ref="X261" si="676">O258+O259+O260+O261</f>
        <v>0</v>
      </c>
      <c r="Y261" s="255">
        <f t="shared" ref="Y261" si="677">P258+P259+P260+P261</f>
        <v>0</v>
      </c>
      <c r="Z261" s="255">
        <f t="shared" ref="Z261" si="678">Q258+Q259+Q260+Q261</f>
        <v>0</v>
      </c>
      <c r="AA261" s="255">
        <f t="shared" ref="AA261" si="679">R258+R259+R260+R261</f>
        <v>0</v>
      </c>
      <c r="AB261" s="255">
        <f t="shared" ref="AB261" si="680">S258+S259+S260+S261</f>
        <v>1827</v>
      </c>
      <c r="AC261" s="153"/>
      <c r="AD261" s="158">
        <f t="shared" si="667"/>
        <v>1150</v>
      </c>
      <c r="AE261" s="144">
        <v>1697.3706999999999</v>
      </c>
      <c r="AF261" s="144"/>
      <c r="AG261" s="144"/>
      <c r="AH261" s="144"/>
      <c r="AI261" s="144"/>
      <c r="AJ261" s="144"/>
      <c r="AK261" s="144"/>
      <c r="AL261" s="144"/>
      <c r="AM261" s="144"/>
      <c r="AN261" s="144"/>
      <c r="AO261" s="144"/>
      <c r="AP261" s="144"/>
      <c r="AQ261" s="144"/>
      <c r="AR261" s="144"/>
      <c r="AS261" s="144"/>
      <c r="AT261" s="144"/>
      <c r="AU261" s="144"/>
      <c r="AV261" s="144"/>
      <c r="AW261" s="144"/>
      <c r="AX261" s="144"/>
      <c r="AY261" s="144"/>
      <c r="AZ261" s="144"/>
      <c r="BA261" s="144"/>
      <c r="BB261" s="144"/>
      <c r="BC261" s="144"/>
      <c r="BD261" s="144"/>
      <c r="BE261" s="144"/>
      <c r="BF261" s="144"/>
      <c r="BG261" s="144"/>
      <c r="BH261" s="144"/>
      <c r="BI261" s="144"/>
      <c r="BJ261" s="144"/>
      <c r="BK261" s="144"/>
      <c r="BL261" s="144"/>
      <c r="BM261" s="144"/>
      <c r="BN261" s="144"/>
      <c r="BO261" s="144"/>
      <c r="BP261" s="144"/>
      <c r="BQ261" s="144"/>
      <c r="BR261" s="144"/>
      <c r="BS261" s="144"/>
      <c r="BT261" s="144"/>
      <c r="BU261" s="144"/>
      <c r="BV261" s="265">
        <f>208.6+8</f>
        <v>216.6</v>
      </c>
      <c r="BW261" s="1">
        <f t="shared" si="668"/>
        <v>1150</v>
      </c>
      <c r="BX261" t="s">
        <v>81</v>
      </c>
      <c r="BY261">
        <v>208.6</v>
      </c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167"/>
    </row>
    <row r="262" spans="1:107" s="2" customFormat="1" x14ac:dyDescent="0.25">
      <c r="A262" s="524"/>
      <c r="B262" s="125"/>
      <c r="C262" s="210">
        <v>1200</v>
      </c>
      <c r="D262" s="349">
        <f t="shared" si="673"/>
        <v>1412.6061</v>
      </c>
      <c r="E262" s="349">
        <f t="shared" si="670"/>
        <v>0</v>
      </c>
      <c r="F262" s="147">
        <f t="shared" si="671"/>
        <v>0</v>
      </c>
      <c r="G262" s="147">
        <f t="shared" si="663"/>
        <v>0</v>
      </c>
      <c r="H262" s="147">
        <f t="shared" si="664"/>
        <v>0</v>
      </c>
      <c r="I262" s="147">
        <f t="shared" si="665"/>
        <v>0</v>
      </c>
      <c r="J262" s="156">
        <f t="shared" si="666"/>
        <v>0</v>
      </c>
      <c r="K262" s="349">
        <f t="shared" si="672"/>
        <v>235.4</v>
      </c>
      <c r="L262" s="355">
        <f t="shared" ref="L262:L263" si="681">ROUNDUP(((D261+D262)*0.5)*(C262-C261)/27,0)</f>
        <v>2880</v>
      </c>
      <c r="M262" s="349">
        <f t="shared" ref="M262:M263" si="682">ROUNDUP(((E261+E262)*0.5)*(C262-C261)/27,0)</f>
        <v>0</v>
      </c>
      <c r="N262" s="147">
        <f t="shared" ref="N262:N263" si="683">ROUNDUP(((F261+F262)*0.5)*(C262-C261)/27,0)</f>
        <v>0</v>
      </c>
      <c r="O262" s="147">
        <f t="shared" ref="O262:O263" si="684">ROUNDUP(((G262+G261)*0.5)*(C262-C261)/27,0)</f>
        <v>0</v>
      </c>
      <c r="P262" s="147">
        <f t="shared" ref="P262:P263" si="685">ROUNDUP(((H262+H261)*0.5)*(C262-C261)/27,0)</f>
        <v>0</v>
      </c>
      <c r="Q262" s="147">
        <f t="shared" ref="Q262:Q263" si="686">ROUNDUP(((I262+I261)*0.5)*(C262-C261)/9,0)</f>
        <v>0</v>
      </c>
      <c r="R262" s="147">
        <f t="shared" ref="R262:R263" si="687">ROUNDUP(((J262+J261)*0.5)*(C262-C261)/9,0)</f>
        <v>0</v>
      </c>
      <c r="S262" s="349">
        <f t="shared" ref="S262:S263" si="688">ROUNDUP(((K262+K261)*0.5)*(C262-C261)/9,0)</f>
        <v>1256</v>
      </c>
      <c r="T262" s="56"/>
      <c r="U262" s="151"/>
      <c r="V262" s="147"/>
      <c r="W262" s="147"/>
      <c r="X262" s="147"/>
      <c r="Y262" s="147"/>
      <c r="Z262" s="147"/>
      <c r="AA262" s="147"/>
      <c r="AB262" s="147"/>
      <c r="AC262" s="55"/>
      <c r="AD262" s="155">
        <f t="shared" si="667"/>
        <v>1200</v>
      </c>
      <c r="AE262" s="147">
        <v>1412.6061</v>
      </c>
      <c r="AF262" s="147"/>
      <c r="AG262" s="147"/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  <c r="BI262" s="147"/>
      <c r="BJ262" s="147"/>
      <c r="BK262" s="147"/>
      <c r="BL262" s="147"/>
      <c r="BM262" s="147"/>
      <c r="BN262" s="147"/>
      <c r="BO262" s="147"/>
      <c r="BP262" s="147"/>
      <c r="BQ262" s="147"/>
      <c r="BR262" s="147"/>
      <c r="BS262" s="147"/>
      <c r="BT262" s="147"/>
      <c r="BU262" s="147"/>
      <c r="BV262" s="266">
        <f>227.4+8</f>
        <v>235.4</v>
      </c>
      <c r="BW262" s="1">
        <f t="shared" si="668"/>
        <v>1200</v>
      </c>
      <c r="BX262" t="s">
        <v>82</v>
      </c>
      <c r="BY262">
        <v>227.4</v>
      </c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 s="41"/>
    </row>
    <row r="263" spans="1:107" x14ac:dyDescent="0.25">
      <c r="A263" s="524"/>
      <c r="B263" s="125"/>
      <c r="C263" s="121">
        <v>1250</v>
      </c>
      <c r="D263" s="347">
        <f t="shared" si="673"/>
        <v>602.47730000000001</v>
      </c>
      <c r="E263" s="347">
        <f t="shared" si="670"/>
        <v>0</v>
      </c>
      <c r="F263" s="58">
        <f t="shared" si="671"/>
        <v>0</v>
      </c>
      <c r="G263" s="58">
        <f t="shared" si="663"/>
        <v>0</v>
      </c>
      <c r="H263" s="58">
        <f t="shared" si="664"/>
        <v>0</v>
      </c>
      <c r="I263" s="58">
        <f t="shared" si="665"/>
        <v>0</v>
      </c>
      <c r="J263" s="51">
        <f t="shared" si="666"/>
        <v>0</v>
      </c>
      <c r="K263" s="347">
        <f t="shared" si="672"/>
        <v>173.9</v>
      </c>
      <c r="L263" s="353">
        <f t="shared" si="681"/>
        <v>1866</v>
      </c>
      <c r="M263" s="347">
        <f t="shared" si="682"/>
        <v>0</v>
      </c>
      <c r="N263" s="58">
        <f t="shared" si="683"/>
        <v>0</v>
      </c>
      <c r="O263" s="58">
        <f t="shared" si="684"/>
        <v>0</v>
      </c>
      <c r="P263" s="58">
        <f t="shared" si="685"/>
        <v>0</v>
      </c>
      <c r="Q263" s="58">
        <f t="shared" si="686"/>
        <v>0</v>
      </c>
      <c r="R263" s="58">
        <f t="shared" si="687"/>
        <v>0</v>
      </c>
      <c r="S263" s="347">
        <f t="shared" si="688"/>
        <v>1137</v>
      </c>
      <c r="T263" s="56"/>
      <c r="U263" s="105"/>
      <c r="V263" s="58"/>
      <c r="W263" s="58"/>
      <c r="X263" s="58"/>
      <c r="Y263" s="58"/>
      <c r="Z263" s="58"/>
      <c r="AA263" s="58"/>
      <c r="AB263" s="58"/>
      <c r="AC263" s="55"/>
      <c r="AD263" s="57">
        <f t="shared" si="667"/>
        <v>1250</v>
      </c>
      <c r="AE263" s="58">
        <v>602.47730000000001</v>
      </c>
      <c r="AF263" s="58"/>
      <c r="AG263" s="58"/>
      <c r="AH263" s="58"/>
      <c r="AI263" s="58"/>
      <c r="AJ263" s="58"/>
      <c r="AK263" s="58"/>
      <c r="AL263" s="58"/>
      <c r="AM263" s="58"/>
      <c r="AN263" s="58"/>
      <c r="AO263" s="58"/>
      <c r="AP263" s="58"/>
      <c r="AQ263" s="58"/>
      <c r="AR263" s="58"/>
      <c r="AS263" s="58"/>
      <c r="AT263" s="58"/>
      <c r="AU263" s="58"/>
      <c r="AV263" s="58"/>
      <c r="AW263" s="58"/>
      <c r="AX263" s="58"/>
      <c r="AY263" s="58"/>
      <c r="AZ263" s="58"/>
      <c r="BA263" s="58"/>
      <c r="BB263" s="58"/>
      <c r="BC263" s="58"/>
      <c r="BD263" s="58"/>
      <c r="BE263" s="58"/>
      <c r="BF263" s="58"/>
      <c r="BG263" s="58"/>
      <c r="BH263" s="58"/>
      <c r="BI263" s="58"/>
      <c r="BJ263" s="58"/>
      <c r="BK263" s="58"/>
      <c r="BL263" s="58"/>
      <c r="BM263" s="58"/>
      <c r="BN263" s="58"/>
      <c r="BO263" s="58"/>
      <c r="BP263" s="58"/>
      <c r="BQ263" s="58"/>
      <c r="BR263" s="58"/>
      <c r="BS263" s="58"/>
      <c r="BT263" s="58"/>
      <c r="BU263" s="58"/>
      <c r="BV263" s="263">
        <f>169.9+4</f>
        <v>173.9</v>
      </c>
      <c r="BW263" s="1">
        <f t="shared" si="668"/>
        <v>1250</v>
      </c>
      <c r="BX263" t="s">
        <v>83</v>
      </c>
      <c r="BY263">
        <v>169.9</v>
      </c>
    </row>
    <row r="264" spans="1:107" s="3" customFormat="1" ht="15.75" thickBot="1" x14ac:dyDescent="0.3">
      <c r="A264" s="524"/>
      <c r="B264" s="211"/>
      <c r="C264" s="212">
        <v>1300</v>
      </c>
      <c r="D264" s="348">
        <f t="shared" ref="D264:D274" si="689">SUM(AE264:AU264)</f>
        <v>499.07209999999998</v>
      </c>
      <c r="E264" s="348">
        <f t="shared" ref="E264:E274" si="690">SUM(AV264:BD264)</f>
        <v>0</v>
      </c>
      <c r="F264" s="144">
        <f t="shared" ref="F264:F274" si="691">SUM(BF264:BH264)</f>
        <v>0</v>
      </c>
      <c r="G264" s="144">
        <f t="shared" si="663"/>
        <v>0</v>
      </c>
      <c r="H264" s="144">
        <f t="shared" si="664"/>
        <v>0</v>
      </c>
      <c r="I264" s="144">
        <f t="shared" si="665"/>
        <v>0</v>
      </c>
      <c r="J264" s="159">
        <f t="shared" si="666"/>
        <v>0</v>
      </c>
      <c r="K264" s="348">
        <f t="shared" ref="K264:K274" si="692">SUM(BS264:BV264)</f>
        <v>171.3</v>
      </c>
      <c r="L264" s="354">
        <f t="shared" ref="L264:L274" si="693">ROUNDUP(((D263+D264)*0.5)*(C264-C263)/27,0)</f>
        <v>1020</v>
      </c>
      <c r="M264" s="348">
        <f t="shared" ref="M264:M274" si="694">ROUNDUP(((E263+E264)*0.5)*(C264-C263)/27,0)</f>
        <v>0</v>
      </c>
      <c r="N264" s="144">
        <f t="shared" ref="N264:N274" si="695">ROUNDUP(((F263+F264)*0.5)*(C264-C263)/27,0)</f>
        <v>0</v>
      </c>
      <c r="O264" s="144">
        <f t="shared" ref="O264:O274" si="696">ROUNDUP(((G264+G263)*0.5)*(C264-C263)/27,0)</f>
        <v>0</v>
      </c>
      <c r="P264" s="144">
        <f t="shared" ref="P264:P274" si="697">ROUNDUP(((H264+H263)*0.5)*(C264-C263)/27,0)</f>
        <v>0</v>
      </c>
      <c r="Q264" s="144">
        <f t="shared" ref="Q264:Q274" si="698">ROUNDUP(((I264+I263)*0.5)*(C264-C263)/9,0)</f>
        <v>0</v>
      </c>
      <c r="R264" s="144">
        <f t="shared" ref="R264:R274" si="699">ROUNDUP(((J264+J263)*0.5)*(C264-C263)/9,0)</f>
        <v>0</v>
      </c>
      <c r="S264" s="348">
        <f t="shared" ref="S264:S274" si="700">ROUNDUP(((K264+K263)*0.5)*(C264-C263)/9,0)</f>
        <v>959</v>
      </c>
      <c r="T264" s="154"/>
      <c r="U264" s="255">
        <f>L262+L263+L264</f>
        <v>5766</v>
      </c>
      <c r="V264" s="255">
        <f t="shared" ref="V264" si="701">M262+M263+M264</f>
        <v>0</v>
      </c>
      <c r="W264" s="255">
        <f t="shared" ref="W264" si="702">N262+N263+N264</f>
        <v>0</v>
      </c>
      <c r="X264" s="255">
        <f t="shared" ref="X264" si="703">O262+O263+O264</f>
        <v>0</v>
      </c>
      <c r="Y264" s="255">
        <f t="shared" ref="Y264" si="704">P262+P263+P264</f>
        <v>0</v>
      </c>
      <c r="Z264" s="255">
        <f t="shared" ref="Z264" si="705">Q262+Q263+Q264</f>
        <v>0</v>
      </c>
      <c r="AA264" s="255">
        <f t="shared" ref="AA264" si="706">R262+R263+R264</f>
        <v>0</v>
      </c>
      <c r="AB264" s="255">
        <f t="shared" ref="AB264" si="707">S262+S263+S264</f>
        <v>3352</v>
      </c>
      <c r="AC264" s="153"/>
      <c r="AD264" s="158">
        <f t="shared" ref="AD264:AD274" si="708">C264</f>
        <v>1300</v>
      </c>
      <c r="AE264" s="144">
        <v>499.07209999999998</v>
      </c>
      <c r="AF264" s="144"/>
      <c r="AG264" s="144"/>
      <c r="AH264" s="144"/>
      <c r="AI264" s="144"/>
      <c r="AJ264" s="144"/>
      <c r="AK264" s="144"/>
      <c r="AL264" s="144"/>
      <c r="AM264" s="144"/>
      <c r="AN264" s="144"/>
      <c r="AO264" s="144"/>
      <c r="AP264" s="144"/>
      <c r="AQ264" s="144"/>
      <c r="AR264" s="144"/>
      <c r="AS264" s="144"/>
      <c r="AT264" s="144"/>
      <c r="AU264" s="144"/>
      <c r="AV264" s="144"/>
      <c r="AW264" s="144"/>
      <c r="AX264" s="144"/>
      <c r="AY264" s="144"/>
      <c r="AZ264" s="144"/>
      <c r="BA264" s="144"/>
      <c r="BB264" s="144"/>
      <c r="BC264" s="144"/>
      <c r="BD264" s="144"/>
      <c r="BE264" s="144"/>
      <c r="BF264" s="144"/>
      <c r="BG264" s="144"/>
      <c r="BH264" s="144"/>
      <c r="BI264" s="144"/>
      <c r="BJ264" s="144"/>
      <c r="BK264" s="144"/>
      <c r="BL264" s="144"/>
      <c r="BM264" s="144"/>
      <c r="BN264" s="144"/>
      <c r="BO264" s="144"/>
      <c r="BP264" s="144"/>
      <c r="BQ264" s="144"/>
      <c r="BR264" s="144"/>
      <c r="BS264" s="144"/>
      <c r="BT264" s="144"/>
      <c r="BU264" s="144"/>
      <c r="BV264" s="265">
        <f>167.3+4</f>
        <v>171.3</v>
      </c>
      <c r="BW264" s="1">
        <f t="shared" si="668"/>
        <v>1300</v>
      </c>
      <c r="BX264" t="s">
        <v>84</v>
      </c>
      <c r="BY264">
        <v>167.3</v>
      </c>
    </row>
    <row r="265" spans="1:107" x14ac:dyDescent="0.25">
      <c r="A265" s="524"/>
      <c r="C265" s="210">
        <v>1350</v>
      </c>
      <c r="D265" s="349">
        <f t="shared" si="689"/>
        <v>1484.9612999999999</v>
      </c>
      <c r="E265" s="349">
        <f t="shared" si="690"/>
        <v>0</v>
      </c>
      <c r="F265" s="147">
        <f t="shared" si="691"/>
        <v>0</v>
      </c>
      <c r="G265" s="147">
        <f t="shared" si="663"/>
        <v>0</v>
      </c>
      <c r="H265" s="147">
        <f t="shared" si="664"/>
        <v>0</v>
      </c>
      <c r="I265" s="147">
        <f t="shared" si="665"/>
        <v>0</v>
      </c>
      <c r="J265" s="156">
        <f t="shared" si="666"/>
        <v>0</v>
      </c>
      <c r="K265" s="349">
        <f t="shared" si="692"/>
        <v>169.6</v>
      </c>
      <c r="L265" s="355">
        <f t="shared" si="693"/>
        <v>1838</v>
      </c>
      <c r="M265" s="349">
        <f t="shared" si="694"/>
        <v>0</v>
      </c>
      <c r="N265" s="147">
        <f t="shared" si="695"/>
        <v>0</v>
      </c>
      <c r="O265" s="147">
        <f t="shared" si="696"/>
        <v>0</v>
      </c>
      <c r="P265" s="147">
        <f t="shared" si="697"/>
        <v>0</v>
      </c>
      <c r="Q265" s="147">
        <f t="shared" si="698"/>
        <v>0</v>
      </c>
      <c r="R265" s="147">
        <f t="shared" si="699"/>
        <v>0</v>
      </c>
      <c r="S265" s="349">
        <f t="shared" si="700"/>
        <v>947</v>
      </c>
      <c r="T265" s="56"/>
      <c r="U265" s="151"/>
      <c r="V265" s="147"/>
      <c r="W265" s="147"/>
      <c r="X265" s="147"/>
      <c r="Y265" s="147"/>
      <c r="Z265" s="147"/>
      <c r="AA265" s="147"/>
      <c r="AB265" s="147"/>
      <c r="AC265" s="55"/>
      <c r="AD265" s="155">
        <f t="shared" si="708"/>
        <v>1350</v>
      </c>
      <c r="AE265" s="147">
        <v>1484.9612999999999</v>
      </c>
      <c r="AF265" s="147"/>
      <c r="AG265" s="147"/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  <c r="BI265" s="147"/>
      <c r="BJ265" s="147"/>
      <c r="BK265" s="147"/>
      <c r="BL265" s="147"/>
      <c r="BM265" s="147"/>
      <c r="BN265" s="147"/>
      <c r="BO265" s="147"/>
      <c r="BP265" s="147"/>
      <c r="BQ265" s="147"/>
      <c r="BR265" s="147"/>
      <c r="BS265" s="147"/>
      <c r="BT265" s="147"/>
      <c r="BU265" s="147"/>
      <c r="BV265" s="266">
        <f>165.6+4</f>
        <v>169.6</v>
      </c>
      <c r="BW265" s="1">
        <f t="shared" si="668"/>
        <v>1350</v>
      </c>
      <c r="BX265" t="s">
        <v>85</v>
      </c>
      <c r="BY265">
        <v>165.6</v>
      </c>
    </row>
    <row r="266" spans="1:107" x14ac:dyDescent="0.25">
      <c r="A266" s="524"/>
      <c r="C266" s="121">
        <v>1400</v>
      </c>
      <c r="D266" s="347">
        <f t="shared" si="689"/>
        <v>1731.3891000000001</v>
      </c>
      <c r="E266" s="347">
        <f t="shared" si="690"/>
        <v>0</v>
      </c>
      <c r="F266" s="58">
        <f t="shared" si="691"/>
        <v>0</v>
      </c>
      <c r="G266" s="58">
        <f t="shared" si="663"/>
        <v>0</v>
      </c>
      <c r="H266" s="58">
        <f t="shared" si="664"/>
        <v>0</v>
      </c>
      <c r="I266" s="58">
        <f t="shared" si="665"/>
        <v>0</v>
      </c>
      <c r="J266" s="51">
        <f t="shared" si="666"/>
        <v>0</v>
      </c>
      <c r="K266" s="347">
        <f t="shared" si="692"/>
        <v>144.9</v>
      </c>
      <c r="L266" s="353">
        <f t="shared" si="693"/>
        <v>2979</v>
      </c>
      <c r="M266" s="347">
        <f t="shared" si="694"/>
        <v>0</v>
      </c>
      <c r="N266" s="58">
        <f t="shared" si="695"/>
        <v>0</v>
      </c>
      <c r="O266" s="58">
        <f t="shared" si="696"/>
        <v>0</v>
      </c>
      <c r="P266" s="58">
        <f t="shared" si="697"/>
        <v>0</v>
      </c>
      <c r="Q266" s="58">
        <f t="shared" si="698"/>
        <v>0</v>
      </c>
      <c r="R266" s="58">
        <f t="shared" si="699"/>
        <v>0</v>
      </c>
      <c r="S266" s="347">
        <f t="shared" si="700"/>
        <v>874</v>
      </c>
      <c r="T266" s="56"/>
      <c r="U266" s="105"/>
      <c r="V266" s="58"/>
      <c r="W266" s="58"/>
      <c r="X266" s="58"/>
      <c r="Y266" s="58"/>
      <c r="Z266" s="58"/>
      <c r="AA266" s="58"/>
      <c r="AB266" s="58"/>
      <c r="AC266" s="55"/>
      <c r="AD266" s="57">
        <f t="shared" si="708"/>
        <v>1400</v>
      </c>
      <c r="AE266" s="58">
        <v>1731.3891000000001</v>
      </c>
      <c r="AF266" s="58"/>
      <c r="AG266" s="58"/>
      <c r="AH266" s="58"/>
      <c r="AI266" s="58"/>
      <c r="AJ266" s="58"/>
      <c r="AK266" s="58"/>
      <c r="AL266" s="58"/>
      <c r="AM266" s="58"/>
      <c r="AN266" s="58"/>
      <c r="AO266" s="58"/>
      <c r="AP266" s="58"/>
      <c r="AQ266" s="58"/>
      <c r="AR266" s="58"/>
      <c r="AS266" s="58"/>
      <c r="AT266" s="58"/>
      <c r="AU266" s="58"/>
      <c r="AV266" s="58"/>
      <c r="AW266" s="58"/>
      <c r="AX266" s="58"/>
      <c r="AY266" s="58"/>
      <c r="AZ266" s="58"/>
      <c r="BA266" s="58"/>
      <c r="BB266" s="58"/>
      <c r="BC266" s="58"/>
      <c r="BD266" s="58"/>
      <c r="BE266" s="58"/>
      <c r="BF266" s="58"/>
      <c r="BG266" s="58"/>
      <c r="BH266" s="58"/>
      <c r="BI266" s="58"/>
      <c r="BJ266" s="58"/>
      <c r="BK266" s="58"/>
      <c r="BL266" s="58"/>
      <c r="BM266" s="58"/>
      <c r="BN266" s="58"/>
      <c r="BO266" s="58"/>
      <c r="BP266" s="58"/>
      <c r="BQ266" s="58"/>
      <c r="BR266" s="58"/>
      <c r="BS266" s="58"/>
      <c r="BT266" s="58"/>
      <c r="BU266" s="58"/>
      <c r="BV266" s="263">
        <f>140.9+4</f>
        <v>144.9</v>
      </c>
      <c r="BW266" s="1">
        <f t="shared" si="668"/>
        <v>1400</v>
      </c>
      <c r="BX266" t="s">
        <v>86</v>
      </c>
      <c r="BY266">
        <v>140.9</v>
      </c>
    </row>
    <row r="267" spans="1:107" x14ac:dyDescent="0.25">
      <c r="A267" s="524"/>
      <c r="C267" s="121">
        <v>1450</v>
      </c>
      <c r="D267" s="347">
        <f t="shared" si="689"/>
        <v>1577.1071999999999</v>
      </c>
      <c r="E267" s="347">
        <f t="shared" si="690"/>
        <v>0</v>
      </c>
      <c r="F267" s="58">
        <f t="shared" si="691"/>
        <v>0</v>
      </c>
      <c r="G267" s="58">
        <f t="shared" si="663"/>
        <v>0</v>
      </c>
      <c r="H267" s="58">
        <f t="shared" si="664"/>
        <v>0</v>
      </c>
      <c r="I267" s="58">
        <f t="shared" si="665"/>
        <v>0</v>
      </c>
      <c r="J267" s="51">
        <f t="shared" si="666"/>
        <v>0</v>
      </c>
      <c r="K267" s="347">
        <f t="shared" si="692"/>
        <v>163.9</v>
      </c>
      <c r="L267" s="353">
        <f t="shared" si="693"/>
        <v>3064</v>
      </c>
      <c r="M267" s="347">
        <f t="shared" si="694"/>
        <v>0</v>
      </c>
      <c r="N267" s="58">
        <f t="shared" si="695"/>
        <v>0</v>
      </c>
      <c r="O267" s="58">
        <f t="shared" si="696"/>
        <v>0</v>
      </c>
      <c r="P267" s="58">
        <f t="shared" si="697"/>
        <v>0</v>
      </c>
      <c r="Q267" s="58">
        <f t="shared" si="698"/>
        <v>0</v>
      </c>
      <c r="R267" s="58">
        <f t="shared" si="699"/>
        <v>0</v>
      </c>
      <c r="S267" s="347">
        <f t="shared" si="700"/>
        <v>858</v>
      </c>
      <c r="T267" s="56"/>
      <c r="U267" s="105"/>
      <c r="V267" s="58"/>
      <c r="W267" s="58"/>
      <c r="X267" s="58"/>
      <c r="Y267" s="58"/>
      <c r="Z267" s="58"/>
      <c r="AA267" s="58"/>
      <c r="AB267" s="58"/>
      <c r="AC267" s="55"/>
      <c r="AD267" s="57">
        <f t="shared" si="708"/>
        <v>1450</v>
      </c>
      <c r="AE267" s="58">
        <v>1577.1071999999999</v>
      </c>
      <c r="AF267" s="58"/>
      <c r="AG267" s="58"/>
      <c r="AH267" s="58"/>
      <c r="AI267" s="58"/>
      <c r="AJ267" s="58"/>
      <c r="AK267" s="58"/>
      <c r="AL267" s="58"/>
      <c r="AM267" s="58"/>
      <c r="AN267" s="58"/>
      <c r="AO267" s="58"/>
      <c r="AP267" s="58"/>
      <c r="AQ267" s="58"/>
      <c r="AR267" s="58"/>
      <c r="AS267" s="58"/>
      <c r="AT267" s="58"/>
      <c r="AU267" s="58"/>
      <c r="AV267" s="58"/>
      <c r="AW267" s="58"/>
      <c r="AX267" s="58"/>
      <c r="AY267" s="58"/>
      <c r="AZ267" s="58"/>
      <c r="BA267" s="58"/>
      <c r="BB267" s="58"/>
      <c r="BC267" s="58"/>
      <c r="BD267" s="58"/>
      <c r="BE267" s="58"/>
      <c r="BF267" s="58"/>
      <c r="BG267" s="58"/>
      <c r="BH267" s="58"/>
      <c r="BI267" s="58"/>
      <c r="BJ267" s="58"/>
      <c r="BK267" s="58"/>
      <c r="BL267" s="58"/>
      <c r="BM267" s="58"/>
      <c r="BN267" s="58"/>
      <c r="BO267" s="58"/>
      <c r="BP267" s="58"/>
      <c r="BQ267" s="58"/>
      <c r="BR267" s="58"/>
      <c r="BS267" s="58"/>
      <c r="BT267" s="58"/>
      <c r="BU267" s="58"/>
      <c r="BV267" s="263">
        <f>159.9+4</f>
        <v>163.9</v>
      </c>
      <c r="BW267" s="1">
        <f t="shared" si="668"/>
        <v>1450</v>
      </c>
      <c r="BX267" t="s">
        <v>87</v>
      </c>
      <c r="BY267">
        <v>159.9</v>
      </c>
    </row>
    <row r="268" spans="1:107" s="3" customFormat="1" ht="15.75" thickBot="1" x14ac:dyDescent="0.3">
      <c r="A268" s="524"/>
      <c r="C268" s="212">
        <v>1500</v>
      </c>
      <c r="D268" s="348">
        <f t="shared" si="689"/>
        <v>1425.2905000000001</v>
      </c>
      <c r="E268" s="348">
        <f t="shared" si="690"/>
        <v>0</v>
      </c>
      <c r="F268" s="144">
        <f t="shared" si="691"/>
        <v>0</v>
      </c>
      <c r="G268" s="144">
        <f t="shared" si="663"/>
        <v>0</v>
      </c>
      <c r="H268" s="144">
        <f t="shared" si="664"/>
        <v>0</v>
      </c>
      <c r="I268" s="144">
        <f t="shared" si="665"/>
        <v>0</v>
      </c>
      <c r="J268" s="159">
        <f t="shared" si="666"/>
        <v>0</v>
      </c>
      <c r="K268" s="348">
        <f t="shared" si="692"/>
        <v>155.9</v>
      </c>
      <c r="L268" s="354">
        <f t="shared" si="693"/>
        <v>2780</v>
      </c>
      <c r="M268" s="348">
        <f t="shared" si="694"/>
        <v>0</v>
      </c>
      <c r="N268" s="144">
        <f t="shared" si="695"/>
        <v>0</v>
      </c>
      <c r="O268" s="144">
        <f t="shared" si="696"/>
        <v>0</v>
      </c>
      <c r="P268" s="144">
        <f t="shared" si="697"/>
        <v>0</v>
      </c>
      <c r="Q268" s="144">
        <f t="shared" si="698"/>
        <v>0</v>
      </c>
      <c r="R268" s="144">
        <f t="shared" si="699"/>
        <v>0</v>
      </c>
      <c r="S268" s="348">
        <f t="shared" si="700"/>
        <v>889</v>
      </c>
      <c r="T268" s="154"/>
      <c r="U268" s="255">
        <f>L265+L266+L267+L268</f>
        <v>10661</v>
      </c>
      <c r="V268" s="255">
        <f t="shared" ref="V268" si="709">M265+M266+M267+M268</f>
        <v>0</v>
      </c>
      <c r="W268" s="255">
        <f t="shared" ref="W268" si="710">N265+N266+N267+N268</f>
        <v>0</v>
      </c>
      <c r="X268" s="255">
        <f t="shared" ref="X268" si="711">O265+O266+O267+O268</f>
        <v>0</v>
      </c>
      <c r="Y268" s="255">
        <f t="shared" ref="Y268" si="712">P265+P266+P267+P268</f>
        <v>0</v>
      </c>
      <c r="Z268" s="255">
        <f t="shared" ref="Z268" si="713">Q265+Q266+Q267+Q268</f>
        <v>0</v>
      </c>
      <c r="AA268" s="255">
        <f t="shared" ref="AA268" si="714">R265+R266+R267+R268</f>
        <v>0</v>
      </c>
      <c r="AB268" s="255">
        <f t="shared" ref="AB268" si="715">S265+S266+S267+S268</f>
        <v>3568</v>
      </c>
      <c r="AC268" s="153"/>
      <c r="AD268" s="158">
        <f t="shared" si="708"/>
        <v>1500</v>
      </c>
      <c r="AE268" s="144">
        <v>1425.2905000000001</v>
      </c>
      <c r="AF268" s="144"/>
      <c r="AG268" s="144"/>
      <c r="AH268" s="144"/>
      <c r="AI268" s="144"/>
      <c r="AJ268" s="144"/>
      <c r="AK268" s="144"/>
      <c r="AL268" s="144"/>
      <c r="AM268" s="144"/>
      <c r="AN268" s="144"/>
      <c r="AO268" s="144"/>
      <c r="AP268" s="144"/>
      <c r="AQ268" s="144"/>
      <c r="AR268" s="144"/>
      <c r="AS268" s="144"/>
      <c r="AT268" s="144"/>
      <c r="AU268" s="144"/>
      <c r="AV268" s="144"/>
      <c r="AW268" s="144"/>
      <c r="AX268" s="144"/>
      <c r="AY268" s="144"/>
      <c r="AZ268" s="144"/>
      <c r="BA268" s="144"/>
      <c r="BB268" s="144"/>
      <c r="BC268" s="144"/>
      <c r="BD268" s="144"/>
      <c r="BE268" s="144"/>
      <c r="BF268" s="144"/>
      <c r="BG268" s="144"/>
      <c r="BH268" s="144"/>
      <c r="BI268" s="144"/>
      <c r="BJ268" s="144"/>
      <c r="BK268" s="144"/>
      <c r="BL268" s="144"/>
      <c r="BM268" s="144"/>
      <c r="BN268" s="144"/>
      <c r="BO268" s="144"/>
      <c r="BP268" s="144"/>
      <c r="BQ268" s="144"/>
      <c r="BR268" s="144"/>
      <c r="BS268" s="144"/>
      <c r="BT268" s="144"/>
      <c r="BU268" s="144"/>
      <c r="BV268" s="265">
        <f>151.9+4</f>
        <v>155.9</v>
      </c>
      <c r="BW268" s="1">
        <f t="shared" si="668"/>
        <v>1500</v>
      </c>
      <c r="BX268" t="s">
        <v>88</v>
      </c>
      <c r="BY268">
        <v>151.9</v>
      </c>
    </row>
    <row r="269" spans="1:107" x14ac:dyDescent="0.25">
      <c r="A269" s="524"/>
      <c r="C269" s="210">
        <v>1550</v>
      </c>
      <c r="D269" s="349">
        <f t="shared" si="689"/>
        <v>1191.2193</v>
      </c>
      <c r="E269" s="349">
        <f t="shared" si="690"/>
        <v>0</v>
      </c>
      <c r="F269" s="147">
        <f t="shared" si="691"/>
        <v>0</v>
      </c>
      <c r="G269" s="147">
        <f t="shared" si="663"/>
        <v>0</v>
      </c>
      <c r="H269" s="147">
        <f t="shared" si="664"/>
        <v>0</v>
      </c>
      <c r="I269" s="147">
        <f t="shared" si="665"/>
        <v>0</v>
      </c>
      <c r="J269" s="156">
        <f t="shared" si="666"/>
        <v>0</v>
      </c>
      <c r="K269" s="349">
        <f t="shared" si="692"/>
        <v>164.3</v>
      </c>
      <c r="L269" s="355">
        <f t="shared" si="693"/>
        <v>2423</v>
      </c>
      <c r="M269" s="349">
        <f t="shared" si="694"/>
        <v>0</v>
      </c>
      <c r="N269" s="147">
        <f t="shared" si="695"/>
        <v>0</v>
      </c>
      <c r="O269" s="147">
        <f t="shared" si="696"/>
        <v>0</v>
      </c>
      <c r="P269" s="147">
        <f t="shared" si="697"/>
        <v>0</v>
      </c>
      <c r="Q269" s="147">
        <f t="shared" si="698"/>
        <v>0</v>
      </c>
      <c r="R269" s="147">
        <f t="shared" si="699"/>
        <v>0</v>
      </c>
      <c r="S269" s="349">
        <f t="shared" si="700"/>
        <v>890</v>
      </c>
      <c r="T269" s="56"/>
      <c r="U269" s="151"/>
      <c r="V269" s="147"/>
      <c r="W269" s="147"/>
      <c r="X269" s="147"/>
      <c r="Y269" s="147"/>
      <c r="Z269" s="147"/>
      <c r="AA269" s="147"/>
      <c r="AB269" s="147"/>
      <c r="AC269" s="55"/>
      <c r="AD269" s="155">
        <f t="shared" si="708"/>
        <v>1550</v>
      </c>
      <c r="AE269" s="147">
        <v>1191.2193</v>
      </c>
      <c r="AF269" s="147"/>
      <c r="AG269" s="147"/>
      <c r="AH269" s="147"/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  <c r="BI269" s="147"/>
      <c r="BJ269" s="147"/>
      <c r="BK269" s="147"/>
      <c r="BL269" s="147"/>
      <c r="BM269" s="147"/>
      <c r="BN269" s="147"/>
      <c r="BO269" s="147"/>
      <c r="BP269" s="147"/>
      <c r="BQ269" s="147"/>
      <c r="BR269" s="147"/>
      <c r="BS269" s="147"/>
      <c r="BT269" s="147"/>
      <c r="BU269" s="147"/>
      <c r="BV269" s="266">
        <f>160.3+4</f>
        <v>164.3</v>
      </c>
      <c r="BW269" s="1">
        <f t="shared" si="668"/>
        <v>1550</v>
      </c>
      <c r="BX269" t="s">
        <v>89</v>
      </c>
      <c r="BY269">
        <v>160.30000000000001</v>
      </c>
    </row>
    <row r="270" spans="1:107" ht="15.75" customHeight="1" x14ac:dyDescent="0.25">
      <c r="A270" s="524"/>
      <c r="C270" s="121">
        <v>1600</v>
      </c>
      <c r="D270" s="347">
        <f t="shared" si="689"/>
        <v>866.80840000000001</v>
      </c>
      <c r="E270" s="347">
        <f t="shared" si="690"/>
        <v>0</v>
      </c>
      <c r="F270" s="58">
        <f t="shared" si="691"/>
        <v>0</v>
      </c>
      <c r="G270" s="58">
        <f t="shared" si="663"/>
        <v>0</v>
      </c>
      <c r="H270" s="58">
        <f t="shared" si="664"/>
        <v>0</v>
      </c>
      <c r="I270" s="58">
        <f t="shared" si="665"/>
        <v>0</v>
      </c>
      <c r="J270" s="51">
        <f t="shared" si="666"/>
        <v>0</v>
      </c>
      <c r="K270" s="347">
        <f t="shared" si="692"/>
        <v>105.4</v>
      </c>
      <c r="L270" s="353">
        <f t="shared" si="693"/>
        <v>1906</v>
      </c>
      <c r="M270" s="347">
        <f t="shared" si="694"/>
        <v>0</v>
      </c>
      <c r="N270" s="58">
        <f t="shared" si="695"/>
        <v>0</v>
      </c>
      <c r="O270" s="58">
        <f t="shared" si="696"/>
        <v>0</v>
      </c>
      <c r="P270" s="58">
        <f t="shared" si="697"/>
        <v>0</v>
      </c>
      <c r="Q270" s="58">
        <f t="shared" si="698"/>
        <v>0</v>
      </c>
      <c r="R270" s="58">
        <f t="shared" si="699"/>
        <v>0</v>
      </c>
      <c r="S270" s="347">
        <f t="shared" si="700"/>
        <v>750</v>
      </c>
      <c r="T270" s="56"/>
      <c r="U270" s="105"/>
      <c r="V270" s="58"/>
      <c r="W270" s="58"/>
      <c r="X270" s="58"/>
      <c r="Y270" s="58"/>
      <c r="Z270" s="58"/>
      <c r="AA270" s="58"/>
      <c r="AB270" s="58"/>
      <c r="AC270" s="55"/>
      <c r="AD270" s="57">
        <f t="shared" si="708"/>
        <v>1600</v>
      </c>
      <c r="AE270" s="58">
        <v>866.80840000000001</v>
      </c>
      <c r="AF270" s="58"/>
      <c r="AG270" s="58"/>
      <c r="AH270" s="58"/>
      <c r="AI270" s="58"/>
      <c r="AJ270" s="58"/>
      <c r="AK270" s="58"/>
      <c r="AL270" s="58"/>
      <c r="AM270" s="58"/>
      <c r="AN270" s="58"/>
      <c r="AO270" s="58"/>
      <c r="AP270" s="58"/>
      <c r="AQ270" s="58"/>
      <c r="AR270" s="58"/>
      <c r="AS270" s="58"/>
      <c r="AT270" s="58"/>
      <c r="AU270" s="58"/>
      <c r="AV270" s="58"/>
      <c r="AW270" s="58"/>
      <c r="AX270" s="58"/>
      <c r="AY270" s="58"/>
      <c r="AZ270" s="58"/>
      <c r="BA270" s="58"/>
      <c r="BB270" s="58"/>
      <c r="BC270" s="58"/>
      <c r="BD270" s="58"/>
      <c r="BE270" s="58"/>
      <c r="BF270" s="58"/>
      <c r="BG270" s="58"/>
      <c r="BH270" s="58"/>
      <c r="BI270" s="58"/>
      <c r="BJ270" s="58"/>
      <c r="BK270" s="58"/>
      <c r="BL270" s="58"/>
      <c r="BM270" s="58"/>
      <c r="BN270" s="58"/>
      <c r="BO270" s="58"/>
      <c r="BP270" s="58"/>
      <c r="BQ270" s="58"/>
      <c r="BR270" s="58"/>
      <c r="BS270" s="58"/>
      <c r="BT270" s="58"/>
      <c r="BU270" s="58"/>
      <c r="BV270" s="263">
        <f>97.4+8</f>
        <v>105.4</v>
      </c>
      <c r="BW270" s="1">
        <f t="shared" si="668"/>
        <v>1600</v>
      </c>
      <c r="BX270" t="s">
        <v>90</v>
      </c>
      <c r="BY270">
        <v>97.4</v>
      </c>
    </row>
    <row r="271" spans="1:107" x14ac:dyDescent="0.25">
      <c r="A271" s="524"/>
      <c r="C271" s="121">
        <v>1650</v>
      </c>
      <c r="D271" s="347">
        <f t="shared" si="689"/>
        <v>592.92509999999993</v>
      </c>
      <c r="E271" s="347">
        <f t="shared" si="690"/>
        <v>9.2574000000000005</v>
      </c>
      <c r="F271" s="58">
        <f t="shared" si="691"/>
        <v>0</v>
      </c>
      <c r="G271" s="58">
        <f t="shared" si="663"/>
        <v>0</v>
      </c>
      <c r="H271" s="58">
        <f t="shared" si="664"/>
        <v>0</v>
      </c>
      <c r="I271" s="58">
        <f t="shared" si="665"/>
        <v>0</v>
      </c>
      <c r="J271" s="51">
        <f t="shared" si="666"/>
        <v>0</v>
      </c>
      <c r="K271" s="347">
        <f t="shared" si="692"/>
        <v>95.1</v>
      </c>
      <c r="L271" s="353">
        <f t="shared" si="693"/>
        <v>1352</v>
      </c>
      <c r="M271" s="347">
        <f t="shared" si="694"/>
        <v>9</v>
      </c>
      <c r="N271" s="58">
        <f t="shared" si="695"/>
        <v>0</v>
      </c>
      <c r="O271" s="58">
        <f t="shared" si="696"/>
        <v>0</v>
      </c>
      <c r="P271" s="58">
        <f t="shared" si="697"/>
        <v>0</v>
      </c>
      <c r="Q271" s="58">
        <f t="shared" si="698"/>
        <v>0</v>
      </c>
      <c r="R271" s="58">
        <f t="shared" si="699"/>
        <v>0</v>
      </c>
      <c r="S271" s="347">
        <f t="shared" si="700"/>
        <v>557</v>
      </c>
      <c r="T271" s="56"/>
      <c r="U271" s="105"/>
      <c r="V271" s="58"/>
      <c r="W271" s="58"/>
      <c r="X271" s="58"/>
      <c r="Y271" s="58"/>
      <c r="Z271" s="58"/>
      <c r="AA271" s="58"/>
      <c r="AB271" s="58"/>
      <c r="AC271" s="55"/>
      <c r="AD271" s="57">
        <f t="shared" si="708"/>
        <v>1650</v>
      </c>
      <c r="AE271" s="58">
        <v>592.77</v>
      </c>
      <c r="AF271" s="58">
        <v>0.15509999999999999</v>
      </c>
      <c r="AG271" s="58"/>
      <c r="AH271" s="58"/>
      <c r="AI271" s="58"/>
      <c r="AJ271" s="58"/>
      <c r="AK271" s="58"/>
      <c r="AL271" s="58"/>
      <c r="AM271" s="58"/>
      <c r="AN271" s="58"/>
      <c r="AO271" s="58"/>
      <c r="AP271" s="58"/>
      <c r="AQ271" s="58"/>
      <c r="AR271" s="58"/>
      <c r="AS271" s="58"/>
      <c r="AT271" s="58"/>
      <c r="AU271" s="58"/>
      <c r="AV271" s="58">
        <v>2.2006000000000001</v>
      </c>
      <c r="AW271" s="58">
        <v>1.2390000000000001</v>
      </c>
      <c r="AX271" s="58">
        <v>5.8178000000000001</v>
      </c>
      <c r="AY271" s="58"/>
      <c r="AZ271" s="58"/>
      <c r="BA271" s="58"/>
      <c r="BB271" s="58"/>
      <c r="BC271" s="58"/>
      <c r="BD271" s="58"/>
      <c r="BE271" s="58"/>
      <c r="BF271" s="58"/>
      <c r="BG271" s="58"/>
      <c r="BH271" s="58"/>
      <c r="BI271" s="58"/>
      <c r="BJ271" s="58"/>
      <c r="BK271" s="58"/>
      <c r="BL271" s="58"/>
      <c r="BM271" s="58"/>
      <c r="BN271" s="58"/>
      <c r="BO271" s="58"/>
      <c r="BP271" s="58"/>
      <c r="BQ271" s="58"/>
      <c r="BR271" s="58"/>
      <c r="BS271" s="58"/>
      <c r="BT271" s="58"/>
      <c r="BU271" s="58"/>
      <c r="BV271" s="263">
        <f>87.1+8</f>
        <v>95.1</v>
      </c>
      <c r="BW271" s="1">
        <f t="shared" si="668"/>
        <v>1650</v>
      </c>
      <c r="BX271" t="s">
        <v>91</v>
      </c>
      <c r="BY271">
        <v>87.1</v>
      </c>
    </row>
    <row r="272" spans="1:107" s="3" customFormat="1" ht="15.75" thickBot="1" x14ac:dyDescent="0.3">
      <c r="A272" s="524"/>
      <c r="C272" s="212">
        <v>1700</v>
      </c>
      <c r="D272" s="348">
        <f t="shared" si="689"/>
        <v>393.60360000000003</v>
      </c>
      <c r="E272" s="348">
        <f t="shared" si="690"/>
        <v>6.1468000000000007</v>
      </c>
      <c r="F272" s="144">
        <f t="shared" si="691"/>
        <v>0</v>
      </c>
      <c r="G272" s="144">
        <f t="shared" si="663"/>
        <v>0</v>
      </c>
      <c r="H272" s="144">
        <f t="shared" si="664"/>
        <v>0</v>
      </c>
      <c r="I272" s="144">
        <f t="shared" si="665"/>
        <v>0</v>
      </c>
      <c r="J272" s="159">
        <f t="shared" si="666"/>
        <v>0</v>
      </c>
      <c r="K272" s="348">
        <f t="shared" si="692"/>
        <v>120.5</v>
      </c>
      <c r="L272" s="354">
        <f t="shared" si="693"/>
        <v>914</v>
      </c>
      <c r="M272" s="348">
        <f t="shared" si="694"/>
        <v>15</v>
      </c>
      <c r="N272" s="144">
        <f t="shared" si="695"/>
        <v>0</v>
      </c>
      <c r="O272" s="144">
        <f t="shared" si="696"/>
        <v>0</v>
      </c>
      <c r="P272" s="144">
        <f t="shared" si="697"/>
        <v>0</v>
      </c>
      <c r="Q272" s="144">
        <f t="shared" si="698"/>
        <v>0</v>
      </c>
      <c r="R272" s="144">
        <f t="shared" si="699"/>
        <v>0</v>
      </c>
      <c r="S272" s="348">
        <f t="shared" si="700"/>
        <v>599</v>
      </c>
      <c r="T272" s="154"/>
      <c r="U272" s="255">
        <f>L269+L270+L271+L272</f>
        <v>6595</v>
      </c>
      <c r="V272" s="255">
        <f t="shared" ref="V272" si="716">M269+M270+M271+M272</f>
        <v>24</v>
      </c>
      <c r="W272" s="255">
        <f t="shared" ref="W272" si="717">N269+N270+N271+N272</f>
        <v>0</v>
      </c>
      <c r="X272" s="255">
        <f t="shared" ref="X272" si="718">O269+O270+O271+O272</f>
        <v>0</v>
      </c>
      <c r="Y272" s="255">
        <f t="shared" ref="Y272" si="719">P269+P270+P271+P272</f>
        <v>0</v>
      </c>
      <c r="Z272" s="255">
        <f t="shared" ref="Z272" si="720">Q269+Q270+Q271+Q272</f>
        <v>0</v>
      </c>
      <c r="AA272" s="255">
        <f t="shared" ref="AA272" si="721">R269+R270+R271+R272</f>
        <v>0</v>
      </c>
      <c r="AB272" s="255">
        <f t="shared" ref="AB272" si="722">S269+S270+S271+S272</f>
        <v>2796</v>
      </c>
      <c r="AC272" s="153"/>
      <c r="AD272" s="158">
        <f t="shared" si="708"/>
        <v>1700</v>
      </c>
      <c r="AE272" s="144">
        <v>42.467199999999998</v>
      </c>
      <c r="AF272" s="144">
        <v>7.3599999999999999E-2</v>
      </c>
      <c r="AG272" s="144">
        <v>2.6955</v>
      </c>
      <c r="AH272" s="144">
        <v>0.31850000000000001</v>
      </c>
      <c r="AI272" s="144">
        <v>348.04880000000003</v>
      </c>
      <c r="AJ272" s="144"/>
      <c r="AK272" s="144"/>
      <c r="AL272" s="144"/>
      <c r="AM272" s="144"/>
      <c r="AN272" s="144"/>
      <c r="AO272" s="144"/>
      <c r="AP272" s="144"/>
      <c r="AQ272" s="144"/>
      <c r="AR272" s="144"/>
      <c r="AS272" s="144"/>
      <c r="AT272" s="144"/>
      <c r="AU272" s="144"/>
      <c r="AV272" s="144">
        <v>1.2500000000000001E-2</v>
      </c>
      <c r="AW272" s="144">
        <v>0.17380000000000001</v>
      </c>
      <c r="AX272" s="144">
        <v>4.2438000000000002</v>
      </c>
      <c r="AY272" s="144">
        <v>1.7166999999999999</v>
      </c>
      <c r="AZ272" s="144"/>
      <c r="BA272" s="144"/>
      <c r="BB272" s="144"/>
      <c r="BC272" s="144"/>
      <c r="BD272" s="144"/>
      <c r="BE272" s="144"/>
      <c r="BF272" s="144"/>
      <c r="BG272" s="144"/>
      <c r="BH272" s="144"/>
      <c r="BI272" s="144"/>
      <c r="BJ272" s="144"/>
      <c r="BK272" s="144"/>
      <c r="BL272" s="144"/>
      <c r="BM272" s="144"/>
      <c r="BN272" s="144"/>
      <c r="BO272" s="144"/>
      <c r="BP272" s="144"/>
      <c r="BQ272" s="144"/>
      <c r="BR272" s="144"/>
      <c r="BS272" s="144"/>
      <c r="BT272" s="144"/>
      <c r="BU272" s="144"/>
      <c r="BV272" s="265">
        <f>112.5+8</f>
        <v>120.5</v>
      </c>
      <c r="BW272" s="1">
        <f t="shared" si="668"/>
        <v>1700</v>
      </c>
      <c r="BX272" t="s">
        <v>92</v>
      </c>
      <c r="BY272">
        <v>112.5</v>
      </c>
    </row>
    <row r="273" spans="3:77" x14ac:dyDescent="0.25">
      <c r="C273" s="210">
        <v>1750</v>
      </c>
      <c r="D273" s="349">
        <f t="shared" si="689"/>
        <v>157.23679999999999</v>
      </c>
      <c r="E273" s="349">
        <f t="shared" si="690"/>
        <v>2.2629999999999999</v>
      </c>
      <c r="F273" s="147">
        <f t="shared" si="691"/>
        <v>0</v>
      </c>
      <c r="G273" s="147">
        <f t="shared" si="663"/>
        <v>0</v>
      </c>
      <c r="H273" s="147">
        <f t="shared" si="664"/>
        <v>0</v>
      </c>
      <c r="I273" s="147">
        <f t="shared" si="665"/>
        <v>0</v>
      </c>
      <c r="J273" s="156">
        <f t="shared" si="666"/>
        <v>0</v>
      </c>
      <c r="K273" s="349">
        <f t="shared" si="692"/>
        <v>66.8</v>
      </c>
      <c r="L273" s="355">
        <f t="shared" si="693"/>
        <v>511</v>
      </c>
      <c r="M273" s="349">
        <f t="shared" si="694"/>
        <v>8</v>
      </c>
      <c r="N273" s="147">
        <f t="shared" si="695"/>
        <v>0</v>
      </c>
      <c r="O273" s="147">
        <f t="shared" si="696"/>
        <v>0</v>
      </c>
      <c r="P273" s="147">
        <f t="shared" si="697"/>
        <v>0</v>
      </c>
      <c r="Q273" s="147">
        <f t="shared" si="698"/>
        <v>0</v>
      </c>
      <c r="R273" s="147">
        <f t="shared" si="699"/>
        <v>0</v>
      </c>
      <c r="S273" s="349">
        <f t="shared" si="700"/>
        <v>521</v>
      </c>
      <c r="T273" s="56"/>
      <c r="U273" s="151"/>
      <c r="V273" s="147"/>
      <c r="W273" s="147"/>
      <c r="X273" s="147"/>
      <c r="Y273" s="147"/>
      <c r="Z273" s="147"/>
      <c r="AA273" s="147"/>
      <c r="AB273" s="147"/>
      <c r="AC273" s="55"/>
      <c r="AD273" s="155">
        <f t="shared" si="708"/>
        <v>1750</v>
      </c>
      <c r="AE273" s="147">
        <v>0.9536</v>
      </c>
      <c r="AF273" s="147">
        <v>0.95960000000000001</v>
      </c>
      <c r="AG273" s="147">
        <v>155.13820000000001</v>
      </c>
      <c r="AH273" s="147">
        <v>0.18540000000000001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>
        <v>1.3260000000000001</v>
      </c>
      <c r="AW273" s="147">
        <v>0.18429999999999999</v>
      </c>
      <c r="AX273" s="147">
        <v>2.6599999999999999E-2</v>
      </c>
      <c r="AY273" s="147">
        <v>0.38469999999999999</v>
      </c>
      <c r="AZ273" s="147">
        <v>0.34139999999999998</v>
      </c>
      <c r="BA273" s="147"/>
      <c r="BB273" s="147"/>
      <c r="BC273" s="147"/>
      <c r="BD273" s="147"/>
      <c r="BE273" s="147"/>
      <c r="BF273" s="147"/>
      <c r="BG273" s="147"/>
      <c r="BH273" s="147"/>
      <c r="BI273" s="147"/>
      <c r="BJ273" s="147"/>
      <c r="BK273" s="147"/>
      <c r="BL273" s="147"/>
      <c r="BM273" s="147"/>
      <c r="BN273" s="147"/>
      <c r="BO273" s="147"/>
      <c r="BP273" s="147"/>
      <c r="BQ273" s="147"/>
      <c r="BR273" s="147"/>
      <c r="BS273" s="147"/>
      <c r="BT273" s="147"/>
      <c r="BU273" s="147"/>
      <c r="BV273" s="266">
        <f>58.8+8</f>
        <v>66.8</v>
      </c>
      <c r="BW273" s="1">
        <f t="shared" si="668"/>
        <v>1750</v>
      </c>
      <c r="BX273" t="s">
        <v>93</v>
      </c>
      <c r="BY273">
        <v>58.8</v>
      </c>
    </row>
    <row r="274" spans="3:77" ht="15.75" thickBot="1" x14ac:dyDescent="0.3">
      <c r="C274" s="121">
        <v>1758.28</v>
      </c>
      <c r="D274" s="347">
        <f t="shared" si="689"/>
        <v>3.0346000000000002</v>
      </c>
      <c r="E274" s="347">
        <f t="shared" si="690"/>
        <v>0</v>
      </c>
      <c r="F274" s="58">
        <f t="shared" si="691"/>
        <v>0</v>
      </c>
      <c r="G274" s="58">
        <f t="shared" si="663"/>
        <v>0</v>
      </c>
      <c r="H274" s="58">
        <f t="shared" si="664"/>
        <v>0</v>
      </c>
      <c r="I274" s="58">
        <f t="shared" si="665"/>
        <v>0</v>
      </c>
      <c r="J274" s="51">
        <f t="shared" si="666"/>
        <v>0</v>
      </c>
      <c r="K274" s="347">
        <f t="shared" si="692"/>
        <v>8</v>
      </c>
      <c r="L274" s="353">
        <f t="shared" si="693"/>
        <v>25</v>
      </c>
      <c r="M274" s="347">
        <f t="shared" si="694"/>
        <v>1</v>
      </c>
      <c r="N274" s="58">
        <f t="shared" si="695"/>
        <v>0</v>
      </c>
      <c r="O274" s="58">
        <f t="shared" si="696"/>
        <v>0</v>
      </c>
      <c r="P274" s="58">
        <f t="shared" si="697"/>
        <v>0</v>
      </c>
      <c r="Q274" s="58">
        <f t="shared" si="698"/>
        <v>0</v>
      </c>
      <c r="R274" s="58">
        <f t="shared" si="699"/>
        <v>0</v>
      </c>
      <c r="S274" s="347">
        <f t="shared" si="700"/>
        <v>35</v>
      </c>
      <c r="T274" s="56"/>
      <c r="U274" s="255">
        <f>L273+L274</f>
        <v>536</v>
      </c>
      <c r="V274" s="255">
        <f t="shared" ref="V274" si="723">M273+M274</f>
        <v>9</v>
      </c>
      <c r="W274" s="255">
        <f t="shared" ref="W274" si="724">N273+N274</f>
        <v>0</v>
      </c>
      <c r="X274" s="255">
        <f t="shared" ref="X274" si="725">O273+O274</f>
        <v>0</v>
      </c>
      <c r="Y274" s="255">
        <f t="shared" ref="Y274" si="726">P273+P274</f>
        <v>0</v>
      </c>
      <c r="Z274" s="255">
        <f t="shared" ref="Z274" si="727">Q273+Q274</f>
        <v>0</v>
      </c>
      <c r="AA274" s="255">
        <f t="shared" ref="AA274" si="728">R273+R274</f>
        <v>0</v>
      </c>
      <c r="AB274" s="255">
        <f t="shared" ref="AB274" si="729">S273+S274</f>
        <v>556</v>
      </c>
      <c r="AC274" s="55"/>
      <c r="AD274" s="57">
        <f t="shared" si="708"/>
        <v>1758.28</v>
      </c>
      <c r="AE274" s="58">
        <v>3.0346000000000002</v>
      </c>
      <c r="AF274" s="58"/>
      <c r="AG274" s="58"/>
      <c r="AH274" s="58"/>
      <c r="AI274" s="58"/>
      <c r="AJ274" s="58"/>
      <c r="AK274" s="58"/>
      <c r="AL274" s="58"/>
      <c r="AM274" s="58"/>
      <c r="AN274" s="58"/>
      <c r="AO274" s="58"/>
      <c r="AP274" s="58"/>
      <c r="AQ274" s="58"/>
      <c r="AR274" s="58"/>
      <c r="AS274" s="58"/>
      <c r="AT274" s="58"/>
      <c r="AU274" s="58"/>
      <c r="AV274" s="58"/>
      <c r="AW274" s="58"/>
      <c r="AX274" s="58"/>
      <c r="AY274" s="58"/>
      <c r="AZ274" s="58"/>
      <c r="BA274" s="58"/>
      <c r="BB274" s="58"/>
      <c r="BC274" s="58"/>
      <c r="BD274" s="58"/>
      <c r="BE274" s="58"/>
      <c r="BF274" s="58"/>
      <c r="BG274" s="58"/>
      <c r="BH274" s="58"/>
      <c r="BI274" s="58"/>
      <c r="BJ274" s="58"/>
      <c r="BK274" s="58"/>
      <c r="BL274" s="58"/>
      <c r="BM274" s="58"/>
      <c r="BN274" s="58"/>
      <c r="BO274" s="58"/>
      <c r="BP274" s="58"/>
      <c r="BQ274" s="58"/>
      <c r="BR274" s="58"/>
      <c r="BS274" s="58"/>
      <c r="BT274" s="58"/>
      <c r="BU274" s="58"/>
      <c r="BV274" s="263">
        <v>8</v>
      </c>
      <c r="BW274" s="1">
        <f t="shared" si="668"/>
        <v>1758.28</v>
      </c>
      <c r="BX274" t="s">
        <v>97</v>
      </c>
      <c r="BY274">
        <v>1.6</v>
      </c>
    </row>
    <row r="275" spans="3:77" x14ac:dyDescent="0.25">
      <c r="BW275" s="1"/>
    </row>
    <row r="276" spans="3:77" ht="21.75" thickBot="1" x14ac:dyDescent="0.4">
      <c r="L276" s="385">
        <f>SUM(L258:L274)</f>
        <v>26942</v>
      </c>
      <c r="M276" s="385">
        <f t="shared" ref="M276:S276" si="730">SUM(M258:M274)</f>
        <v>645</v>
      </c>
      <c r="N276" s="120">
        <f t="shared" si="730"/>
        <v>0</v>
      </c>
      <c r="O276" s="120">
        <f t="shared" si="730"/>
        <v>0</v>
      </c>
      <c r="P276" s="120">
        <f t="shared" si="730"/>
        <v>0</v>
      </c>
      <c r="Q276" s="120">
        <f t="shared" si="730"/>
        <v>0</v>
      </c>
      <c r="R276" s="120">
        <f t="shared" si="730"/>
        <v>0</v>
      </c>
      <c r="S276" s="385">
        <f t="shared" si="730"/>
        <v>12099</v>
      </c>
      <c r="U276" s="120">
        <f>SUM(U258:U274)</f>
        <v>26942</v>
      </c>
      <c r="V276" s="120">
        <f t="shared" ref="V276:AB276" si="731">SUM(V258:V274)</f>
        <v>645</v>
      </c>
      <c r="W276" s="120">
        <f t="shared" si="731"/>
        <v>0</v>
      </c>
      <c r="X276" s="120">
        <f t="shared" si="731"/>
        <v>0</v>
      </c>
      <c r="Y276" s="120">
        <f t="shared" si="731"/>
        <v>0</v>
      </c>
      <c r="Z276" s="120">
        <f t="shared" si="731"/>
        <v>0</v>
      </c>
      <c r="AA276" s="120">
        <f t="shared" si="731"/>
        <v>0</v>
      </c>
      <c r="AB276" s="120">
        <f t="shared" si="731"/>
        <v>12099</v>
      </c>
      <c r="BW276" s="1"/>
      <c r="BX276" s="3"/>
      <c r="BY276" s="3"/>
    </row>
    <row r="277" spans="3:77" x14ac:dyDescent="0.25">
      <c r="BW277" s="1"/>
    </row>
    <row r="278" spans="3:77" x14ac:dyDescent="0.25">
      <c r="BW278" s="1"/>
    </row>
  </sheetData>
  <mergeCells count="35">
    <mergeCell ref="C187:C188"/>
    <mergeCell ref="C192:C193"/>
    <mergeCell ref="BW161:BW162"/>
    <mergeCell ref="BW165:BW166"/>
    <mergeCell ref="BW187:BW188"/>
    <mergeCell ref="BW192:BW193"/>
    <mergeCell ref="AD187:AD188"/>
    <mergeCell ref="AD192:AD193"/>
    <mergeCell ref="AD161:AD162"/>
    <mergeCell ref="AD165:AD166"/>
    <mergeCell ref="AD4:BS4"/>
    <mergeCell ref="D5:F5"/>
    <mergeCell ref="G5:J5"/>
    <mergeCell ref="L5:N5"/>
    <mergeCell ref="O5:R5"/>
    <mergeCell ref="AE5:BA5"/>
    <mergeCell ref="BI5:BR5"/>
    <mergeCell ref="BS5:BV5"/>
    <mergeCell ref="D4:K4"/>
    <mergeCell ref="A258:A272"/>
    <mergeCell ref="A57:A71"/>
    <mergeCell ref="A75:A88"/>
    <mergeCell ref="B64:B65"/>
    <mergeCell ref="U4:AB4"/>
    <mergeCell ref="U5:W5"/>
    <mergeCell ref="X5:AA5"/>
    <mergeCell ref="L4:S4"/>
    <mergeCell ref="A39:A54"/>
    <mergeCell ref="A91:A105"/>
    <mergeCell ref="A109:A122"/>
    <mergeCell ref="A9:A33"/>
    <mergeCell ref="A238:A252"/>
    <mergeCell ref="A126:A229"/>
    <mergeCell ref="C161:C162"/>
    <mergeCell ref="C165:C166"/>
  </mergeCells>
  <pageMargins left="0.7" right="0.7" top="0.75" bottom="0.75" header="0.3" footer="0.3"/>
  <pageSetup paperSize="17" scale="2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01664-9A71-4882-8657-DCB5ECCE22C3}">
  <sheetPr>
    <pageSetUpPr fitToPage="1"/>
  </sheetPr>
  <dimension ref="A1:AZ31"/>
  <sheetViews>
    <sheetView zoomScale="90" zoomScaleNormal="90" workbookViewId="0">
      <selection activeCell="C7" activeCellId="1" sqref="E6:H16 C7:D13"/>
    </sheetView>
  </sheetViews>
  <sheetFormatPr defaultRowHeight="15" x14ac:dyDescent="0.25"/>
  <cols>
    <col min="1" max="2" width="9.5703125" customWidth="1"/>
    <col min="3" max="4" width="27.7109375" customWidth="1"/>
    <col min="5" max="9" width="10.85546875" customWidth="1"/>
  </cols>
  <sheetData>
    <row r="1" spans="1:52" ht="15.75" thickBot="1" x14ac:dyDescent="0.3"/>
    <row r="2" spans="1:52" ht="15.75" thickBot="1" x14ac:dyDescent="0.3">
      <c r="A2" s="4"/>
      <c r="C2" s="533" t="s">
        <v>31</v>
      </c>
      <c r="D2" s="534"/>
      <c r="E2" s="534"/>
      <c r="F2" s="534"/>
      <c r="G2" s="534"/>
      <c r="H2" s="535"/>
      <c r="I2" s="4"/>
    </row>
    <row r="3" spans="1:52" ht="15.75" thickBot="1" x14ac:dyDescent="0.3">
      <c r="A3" s="4"/>
      <c r="B3" s="4"/>
      <c r="C3" s="536" t="s">
        <v>8</v>
      </c>
      <c r="D3" s="537"/>
      <c r="E3" s="42">
        <v>203</v>
      </c>
      <c r="F3" s="42">
        <v>203</v>
      </c>
      <c r="G3" s="42">
        <v>518</v>
      </c>
      <c r="H3" s="42">
        <v>659</v>
      </c>
      <c r="I3" s="4"/>
    </row>
    <row r="4" spans="1:52" ht="128.25" customHeight="1" thickBot="1" x14ac:dyDescent="0.3">
      <c r="A4" s="4"/>
      <c r="B4" s="4"/>
      <c r="C4" s="538"/>
      <c r="D4" s="537"/>
      <c r="E4" s="43" t="s">
        <v>0</v>
      </c>
      <c r="F4" s="44" t="s">
        <v>1</v>
      </c>
      <c r="G4" s="45" t="s">
        <v>30</v>
      </c>
      <c r="H4" s="45" t="s">
        <v>2</v>
      </c>
      <c r="I4" s="39"/>
    </row>
    <row r="5" spans="1:52" ht="18.75" thickBot="1" x14ac:dyDescent="0.3">
      <c r="C5" s="47" t="s">
        <v>7</v>
      </c>
      <c r="D5" s="48" t="s">
        <v>6</v>
      </c>
      <c r="E5" s="42" t="s">
        <v>3</v>
      </c>
      <c r="F5" s="46" t="s">
        <v>3</v>
      </c>
      <c r="G5" s="42" t="s">
        <v>3</v>
      </c>
      <c r="H5" s="42" t="s">
        <v>27</v>
      </c>
      <c r="I5" s="4"/>
    </row>
    <row r="6" spans="1:52" s="3" customFormat="1" ht="18.75" thickBot="1" x14ac:dyDescent="0.3">
      <c r="A6"/>
      <c r="B6"/>
      <c r="C6" s="9"/>
      <c r="D6" s="9"/>
      <c r="E6" s="8"/>
      <c r="F6" s="8"/>
      <c r="G6" s="8"/>
      <c r="H6" s="8"/>
      <c r="I6" s="4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</row>
    <row r="7" spans="1:52" s="2" customFormat="1" x14ac:dyDescent="0.25">
      <c r="A7"/>
      <c r="B7"/>
      <c r="C7" s="6"/>
      <c r="D7" s="6"/>
      <c r="E7" s="7"/>
      <c r="F7" s="7"/>
      <c r="G7" s="7"/>
      <c r="H7" s="52"/>
      <c r="I7" s="40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 s="41"/>
    </row>
    <row r="8" spans="1:52" s="2" customFormat="1" x14ac:dyDescent="0.25">
      <c r="A8"/>
      <c r="B8"/>
      <c r="C8" s="6"/>
      <c r="D8" s="6"/>
      <c r="E8" s="7"/>
      <c r="F8" s="7"/>
      <c r="G8" s="7"/>
      <c r="H8" s="52"/>
      <c r="I8" s="40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 s="41"/>
    </row>
    <row r="9" spans="1:52" x14ac:dyDescent="0.25">
      <c r="C9" s="6"/>
      <c r="D9" s="6"/>
      <c r="E9" s="7"/>
      <c r="F9" s="7"/>
      <c r="G9" s="7"/>
      <c r="H9" s="52"/>
      <c r="I9" s="40"/>
    </row>
    <row r="10" spans="1:52" s="3" customFormat="1" ht="15.75" thickBot="1" x14ac:dyDescent="0.3">
      <c r="A10"/>
      <c r="B10"/>
      <c r="C10" s="6"/>
      <c r="D10" s="6"/>
      <c r="E10" s="7"/>
      <c r="F10" s="7"/>
      <c r="G10" s="7"/>
      <c r="H10" s="52"/>
      <c r="I10" s="4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</row>
    <row r="11" spans="1:52" x14ac:dyDescent="0.25">
      <c r="C11" s="6"/>
      <c r="D11" s="6"/>
      <c r="E11" s="7"/>
      <c r="F11" s="7"/>
      <c r="G11" s="7"/>
      <c r="H11" s="52"/>
      <c r="I11" s="40"/>
    </row>
    <row r="12" spans="1:52" x14ac:dyDescent="0.25">
      <c r="C12" s="6"/>
      <c r="D12" s="6"/>
      <c r="E12" s="7"/>
      <c r="F12" s="7"/>
      <c r="G12" s="7"/>
      <c r="H12" s="52"/>
      <c r="I12" s="40"/>
    </row>
    <row r="13" spans="1:52" x14ac:dyDescent="0.25">
      <c r="C13" s="6"/>
      <c r="D13" s="6"/>
      <c r="E13" s="7"/>
      <c r="F13" s="7"/>
      <c r="G13" s="7"/>
      <c r="H13" s="52"/>
      <c r="I13" s="40"/>
    </row>
    <row r="14" spans="1:52" s="2" customFormat="1" ht="15.75" thickBot="1" x14ac:dyDescent="0.3">
      <c r="A14"/>
      <c r="B14"/>
      <c r="C14" s="10"/>
      <c r="D14" s="10"/>
      <c r="E14" s="11"/>
      <c r="F14" s="11"/>
      <c r="G14" s="11"/>
      <c r="H14" s="11"/>
      <c r="I14" s="40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 s="41"/>
    </row>
    <row r="15" spans="1:52" ht="15.75" customHeight="1" x14ac:dyDescent="0.25">
      <c r="C15" s="541" t="s">
        <v>5</v>
      </c>
      <c r="D15" s="542"/>
      <c r="E15" s="539"/>
      <c r="F15" s="539"/>
      <c r="G15" s="539"/>
      <c r="H15" s="539"/>
      <c r="I15" s="40"/>
    </row>
    <row r="16" spans="1:52" s="3" customFormat="1" ht="15.75" thickBot="1" x14ac:dyDescent="0.3">
      <c r="A16" s="5"/>
      <c r="B16"/>
      <c r="C16" s="543"/>
      <c r="D16" s="544"/>
      <c r="E16" s="540"/>
      <c r="F16" s="540"/>
      <c r="G16" s="540"/>
      <c r="H16" s="540"/>
      <c r="I16" s="40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</row>
    <row r="17" spans="1:52" ht="31.5" customHeight="1" x14ac:dyDescent="0.25">
      <c r="I17" s="4"/>
    </row>
    <row r="22" spans="1:52" x14ac:dyDescent="0.25">
      <c r="A22" t="s">
        <v>4</v>
      </c>
      <c r="B22" s="50"/>
      <c r="C22" t="s">
        <v>28</v>
      </c>
    </row>
    <row r="23" spans="1:52" x14ac:dyDescent="0.25">
      <c r="B23" s="50"/>
      <c r="C23" t="s">
        <v>29</v>
      </c>
    </row>
    <row r="25" spans="1:52" s="3" customFormat="1" ht="15.75" thickBot="1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2" s="2" customForma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 s="41"/>
    </row>
    <row r="28" spans="1:52" s="3" customFormat="1" ht="15.75" thickBot="1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  <row r="29" spans="1:52" s="2" customForma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 s="41"/>
    </row>
    <row r="31" spans="1:52" s="3" customFormat="1" ht="15.75" thickBot="1" x14ac:dyDescent="0.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</row>
  </sheetData>
  <mergeCells count="7">
    <mergeCell ref="C2:H2"/>
    <mergeCell ref="C3:D4"/>
    <mergeCell ref="E15:E16"/>
    <mergeCell ref="F15:F16"/>
    <mergeCell ref="G15:G16"/>
    <mergeCell ref="H15:H16"/>
    <mergeCell ref="C15:D16"/>
  </mergeCells>
  <pageMargins left="0.7" right="0.7" top="0.75" bottom="0.75" header="0.3" footer="0.3"/>
  <pageSetup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F60F2-F530-402B-9F43-B5AF0C028E8E}">
  <dimension ref="A1:G13"/>
  <sheetViews>
    <sheetView tabSelected="1" workbookViewId="0">
      <selection activeCell="B2" sqref="B2"/>
    </sheetView>
  </sheetViews>
  <sheetFormatPr defaultRowHeight="15" x14ac:dyDescent="0.25"/>
  <cols>
    <col min="1" max="1" width="30.42578125" bestFit="1" customWidth="1"/>
    <col min="7" max="7" width="62.5703125" bestFit="1" customWidth="1"/>
  </cols>
  <sheetData>
    <row r="1" spans="1:7" ht="15.75" thickBot="1" x14ac:dyDescent="0.3">
      <c r="A1" s="12" t="s">
        <v>2</v>
      </c>
      <c r="B1" s="13">
        <v>1184412</v>
      </c>
      <c r="C1" s="14" t="s">
        <v>9</v>
      </c>
      <c r="D1" s="15"/>
    </row>
    <row r="2" spans="1:7" ht="16.5" thickTop="1" thickBot="1" x14ac:dyDescent="0.3">
      <c r="A2" s="16" t="s">
        <v>10</v>
      </c>
      <c r="B2" s="17">
        <f>(B3*1)/10000</f>
        <v>13.126809958116667</v>
      </c>
      <c r="C2" s="17" t="s">
        <v>11</v>
      </c>
      <c r="D2" s="18" t="s">
        <v>12</v>
      </c>
    </row>
    <row r="3" spans="1:7" ht="16.5" thickTop="1" thickBot="1" x14ac:dyDescent="0.3">
      <c r="A3" s="19" t="s">
        <v>13</v>
      </c>
      <c r="B3" s="20">
        <f>((B1-F3)*111)/1000</f>
        <v>131268.09958116667</v>
      </c>
      <c r="C3" s="20" t="s">
        <v>14</v>
      </c>
      <c r="D3" s="21"/>
      <c r="F3">
        <f>16348.5745/9</f>
        <v>1816.5082777777779</v>
      </c>
      <c r="G3" t="s">
        <v>109</v>
      </c>
    </row>
    <row r="4" spans="1:7" ht="15.75" thickBot="1" x14ac:dyDescent="0.3">
      <c r="A4" s="22" t="s">
        <v>15</v>
      </c>
      <c r="B4" s="23">
        <f>0.05*B1</f>
        <v>59220.600000000006</v>
      </c>
      <c r="C4" s="23" t="s">
        <v>9</v>
      </c>
      <c r="D4" s="24"/>
    </row>
    <row r="5" spans="1:7" ht="15.75" thickBot="1" x14ac:dyDescent="0.3">
      <c r="A5" s="22" t="s">
        <v>16</v>
      </c>
      <c r="B5" s="23">
        <f>0.05*B1</f>
        <v>59220.600000000006</v>
      </c>
      <c r="C5" s="23" t="s">
        <v>9</v>
      </c>
      <c r="D5" s="24"/>
    </row>
    <row r="6" spans="1:7" ht="15.75" thickBot="1" x14ac:dyDescent="0.3">
      <c r="A6" s="25" t="s">
        <v>17</v>
      </c>
      <c r="B6" s="26">
        <f>(1*B1)/7410</f>
        <v>159.83967611336033</v>
      </c>
      <c r="C6" s="26" t="s">
        <v>18</v>
      </c>
      <c r="D6" s="27"/>
    </row>
    <row r="7" spans="1:7" ht="15.75" thickBot="1" x14ac:dyDescent="0.3">
      <c r="A7" s="28" t="s">
        <v>19</v>
      </c>
      <c r="B7" s="29">
        <f>(0.01*B5)/111.11</f>
        <v>5.3299072990729908</v>
      </c>
      <c r="C7" s="29" t="s">
        <v>18</v>
      </c>
      <c r="D7" s="30"/>
      <c r="F7" s="31"/>
      <c r="G7" s="32"/>
    </row>
    <row r="8" spans="1:7" ht="15.75" thickBot="1" x14ac:dyDescent="0.3">
      <c r="A8" s="33" t="s">
        <v>20</v>
      </c>
      <c r="B8" s="34">
        <f>SUM(B6:B7)</f>
        <v>165.16958341243333</v>
      </c>
      <c r="C8" s="34" t="s">
        <v>18</v>
      </c>
      <c r="D8" s="35"/>
    </row>
    <row r="9" spans="1:7" ht="15.75" thickBot="1" x14ac:dyDescent="0.3">
      <c r="A9" s="22" t="s">
        <v>21</v>
      </c>
      <c r="B9" s="23">
        <f>B1/4840</f>
        <v>244.71322314049587</v>
      </c>
      <c r="C9" s="23" t="s">
        <v>22</v>
      </c>
      <c r="D9" s="24"/>
    </row>
    <row r="10" spans="1:7" x14ac:dyDescent="0.25">
      <c r="A10" s="25" t="s">
        <v>23</v>
      </c>
      <c r="B10" s="26">
        <f>2*((0.0027*B1)/1)</f>
        <v>6395.8248000000003</v>
      </c>
      <c r="C10" s="26" t="s">
        <v>24</v>
      </c>
      <c r="D10" s="27"/>
    </row>
    <row r="11" spans="1:7" x14ac:dyDescent="0.25">
      <c r="A11" s="28" t="s">
        <v>19</v>
      </c>
      <c r="B11" s="29">
        <f>(0.0027*B5)/1</f>
        <v>159.89562000000004</v>
      </c>
      <c r="C11" s="29" t="s">
        <v>24</v>
      </c>
      <c r="D11" s="30"/>
    </row>
    <row r="12" spans="1:7" ht="15.75" thickBot="1" x14ac:dyDescent="0.3">
      <c r="A12" s="33" t="s">
        <v>20</v>
      </c>
      <c r="B12" s="34">
        <f>SUM(B10:B11)</f>
        <v>6555.7204200000006</v>
      </c>
      <c r="C12" s="34" t="s">
        <v>24</v>
      </c>
      <c r="D12" s="35"/>
    </row>
    <row r="13" spans="1:7" ht="15.75" thickBot="1" x14ac:dyDescent="0.3">
      <c r="A13" s="36" t="s">
        <v>25</v>
      </c>
      <c r="B13" s="37">
        <f>(((B1*9)*0.25)/1000)</f>
        <v>2664.9270000000001</v>
      </c>
      <c r="C13" s="37" t="s">
        <v>26</v>
      </c>
      <c r="D13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Totals Combined SR 7</vt:lpstr>
      <vt:lpstr>RAB &amp; DETENT BASINS</vt:lpstr>
      <vt:lpstr>Totals Combined Ramps &amp; State R</vt:lpstr>
      <vt:lpstr>Totals Combined SideRoads</vt:lpstr>
      <vt:lpstr>Sheet Reference</vt:lpstr>
      <vt:lpstr>Seeding calcs</vt:lpstr>
      <vt:lpstr>'Sheet Reference'!Print_Area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2024-07-24T12:31:08Z</dcterms:modified>
</cp:coreProperties>
</file>