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egacy Servers\COLDC01\Projects\Transportation\Projects\ODOT\ConnectConfig\Workspaces\OHDOTCEv02\Worksets\115790\700-Estimating\Stage 3 Subsummary\"/>
    </mc:Choice>
  </mc:AlternateContent>
  <xr:revisionPtr revIDLastSave="0" documentId="13_ncr:1_{D5B3E103-0B7A-42AC-95C8-E0A858FF4AC3}" xr6:coauthVersionLast="47" xr6:coauthVersionMax="47" xr10:uidLastSave="{00000000-0000-0000-0000-000000000000}"/>
  <bookViews>
    <workbookView xWindow="-120" yWindow="-120" windowWidth="29040" windowHeight="15720" xr2:uid="{2FB61978-2BBC-4B83-B5F7-633D2AEE3B39}"/>
  </bookViews>
  <sheets>
    <sheet name="US 224" sheetId="1" r:id="rId1"/>
    <sheet name="Southern BLVD" sheetId="3" r:id="rId2"/>
    <sheet name="South AVE" sheetId="4" r:id="rId3"/>
    <sheet name="California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6" i="1" l="1"/>
  <c r="L196" i="1"/>
  <c r="K196" i="1"/>
  <c r="J196" i="1"/>
  <c r="I196" i="1"/>
  <c r="H196" i="1"/>
  <c r="F196" i="1"/>
  <c r="G196" i="1"/>
  <c r="L45" i="3"/>
  <c r="M45" i="3"/>
  <c r="K45" i="3"/>
  <c r="M29" i="3"/>
  <c r="L29" i="3"/>
  <c r="K29" i="3"/>
  <c r="K26" i="3"/>
  <c r="L26" i="3"/>
  <c r="M26" i="3"/>
  <c r="M24" i="3"/>
  <c r="L24" i="3"/>
  <c r="K24" i="3"/>
  <c r="K7" i="3"/>
  <c r="L7" i="3"/>
  <c r="M7" i="3"/>
  <c r="K10" i="3"/>
  <c r="L10" i="3"/>
  <c r="M10" i="3"/>
  <c r="K13" i="3"/>
  <c r="L13" i="3"/>
  <c r="M13" i="3"/>
  <c r="K16" i="3"/>
  <c r="L16" i="3"/>
  <c r="M16" i="3"/>
  <c r="K19" i="3"/>
  <c r="L19" i="3"/>
  <c r="M19" i="3"/>
  <c r="K22" i="3"/>
  <c r="L22" i="3"/>
  <c r="M22" i="3"/>
  <c r="D2" i="3"/>
  <c r="M4" i="3"/>
  <c r="L4" i="3"/>
  <c r="K4" i="3"/>
  <c r="J19" i="5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2" i="3"/>
  <c r="I45" i="3"/>
  <c r="J45" i="3"/>
  <c r="J2" i="3"/>
  <c r="J27" i="4"/>
  <c r="K7" i="4"/>
  <c r="L7" i="4"/>
  <c r="M7" i="4"/>
  <c r="K10" i="4"/>
  <c r="L10" i="4"/>
  <c r="M10" i="4"/>
  <c r="M4" i="4"/>
  <c r="L4" i="4"/>
  <c r="K4" i="4"/>
  <c r="H9" i="4"/>
  <c r="H3" i="4"/>
  <c r="H4" i="4"/>
  <c r="H5" i="4"/>
  <c r="H6" i="4"/>
  <c r="H7" i="4"/>
  <c r="H8" i="4"/>
  <c r="H10" i="4"/>
  <c r="H11" i="4"/>
  <c r="H2" i="4"/>
  <c r="F3" i="4"/>
  <c r="F4" i="4"/>
  <c r="F5" i="4"/>
  <c r="F6" i="4"/>
  <c r="F7" i="4"/>
  <c r="F8" i="4"/>
  <c r="F9" i="4"/>
  <c r="F10" i="4"/>
  <c r="F11" i="4"/>
  <c r="F2" i="4"/>
  <c r="J10" i="4"/>
  <c r="J3" i="5"/>
  <c r="J2" i="5"/>
  <c r="E130" i="1"/>
  <c r="C130" i="1"/>
  <c r="B130" i="1"/>
  <c r="E129" i="1"/>
  <c r="C129" i="1"/>
  <c r="B129" i="1"/>
  <c r="E128" i="1"/>
  <c r="C128" i="1"/>
  <c r="B128" i="1"/>
  <c r="E124" i="1"/>
  <c r="E123" i="1"/>
  <c r="B123" i="1"/>
  <c r="E122" i="1"/>
  <c r="C122" i="1"/>
  <c r="B122" i="1"/>
  <c r="E121" i="1"/>
  <c r="E120" i="1"/>
  <c r="E119" i="1"/>
  <c r="C119" i="1"/>
  <c r="E117" i="1"/>
  <c r="E116" i="1"/>
  <c r="E115" i="1"/>
  <c r="E114" i="1"/>
  <c r="E113" i="1"/>
  <c r="E112" i="1"/>
  <c r="B99" i="1"/>
  <c r="B98" i="1"/>
  <c r="E97" i="1"/>
  <c r="B97" i="1"/>
  <c r="B96" i="1"/>
  <c r="E95" i="1"/>
  <c r="E94" i="1"/>
  <c r="E90" i="1"/>
  <c r="E88" i="1"/>
  <c r="C88" i="1"/>
  <c r="E87" i="1"/>
  <c r="E86" i="1"/>
  <c r="E85" i="1"/>
  <c r="B85" i="1"/>
  <c r="E84" i="1"/>
  <c r="B84" i="1"/>
  <c r="E83" i="1"/>
  <c r="B83" i="1"/>
  <c r="E82" i="1"/>
  <c r="C82" i="1"/>
  <c r="B82" i="1"/>
  <c r="E81" i="1"/>
  <c r="C81" i="1"/>
  <c r="B81" i="1"/>
  <c r="B80" i="1"/>
  <c r="E79" i="1"/>
  <c r="C79" i="1"/>
  <c r="B79" i="1"/>
  <c r="E78" i="1"/>
  <c r="B78" i="1"/>
  <c r="E77" i="1"/>
  <c r="B77" i="1"/>
  <c r="E76" i="1"/>
  <c r="B76" i="1"/>
  <c r="E75" i="1"/>
  <c r="B75" i="1"/>
  <c r="E74" i="1"/>
  <c r="C74" i="1"/>
  <c r="B74" i="1"/>
  <c r="E73" i="1"/>
  <c r="B73" i="1"/>
  <c r="E72" i="1"/>
  <c r="B72" i="1"/>
  <c r="E71" i="1"/>
  <c r="C71" i="1"/>
  <c r="B71" i="1"/>
  <c r="B70" i="1"/>
  <c r="E69" i="1"/>
  <c r="B69" i="1"/>
  <c r="E68" i="1"/>
  <c r="B68" i="1"/>
  <c r="E67" i="1"/>
  <c r="B67" i="1"/>
  <c r="E66" i="1"/>
  <c r="C66" i="1"/>
  <c r="B66" i="1"/>
  <c r="B65" i="1"/>
  <c r="A65" i="1"/>
  <c r="G64" i="1" s="1"/>
  <c r="H64" i="1" s="1"/>
  <c r="E64" i="1"/>
  <c r="B64" i="1"/>
  <c r="B63" i="1"/>
  <c r="E62" i="1"/>
  <c r="B62" i="1"/>
  <c r="E61" i="1"/>
  <c r="B61" i="1"/>
  <c r="E60" i="1"/>
  <c r="B60" i="1"/>
  <c r="B59" i="1"/>
  <c r="E58" i="1"/>
  <c r="B58" i="1"/>
  <c r="E57" i="1"/>
  <c r="B57" i="1"/>
  <c r="E56" i="1"/>
  <c r="C56" i="1"/>
  <c r="B56" i="1"/>
  <c r="A56" i="1"/>
  <c r="A57" i="1" s="1"/>
  <c r="A58" i="1" s="1"/>
  <c r="E55" i="1"/>
  <c r="C55" i="1"/>
  <c r="G55" i="1" s="1"/>
  <c r="H55" i="1" s="1"/>
  <c r="B55" i="1"/>
  <c r="D55" i="1" s="1"/>
  <c r="F55" i="1" s="1"/>
  <c r="E54" i="1"/>
  <c r="C54" i="1"/>
  <c r="B54" i="1"/>
  <c r="E53" i="1"/>
  <c r="B53" i="1"/>
  <c r="E52" i="1"/>
  <c r="B52" i="1"/>
  <c r="E51" i="1"/>
  <c r="B51" i="1"/>
  <c r="E50" i="1"/>
  <c r="B50" i="1"/>
  <c r="B49" i="1"/>
  <c r="E48" i="1"/>
  <c r="B48" i="1"/>
  <c r="E47" i="1"/>
  <c r="B47" i="1"/>
  <c r="E46" i="1"/>
  <c r="B46" i="1"/>
  <c r="E45" i="1"/>
  <c r="B45" i="1"/>
  <c r="E44" i="1"/>
  <c r="B44" i="1"/>
  <c r="B43" i="1"/>
  <c r="E42" i="1"/>
  <c r="B42" i="1"/>
  <c r="E41" i="1"/>
  <c r="B41" i="1"/>
  <c r="B39" i="1"/>
  <c r="E34" i="1"/>
  <c r="B34" i="1"/>
  <c r="E33" i="1"/>
  <c r="C33" i="1"/>
  <c r="B33" i="1"/>
  <c r="E31" i="1"/>
  <c r="E30" i="1"/>
  <c r="E29" i="1"/>
  <c r="E27" i="1"/>
  <c r="C27" i="1"/>
  <c r="B27" i="1"/>
  <c r="E20" i="1"/>
  <c r="B20" i="1"/>
  <c r="A18" i="1"/>
  <c r="I17" i="1" s="1"/>
  <c r="J17" i="1" s="1"/>
  <c r="E16" i="1"/>
  <c r="I16" i="1" s="1"/>
  <c r="J16" i="1" s="1"/>
  <c r="D16" i="1"/>
  <c r="F16" i="1" s="1"/>
  <c r="C16" i="1"/>
  <c r="G16" i="1" s="1"/>
  <c r="H16" i="1" s="1"/>
  <c r="I15" i="1"/>
  <c r="J15" i="1" s="1"/>
  <c r="G15" i="1"/>
  <c r="H15" i="1" s="1"/>
  <c r="D15" i="1"/>
  <c r="F15" i="1" s="1"/>
  <c r="I14" i="1"/>
  <c r="J14" i="1" s="1"/>
  <c r="G14" i="1"/>
  <c r="H14" i="1" s="1"/>
  <c r="D14" i="1"/>
  <c r="F14" i="1" s="1"/>
  <c r="I13" i="1"/>
  <c r="J13" i="1" s="1"/>
  <c r="G13" i="1"/>
  <c r="H13" i="1" s="1"/>
  <c r="D13" i="1"/>
  <c r="F13" i="1" s="1"/>
  <c r="E12" i="1"/>
  <c r="I12" i="1" s="1"/>
  <c r="J12" i="1" s="1"/>
  <c r="D12" i="1"/>
  <c r="F12" i="1" s="1"/>
  <c r="C12" i="1"/>
  <c r="G12" i="1" s="1"/>
  <c r="H12" i="1" s="1"/>
  <c r="I11" i="1"/>
  <c r="J11" i="1" s="1"/>
  <c r="G11" i="1"/>
  <c r="H11" i="1" s="1"/>
  <c r="D11" i="1"/>
  <c r="F11" i="1" s="1"/>
  <c r="I10" i="1"/>
  <c r="J10" i="1" s="1"/>
  <c r="G10" i="1"/>
  <c r="H10" i="1" s="1"/>
  <c r="B10" i="1"/>
  <c r="D10" i="1" s="1"/>
  <c r="F10" i="1" s="1"/>
  <c r="I9" i="1"/>
  <c r="J9" i="1" s="1"/>
  <c r="G9" i="1"/>
  <c r="H9" i="1" s="1"/>
  <c r="D9" i="1"/>
  <c r="F9" i="1" s="1"/>
  <c r="I8" i="1"/>
  <c r="J8" i="1" s="1"/>
  <c r="G8" i="1"/>
  <c r="H8" i="1" s="1"/>
  <c r="D8" i="1"/>
  <c r="F8" i="1" s="1"/>
  <c r="I7" i="1"/>
  <c r="J7" i="1" s="1"/>
  <c r="G7" i="1"/>
  <c r="H7" i="1" s="1"/>
  <c r="F7" i="1"/>
  <c r="D7" i="1"/>
  <c r="I6" i="1"/>
  <c r="J6" i="1" s="1"/>
  <c r="G6" i="1"/>
  <c r="H6" i="1" s="1"/>
  <c r="D6" i="1"/>
  <c r="F6" i="1" s="1"/>
  <c r="I5" i="1"/>
  <c r="J5" i="1" s="1"/>
  <c r="D5" i="1"/>
  <c r="F5" i="1" s="1"/>
  <c r="C5" i="1"/>
  <c r="G5" i="1" s="1"/>
  <c r="H5" i="1" s="1"/>
  <c r="E4" i="1"/>
  <c r="I4" i="1" s="1"/>
  <c r="J4" i="1" s="1"/>
  <c r="C4" i="1"/>
  <c r="G4" i="1" s="1"/>
  <c r="H4" i="1" s="1"/>
  <c r="B4" i="1"/>
  <c r="D4" i="1" s="1"/>
  <c r="F4" i="1" s="1"/>
  <c r="E3" i="1"/>
  <c r="I3" i="1" s="1"/>
  <c r="J3" i="1" s="1"/>
  <c r="C3" i="1"/>
  <c r="G3" i="1" s="1"/>
  <c r="H3" i="1" s="1"/>
  <c r="B3" i="1"/>
  <c r="D3" i="1" s="1"/>
  <c r="F3" i="1" s="1"/>
  <c r="E2" i="1"/>
  <c r="I2" i="1" s="1"/>
  <c r="J2" i="1" s="1"/>
  <c r="C2" i="1"/>
  <c r="B2" i="1"/>
  <c r="D2" i="1" s="1"/>
  <c r="F2" i="1" s="1"/>
  <c r="H3" i="5"/>
  <c r="C3" i="5"/>
  <c r="B3" i="5"/>
  <c r="D3" i="5"/>
  <c r="E3" i="5" s="1"/>
  <c r="H2" i="5"/>
  <c r="I2" i="5" s="1"/>
  <c r="C2" i="5"/>
  <c r="B2" i="5"/>
  <c r="D2" i="5" s="1"/>
  <c r="E2" i="5" s="1"/>
  <c r="F2" i="5"/>
  <c r="G2" i="5"/>
  <c r="F3" i="5"/>
  <c r="G3" i="5" s="1"/>
  <c r="I3" i="5"/>
  <c r="E10" i="4"/>
  <c r="I10" i="4" s="1"/>
  <c r="C10" i="4"/>
  <c r="G10" i="4" s="1"/>
  <c r="B10" i="4"/>
  <c r="E9" i="4"/>
  <c r="B9" i="4"/>
  <c r="E4" i="4"/>
  <c r="C4" i="4"/>
  <c r="B4" i="4"/>
  <c r="C3" i="4"/>
  <c r="B3" i="4"/>
  <c r="E2" i="4"/>
  <c r="C2" i="4"/>
  <c r="B2" i="4"/>
  <c r="D2" i="4" s="1"/>
  <c r="D10" i="4"/>
  <c r="I2" i="4"/>
  <c r="J2" i="4" s="1"/>
  <c r="A10" i="4"/>
  <c r="A11" i="4"/>
  <c r="A3" i="4"/>
  <c r="G92" i="4"/>
  <c r="G45" i="4"/>
  <c r="A4" i="4"/>
  <c r="C27" i="3"/>
  <c r="B27" i="3"/>
  <c r="E27" i="3"/>
  <c r="E26" i="3"/>
  <c r="C26" i="3"/>
  <c r="B26" i="3"/>
  <c r="G45" i="3"/>
  <c r="E25" i="3"/>
  <c r="C25" i="3"/>
  <c r="B25" i="3"/>
  <c r="E24" i="3"/>
  <c r="B24" i="3"/>
  <c r="E23" i="3"/>
  <c r="B23" i="3"/>
  <c r="B22" i="3"/>
  <c r="B21" i="3"/>
  <c r="E20" i="3"/>
  <c r="B20" i="3"/>
  <c r="E19" i="3"/>
  <c r="B19" i="3"/>
  <c r="E18" i="3"/>
  <c r="B18" i="3"/>
  <c r="E17" i="3"/>
  <c r="B17" i="3"/>
  <c r="A17" i="3"/>
  <c r="E16" i="3"/>
  <c r="C16" i="3"/>
  <c r="E12" i="3"/>
  <c r="A13" i="3"/>
  <c r="A12" i="3"/>
  <c r="E4" i="3"/>
  <c r="B4" i="3"/>
  <c r="C4" i="3"/>
  <c r="B3" i="3"/>
  <c r="C2" i="3"/>
  <c r="C3" i="3"/>
  <c r="E2" i="3"/>
  <c r="I2" i="3" s="1"/>
  <c r="B2" i="3"/>
  <c r="G2" i="3" s="1"/>
  <c r="A4" i="3"/>
  <c r="A5" i="3" s="1"/>
  <c r="A6" i="3" s="1"/>
  <c r="G92" i="3"/>
  <c r="I3" i="3"/>
  <c r="J3" i="3" s="1"/>
  <c r="D4" i="3" l="1"/>
  <c r="G4" i="3"/>
  <c r="G3" i="3"/>
  <c r="I4" i="3"/>
  <c r="J4" i="3" s="1"/>
  <c r="D3" i="3"/>
  <c r="I55" i="1"/>
  <c r="J55" i="1" s="1"/>
  <c r="D17" i="1"/>
  <c r="F17" i="1" s="1"/>
  <c r="G17" i="1"/>
  <c r="H17" i="1" s="1"/>
  <c r="G2" i="1"/>
  <c r="H2" i="1" s="1"/>
  <c r="L4" i="1" s="1"/>
  <c r="K10" i="1"/>
  <c r="D64" i="1"/>
  <c r="F64" i="1" s="1"/>
  <c r="I64" i="1"/>
  <c r="J64" i="1" s="1"/>
  <c r="K16" i="1"/>
  <c r="I57" i="1"/>
  <c r="J57" i="1" s="1"/>
  <c r="L10" i="1"/>
  <c r="M10" i="1"/>
  <c r="L13" i="1"/>
  <c r="K13" i="1"/>
  <c r="M16" i="1"/>
  <c r="M7" i="1"/>
  <c r="A19" i="1"/>
  <c r="A66" i="1"/>
  <c r="I65" i="1" s="1"/>
  <c r="J65" i="1" s="1"/>
  <c r="M65" i="1" s="1"/>
  <c r="D56" i="1"/>
  <c r="F56" i="1" s="1"/>
  <c r="G56" i="1"/>
  <c r="H56" i="1" s="1"/>
  <c r="M4" i="1"/>
  <c r="L7" i="1"/>
  <c r="L16" i="1"/>
  <c r="K4" i="1"/>
  <c r="G65" i="1"/>
  <c r="H65" i="1" s="1"/>
  <c r="L65" i="1" s="1"/>
  <c r="D65" i="1"/>
  <c r="F65" i="1" s="1"/>
  <c r="K65" i="1" s="1"/>
  <c r="K7" i="1"/>
  <c r="A59" i="1"/>
  <c r="I58" i="1" s="1"/>
  <c r="J58" i="1" s="1"/>
  <c r="G57" i="1"/>
  <c r="H57" i="1" s="1"/>
  <c r="M13" i="1"/>
  <c r="D57" i="1"/>
  <c r="F57" i="1" s="1"/>
  <c r="I56" i="1"/>
  <c r="J56" i="1" s="1"/>
  <c r="I19" i="5"/>
  <c r="G19" i="5"/>
  <c r="F19" i="5"/>
  <c r="E19" i="5"/>
  <c r="I11" i="4"/>
  <c r="J11" i="4" s="1"/>
  <c r="G11" i="4"/>
  <c r="D11" i="4"/>
  <c r="G3" i="4"/>
  <c r="D3" i="4"/>
  <c r="A5" i="4"/>
  <c r="I3" i="4"/>
  <c r="J3" i="4" s="1"/>
  <c r="G2" i="4"/>
  <c r="A7" i="3"/>
  <c r="D5" i="3"/>
  <c r="G5" i="3"/>
  <c r="I5" i="3"/>
  <c r="J5" i="3" s="1"/>
  <c r="D18" i="1" l="1"/>
  <c r="F18" i="1" s="1"/>
  <c r="A20" i="1"/>
  <c r="I18" i="1"/>
  <c r="J18" i="1" s="1"/>
  <c r="G18" i="1"/>
  <c r="H18" i="1" s="1"/>
  <c r="A67" i="1"/>
  <c r="I66" i="1" s="1"/>
  <c r="J66" i="1" s="1"/>
  <c r="M58" i="1"/>
  <c r="A68" i="1"/>
  <c r="D66" i="1"/>
  <c r="F66" i="1" s="1"/>
  <c r="D58" i="1"/>
  <c r="F58" i="1" s="1"/>
  <c r="K58" i="1" s="1"/>
  <c r="A60" i="1"/>
  <c r="G58" i="1"/>
  <c r="H58" i="1" s="1"/>
  <c r="L58" i="1" s="1"/>
  <c r="D4" i="4"/>
  <c r="G4" i="4"/>
  <c r="I4" i="4"/>
  <c r="J4" i="4" s="1"/>
  <c r="A6" i="4"/>
  <c r="A8" i="3"/>
  <c r="I6" i="3"/>
  <c r="J6" i="3" s="1"/>
  <c r="D6" i="3"/>
  <c r="G6" i="3"/>
  <c r="A21" i="1" l="1"/>
  <c r="I19" i="1"/>
  <c r="J19" i="1" s="1"/>
  <c r="M19" i="1" s="1"/>
  <c r="D19" i="1"/>
  <c r="F19" i="1" s="1"/>
  <c r="K19" i="1" s="1"/>
  <c r="G19" i="1"/>
  <c r="H19" i="1" s="1"/>
  <c r="L19" i="1" s="1"/>
  <c r="G66" i="1"/>
  <c r="H66" i="1" s="1"/>
  <c r="A69" i="1"/>
  <c r="G67" i="1"/>
  <c r="H67" i="1" s="1"/>
  <c r="D67" i="1"/>
  <c r="F67" i="1" s="1"/>
  <c r="I67" i="1"/>
  <c r="J67" i="1" s="1"/>
  <c r="G59" i="1"/>
  <c r="H59" i="1" s="1"/>
  <c r="A61" i="1"/>
  <c r="D59" i="1"/>
  <c r="F59" i="1" s="1"/>
  <c r="I59" i="1"/>
  <c r="J59" i="1" s="1"/>
  <c r="A7" i="4"/>
  <c r="D5" i="4"/>
  <c r="G5" i="4"/>
  <c r="I5" i="4"/>
  <c r="J5" i="4" s="1"/>
  <c r="A9" i="3"/>
  <c r="G7" i="3"/>
  <c r="I7" i="3"/>
  <c r="J7" i="3" s="1"/>
  <c r="D7" i="3"/>
  <c r="A22" i="1" l="1"/>
  <c r="G20" i="1"/>
  <c r="H20" i="1" s="1"/>
  <c r="D20" i="1"/>
  <c r="F20" i="1" s="1"/>
  <c r="I20" i="1"/>
  <c r="J20" i="1" s="1"/>
  <c r="I68" i="1"/>
  <c r="J68" i="1" s="1"/>
  <c r="M68" i="1" s="1"/>
  <c r="A70" i="1"/>
  <c r="G68" i="1"/>
  <c r="H68" i="1" s="1"/>
  <c r="L68" i="1" s="1"/>
  <c r="D68" i="1"/>
  <c r="F68" i="1" s="1"/>
  <c r="K68" i="1" s="1"/>
  <c r="G60" i="1"/>
  <c r="H60" i="1" s="1"/>
  <c r="A62" i="1"/>
  <c r="D60" i="1"/>
  <c r="F60" i="1" s="1"/>
  <c r="G62" i="1"/>
  <c r="H62" i="1" s="1"/>
  <c r="I60" i="1"/>
  <c r="J60" i="1" s="1"/>
  <c r="D62" i="1"/>
  <c r="F62" i="1" s="1"/>
  <c r="I62" i="1"/>
  <c r="J62" i="1" s="1"/>
  <c r="A8" i="4"/>
  <c r="D6" i="4"/>
  <c r="G6" i="4"/>
  <c r="I6" i="4"/>
  <c r="J6" i="4" s="1"/>
  <c r="A10" i="3"/>
  <c r="G8" i="3"/>
  <c r="D8" i="3"/>
  <c r="I8" i="3"/>
  <c r="J8" i="3" s="1"/>
  <c r="G21" i="1" l="1"/>
  <c r="H21" i="1" s="1"/>
  <c r="I21" i="1"/>
  <c r="J21" i="1" s="1"/>
  <c r="D21" i="1"/>
  <c r="F21" i="1" s="1"/>
  <c r="A23" i="1"/>
  <c r="A71" i="1"/>
  <c r="G69" i="1"/>
  <c r="H69" i="1" s="1"/>
  <c r="I69" i="1"/>
  <c r="J69" i="1" s="1"/>
  <c r="D69" i="1"/>
  <c r="F69" i="1" s="1"/>
  <c r="I63" i="1"/>
  <c r="J63" i="1" s="1"/>
  <c r="M64" i="1" s="1"/>
  <c r="D63" i="1"/>
  <c r="F63" i="1" s="1"/>
  <c r="K64" i="1" s="1"/>
  <c r="G63" i="1"/>
  <c r="H63" i="1" s="1"/>
  <c r="L64" i="1" s="1"/>
  <c r="G61" i="1"/>
  <c r="H61" i="1" s="1"/>
  <c r="L61" i="1" s="1"/>
  <c r="D61" i="1"/>
  <c r="F61" i="1" s="1"/>
  <c r="K61" i="1" s="1"/>
  <c r="I61" i="1"/>
  <c r="J61" i="1" s="1"/>
  <c r="M61" i="1" s="1"/>
  <c r="A9" i="4"/>
  <c r="D7" i="4"/>
  <c r="G7" i="4"/>
  <c r="I7" i="4"/>
  <c r="J7" i="4" s="1"/>
  <c r="A11" i="3"/>
  <c r="D9" i="3"/>
  <c r="I9" i="3"/>
  <c r="J9" i="3" s="1"/>
  <c r="G9" i="3"/>
  <c r="G9" i="4" l="1"/>
  <c r="D9" i="4"/>
  <c r="I9" i="4"/>
  <c r="J9" i="4" s="1"/>
  <c r="D22" i="1"/>
  <c r="F22" i="1" s="1"/>
  <c r="K22" i="1" s="1"/>
  <c r="I22" i="1"/>
  <c r="J22" i="1" s="1"/>
  <c r="M22" i="1" s="1"/>
  <c r="G22" i="1"/>
  <c r="H22" i="1" s="1"/>
  <c r="L22" i="1" s="1"/>
  <c r="A24" i="1"/>
  <c r="A72" i="1"/>
  <c r="I70" i="1"/>
  <c r="J70" i="1" s="1"/>
  <c r="G70" i="1"/>
  <c r="H70" i="1" s="1"/>
  <c r="D70" i="1"/>
  <c r="F70" i="1" s="1"/>
  <c r="D8" i="4"/>
  <c r="G8" i="4"/>
  <c r="I8" i="4"/>
  <c r="G10" i="3"/>
  <c r="D10" i="3"/>
  <c r="I10" i="3"/>
  <c r="J10" i="3" s="1"/>
  <c r="I27" i="4" l="1"/>
  <c r="J8" i="4"/>
  <c r="A25" i="1"/>
  <c r="I23" i="1"/>
  <c r="J23" i="1" s="1"/>
  <c r="D23" i="1"/>
  <c r="F23" i="1" s="1"/>
  <c r="G23" i="1"/>
  <c r="H23" i="1" s="1"/>
  <c r="I71" i="1"/>
  <c r="J71" i="1" s="1"/>
  <c r="M71" i="1" s="1"/>
  <c r="A73" i="1"/>
  <c r="G71" i="1"/>
  <c r="H71" i="1" s="1"/>
  <c r="L71" i="1" s="1"/>
  <c r="D71" i="1"/>
  <c r="F71" i="1" s="1"/>
  <c r="K71" i="1" s="1"/>
  <c r="G27" i="4"/>
  <c r="F27" i="4"/>
  <c r="H27" i="4"/>
  <c r="G11" i="3"/>
  <c r="D11" i="3"/>
  <c r="I11" i="3"/>
  <c r="J11" i="3" s="1"/>
  <c r="D24" i="1" l="1"/>
  <c r="F24" i="1" s="1"/>
  <c r="A26" i="1"/>
  <c r="G24" i="1"/>
  <c r="H24" i="1" s="1"/>
  <c r="I24" i="1"/>
  <c r="J24" i="1" s="1"/>
  <c r="I72" i="1"/>
  <c r="J72" i="1" s="1"/>
  <c r="G72" i="1"/>
  <c r="H72" i="1" s="1"/>
  <c r="A74" i="1"/>
  <c r="D72" i="1"/>
  <c r="F72" i="1" s="1"/>
  <c r="F45" i="4"/>
  <c r="F92" i="4" s="1"/>
  <c r="H45" i="4"/>
  <c r="H92" i="4" s="1"/>
  <c r="A14" i="3"/>
  <c r="D12" i="3"/>
  <c r="G12" i="3"/>
  <c r="I12" i="3"/>
  <c r="J12" i="3" s="1"/>
  <c r="I25" i="1" l="1"/>
  <c r="J25" i="1" s="1"/>
  <c r="M25" i="1" s="1"/>
  <c r="D25" i="1"/>
  <c r="F25" i="1" s="1"/>
  <c r="K25" i="1" s="1"/>
  <c r="A27" i="1"/>
  <c r="G25" i="1"/>
  <c r="H25" i="1" s="1"/>
  <c r="L25" i="1" s="1"/>
  <c r="D73" i="1"/>
  <c r="F73" i="1" s="1"/>
  <c r="G73" i="1"/>
  <c r="H73" i="1" s="1"/>
  <c r="A75" i="1"/>
  <c r="I73" i="1"/>
  <c r="J73" i="1" s="1"/>
  <c r="I45" i="4"/>
  <c r="I92" i="4" s="1"/>
  <c r="A15" i="3"/>
  <c r="D13" i="3"/>
  <c r="G13" i="3"/>
  <c r="I13" i="3"/>
  <c r="J13" i="3" s="1"/>
  <c r="A28" i="1" l="1"/>
  <c r="I26" i="1"/>
  <c r="J26" i="1" s="1"/>
  <c r="G26" i="1"/>
  <c r="H26" i="1" s="1"/>
  <c r="D26" i="1"/>
  <c r="F26" i="1" s="1"/>
  <c r="A76" i="1"/>
  <c r="G74" i="1"/>
  <c r="H74" i="1" s="1"/>
  <c r="L74" i="1" s="1"/>
  <c r="I74" i="1"/>
  <c r="J74" i="1" s="1"/>
  <c r="M74" i="1" s="1"/>
  <c r="D74" i="1"/>
  <c r="F74" i="1" s="1"/>
  <c r="K74" i="1" s="1"/>
  <c r="A16" i="3"/>
  <c r="D14" i="3"/>
  <c r="G14" i="3"/>
  <c r="I14" i="3"/>
  <c r="J14" i="3" s="1"/>
  <c r="I16" i="3" l="1"/>
  <c r="J16" i="3" s="1"/>
  <c r="D16" i="3"/>
  <c r="G16" i="3"/>
  <c r="G27" i="1"/>
  <c r="H27" i="1" s="1"/>
  <c r="A29" i="1"/>
  <c r="I29" i="1"/>
  <c r="J29" i="1" s="1"/>
  <c r="D27" i="1"/>
  <c r="F27" i="1" s="1"/>
  <c r="I27" i="1"/>
  <c r="J27" i="1" s="1"/>
  <c r="G29" i="1"/>
  <c r="H29" i="1" s="1"/>
  <c r="D29" i="1"/>
  <c r="F29" i="1" s="1"/>
  <c r="G75" i="1"/>
  <c r="H75" i="1" s="1"/>
  <c r="D75" i="1"/>
  <c r="F75" i="1" s="1"/>
  <c r="A77" i="1"/>
  <c r="I75" i="1"/>
  <c r="J75" i="1" s="1"/>
  <c r="D15" i="3"/>
  <c r="G15" i="3"/>
  <c r="I15" i="3"/>
  <c r="J15" i="3" s="1"/>
  <c r="I28" i="1" l="1"/>
  <c r="J28" i="1" s="1"/>
  <c r="M28" i="1" s="1"/>
  <c r="A31" i="1"/>
  <c r="G28" i="1"/>
  <c r="H28" i="1" s="1"/>
  <c r="L28" i="1" s="1"/>
  <c r="D28" i="1"/>
  <c r="F28" i="1" s="1"/>
  <c r="K28" i="1" s="1"/>
  <c r="A78" i="1"/>
  <c r="G76" i="1"/>
  <c r="H76" i="1" s="1"/>
  <c r="D76" i="1"/>
  <c r="F76" i="1" s="1"/>
  <c r="I76" i="1"/>
  <c r="J76" i="1" s="1"/>
  <c r="A18" i="3"/>
  <c r="G17" i="3" l="1"/>
  <c r="D17" i="3"/>
  <c r="I17" i="3"/>
  <c r="J17" i="3" s="1"/>
  <c r="D30" i="1"/>
  <c r="F30" i="1" s="1"/>
  <c r="G30" i="1"/>
  <c r="H30" i="1" s="1"/>
  <c r="A32" i="1"/>
  <c r="I30" i="1"/>
  <c r="J30" i="1" s="1"/>
  <c r="G77" i="1"/>
  <c r="H77" i="1" s="1"/>
  <c r="L77" i="1" s="1"/>
  <c r="D77" i="1"/>
  <c r="F77" i="1" s="1"/>
  <c r="K77" i="1" s="1"/>
  <c r="A79" i="1"/>
  <c r="I77" i="1"/>
  <c r="J77" i="1" s="1"/>
  <c r="M77" i="1" s="1"/>
  <c r="A19" i="3"/>
  <c r="G31" i="1" l="1"/>
  <c r="H31" i="1" s="1"/>
  <c r="L31" i="1" s="1"/>
  <c r="D31" i="1"/>
  <c r="F31" i="1" s="1"/>
  <c r="K31" i="1" s="1"/>
  <c r="I31" i="1"/>
  <c r="J31" i="1" s="1"/>
  <c r="M31" i="1" s="1"/>
  <c r="A33" i="1"/>
  <c r="A80" i="1"/>
  <c r="G78" i="1"/>
  <c r="H78" i="1" s="1"/>
  <c r="D78" i="1"/>
  <c r="F78" i="1" s="1"/>
  <c r="I78" i="1"/>
  <c r="J78" i="1" s="1"/>
  <c r="I18" i="3"/>
  <c r="J18" i="3" s="1"/>
  <c r="G18" i="3"/>
  <c r="D18" i="3"/>
  <c r="A20" i="3"/>
  <c r="G32" i="1" l="1"/>
  <c r="H32" i="1" s="1"/>
  <c r="D32" i="1"/>
  <c r="F32" i="1" s="1"/>
  <c r="I32" i="1"/>
  <c r="J32" i="1" s="1"/>
  <c r="A34" i="1"/>
  <c r="A81" i="1"/>
  <c r="D79" i="1"/>
  <c r="F79" i="1" s="1"/>
  <c r="I79" i="1"/>
  <c r="J79" i="1" s="1"/>
  <c r="G79" i="1"/>
  <c r="H79" i="1" s="1"/>
  <c r="D19" i="3"/>
  <c r="I19" i="3"/>
  <c r="J19" i="3" s="1"/>
  <c r="G19" i="3"/>
  <c r="A21" i="3"/>
  <c r="D33" i="1" l="1"/>
  <c r="F33" i="1" s="1"/>
  <c r="A35" i="1"/>
  <c r="I33" i="1"/>
  <c r="J33" i="1" s="1"/>
  <c r="G33" i="1"/>
  <c r="H33" i="1" s="1"/>
  <c r="A82" i="1"/>
  <c r="D80" i="1"/>
  <c r="F80" i="1" s="1"/>
  <c r="K80" i="1" s="1"/>
  <c r="G80" i="1"/>
  <c r="H80" i="1" s="1"/>
  <c r="L80" i="1" s="1"/>
  <c r="I80" i="1"/>
  <c r="J80" i="1" s="1"/>
  <c r="M80" i="1" s="1"/>
  <c r="I20" i="3"/>
  <c r="J20" i="3" s="1"/>
  <c r="D20" i="3"/>
  <c r="G20" i="3"/>
  <c r="A36" i="1" l="1"/>
  <c r="D34" i="1"/>
  <c r="F34" i="1" s="1"/>
  <c r="K34" i="1" s="1"/>
  <c r="I34" i="1"/>
  <c r="J34" i="1" s="1"/>
  <c r="M34" i="1" s="1"/>
  <c r="G34" i="1"/>
  <c r="H34" i="1" s="1"/>
  <c r="L34" i="1" s="1"/>
  <c r="A83" i="1"/>
  <c r="G81" i="1"/>
  <c r="H81" i="1" s="1"/>
  <c r="D81" i="1"/>
  <c r="F81" i="1" s="1"/>
  <c r="I81" i="1"/>
  <c r="J81" i="1" s="1"/>
  <c r="G21" i="3"/>
  <c r="I21" i="3"/>
  <c r="J21" i="3" s="1"/>
  <c r="D21" i="3"/>
  <c r="G35" i="1" l="1"/>
  <c r="H35" i="1" s="1"/>
  <c r="I35" i="1"/>
  <c r="J35" i="1" s="1"/>
  <c r="A37" i="1"/>
  <c r="D35" i="1"/>
  <c r="F35" i="1" s="1"/>
  <c r="I82" i="1"/>
  <c r="J82" i="1" s="1"/>
  <c r="G82" i="1"/>
  <c r="H82" i="1" s="1"/>
  <c r="L82" i="1" s="1"/>
  <c r="A84" i="1"/>
  <c r="D82" i="1"/>
  <c r="F82" i="1" s="1"/>
  <c r="K82" i="1" s="1"/>
  <c r="M82" i="1"/>
  <c r="D22" i="3"/>
  <c r="I22" i="3"/>
  <c r="J22" i="3" s="1"/>
  <c r="G22" i="3"/>
  <c r="A24" i="3"/>
  <c r="A38" i="1" l="1"/>
  <c r="I36" i="1"/>
  <c r="J36" i="1" s="1"/>
  <c r="D36" i="1"/>
  <c r="F36" i="1" s="1"/>
  <c r="G36" i="1"/>
  <c r="H36" i="1" s="1"/>
  <c r="G83" i="1"/>
  <c r="H83" i="1" s="1"/>
  <c r="A85" i="1"/>
  <c r="I83" i="1"/>
  <c r="J83" i="1" s="1"/>
  <c r="D83" i="1"/>
  <c r="F83" i="1" s="1"/>
  <c r="I23" i="3"/>
  <c r="J23" i="3" s="1"/>
  <c r="G23" i="3"/>
  <c r="D23" i="3"/>
  <c r="A25" i="3"/>
  <c r="I37" i="1" l="1"/>
  <c r="J37" i="1" s="1"/>
  <c r="M37" i="1" s="1"/>
  <c r="A39" i="1"/>
  <c r="G37" i="1"/>
  <c r="H37" i="1" s="1"/>
  <c r="L37" i="1" s="1"/>
  <c r="D37" i="1"/>
  <c r="F37" i="1" s="1"/>
  <c r="K37" i="1" s="1"/>
  <c r="G84" i="1"/>
  <c r="H84" i="1" s="1"/>
  <c r="A86" i="1"/>
  <c r="D84" i="1"/>
  <c r="F84" i="1" s="1"/>
  <c r="I84" i="1"/>
  <c r="J84" i="1" s="1"/>
  <c r="M84" i="1" s="1"/>
  <c r="K84" i="1"/>
  <c r="L84" i="1"/>
  <c r="I24" i="3"/>
  <c r="J24" i="3" s="1"/>
  <c r="D24" i="3"/>
  <c r="G24" i="3"/>
  <c r="A26" i="3"/>
  <c r="D38" i="1" l="1"/>
  <c r="F38" i="1" s="1"/>
  <c r="G38" i="1"/>
  <c r="H38" i="1" s="1"/>
  <c r="I38" i="1"/>
  <c r="J38" i="1" s="1"/>
  <c r="A40" i="1"/>
  <c r="A87" i="1"/>
  <c r="G85" i="1"/>
  <c r="H85" i="1" s="1"/>
  <c r="D85" i="1"/>
  <c r="F85" i="1" s="1"/>
  <c r="I85" i="1"/>
  <c r="J85" i="1" s="1"/>
  <c r="I25" i="3"/>
  <c r="J25" i="3" s="1"/>
  <c r="G25" i="3"/>
  <c r="D25" i="3"/>
  <c r="A27" i="3"/>
  <c r="I39" i="1" l="1"/>
  <c r="J39" i="1" s="1"/>
  <c r="G39" i="1"/>
  <c r="H39" i="1" s="1"/>
  <c r="D39" i="1"/>
  <c r="F39" i="1" s="1"/>
  <c r="A41" i="1"/>
  <c r="D86" i="1"/>
  <c r="F86" i="1" s="1"/>
  <c r="G86" i="1"/>
  <c r="H86" i="1" s="1"/>
  <c r="A88" i="1"/>
  <c r="I86" i="1"/>
  <c r="J86" i="1" s="1"/>
  <c r="I26" i="3"/>
  <c r="J26" i="3" s="1"/>
  <c r="G26" i="3"/>
  <c r="D26" i="3"/>
  <c r="A28" i="3"/>
  <c r="D40" i="1" l="1"/>
  <c r="F40" i="1" s="1"/>
  <c r="K40" i="1" s="1"/>
  <c r="I40" i="1"/>
  <c r="J40" i="1" s="1"/>
  <c r="M40" i="1" s="1"/>
  <c r="G40" i="1"/>
  <c r="H40" i="1" s="1"/>
  <c r="L40" i="1" s="1"/>
  <c r="A42" i="1"/>
  <c r="I87" i="1"/>
  <c r="J87" i="1" s="1"/>
  <c r="M87" i="1" s="1"/>
  <c r="G87" i="1"/>
  <c r="H87" i="1" s="1"/>
  <c r="L87" i="1" s="1"/>
  <c r="A89" i="1"/>
  <c r="D87" i="1"/>
  <c r="F87" i="1" s="1"/>
  <c r="K87" i="1" s="1"/>
  <c r="I27" i="3"/>
  <c r="J27" i="3" s="1"/>
  <c r="G27" i="3"/>
  <c r="D27" i="3"/>
  <c r="A29" i="3"/>
  <c r="D29" i="3" l="1"/>
  <c r="I29" i="3"/>
  <c r="J29" i="3" s="1"/>
  <c r="G29" i="3"/>
  <c r="D41" i="1"/>
  <c r="F41" i="1" s="1"/>
  <c r="G41" i="1"/>
  <c r="H41" i="1" s="1"/>
  <c r="A43" i="1"/>
  <c r="I41" i="1"/>
  <c r="J41" i="1" s="1"/>
  <c r="I88" i="1"/>
  <c r="J88" i="1" s="1"/>
  <c r="G88" i="1"/>
  <c r="H88" i="1" s="1"/>
  <c r="A90" i="1"/>
  <c r="D88" i="1"/>
  <c r="F88" i="1" s="1"/>
  <c r="I28" i="3"/>
  <c r="G28" i="3"/>
  <c r="D28" i="3"/>
  <c r="J28" i="3" l="1"/>
  <c r="F45" i="3"/>
  <c r="F92" i="3" s="1"/>
  <c r="F156" i="3" s="1"/>
  <c r="A44" i="1"/>
  <c r="D42" i="1"/>
  <c r="F42" i="1" s="1"/>
  <c r="I42" i="1"/>
  <c r="J42" i="1" s="1"/>
  <c r="G42" i="1"/>
  <c r="H42" i="1" s="1"/>
  <c r="A91" i="1"/>
  <c r="I89" i="1"/>
  <c r="J89" i="1" s="1"/>
  <c r="D89" i="1"/>
  <c r="F89" i="1" s="1"/>
  <c r="G89" i="1"/>
  <c r="H89" i="1" s="1"/>
  <c r="H45" i="3"/>
  <c r="A45" i="1" l="1"/>
  <c r="I43" i="1"/>
  <c r="J43" i="1" s="1"/>
  <c r="M43" i="1" s="1"/>
  <c r="G43" i="1"/>
  <c r="H43" i="1" s="1"/>
  <c r="L43" i="1" s="1"/>
  <c r="D43" i="1"/>
  <c r="F43" i="1" s="1"/>
  <c r="K43" i="1" s="1"/>
  <c r="G90" i="1"/>
  <c r="H90" i="1" s="1"/>
  <c r="L90" i="1" s="1"/>
  <c r="A92" i="1"/>
  <c r="I90" i="1"/>
  <c r="J90" i="1" s="1"/>
  <c r="M90" i="1" s="1"/>
  <c r="D90" i="1"/>
  <c r="F90" i="1" s="1"/>
  <c r="K90" i="1" s="1"/>
  <c r="I92" i="3"/>
  <c r="H92" i="3"/>
  <c r="H156" i="3" s="1"/>
  <c r="G156" i="3"/>
  <c r="A46" i="1" l="1"/>
  <c r="D44" i="1"/>
  <c r="F44" i="1" s="1"/>
  <c r="G44" i="1"/>
  <c r="H44" i="1" s="1"/>
  <c r="I44" i="1"/>
  <c r="J44" i="1" s="1"/>
  <c r="I91" i="1"/>
  <c r="J91" i="1" s="1"/>
  <c r="G91" i="1"/>
  <c r="H91" i="1" s="1"/>
  <c r="D91" i="1"/>
  <c r="F91" i="1" s="1"/>
  <c r="A93" i="1"/>
  <c r="I156" i="3"/>
  <c r="G45" i="1" l="1"/>
  <c r="H45" i="1" s="1"/>
  <c r="A47" i="1"/>
  <c r="I45" i="1"/>
  <c r="J45" i="1" s="1"/>
  <c r="D45" i="1"/>
  <c r="F45" i="1" s="1"/>
  <c r="G92" i="1"/>
  <c r="H92" i="1" s="1"/>
  <c r="A94" i="1"/>
  <c r="I92" i="1"/>
  <c r="J92" i="1" s="1"/>
  <c r="D92" i="1"/>
  <c r="F92" i="1" s="1"/>
  <c r="I46" i="1" l="1"/>
  <c r="J46" i="1" s="1"/>
  <c r="M46" i="1" s="1"/>
  <c r="A48" i="1"/>
  <c r="D46" i="1"/>
  <c r="F46" i="1" s="1"/>
  <c r="K46" i="1" s="1"/>
  <c r="G46" i="1"/>
  <c r="H46" i="1" s="1"/>
  <c r="L46" i="1" s="1"/>
  <c r="A95" i="1"/>
  <c r="I93" i="1"/>
  <c r="J93" i="1" s="1"/>
  <c r="M93" i="1" s="1"/>
  <c r="G93" i="1"/>
  <c r="H93" i="1" s="1"/>
  <c r="L93" i="1" s="1"/>
  <c r="D93" i="1"/>
  <c r="F93" i="1" s="1"/>
  <c r="K93" i="1" s="1"/>
  <c r="G47" i="1" l="1"/>
  <c r="H47" i="1" s="1"/>
  <c r="I47" i="1"/>
  <c r="J47" i="1" s="1"/>
  <c r="A49" i="1"/>
  <c r="D47" i="1"/>
  <c r="F47" i="1" s="1"/>
  <c r="A96" i="1"/>
  <c r="G94" i="1"/>
  <c r="H94" i="1" s="1"/>
  <c r="D94" i="1"/>
  <c r="F94" i="1" s="1"/>
  <c r="I94" i="1"/>
  <c r="J94" i="1" s="1"/>
  <c r="A50" i="1" l="1"/>
  <c r="I48" i="1"/>
  <c r="J48" i="1" s="1"/>
  <c r="D48" i="1"/>
  <c r="F48" i="1" s="1"/>
  <c r="G48" i="1"/>
  <c r="H48" i="1" s="1"/>
  <c r="A97" i="1"/>
  <c r="I95" i="1"/>
  <c r="J95" i="1" s="1"/>
  <c r="G95" i="1"/>
  <c r="H95" i="1" s="1"/>
  <c r="D95" i="1"/>
  <c r="F95" i="1" s="1"/>
  <c r="I49" i="1" l="1"/>
  <c r="J49" i="1" s="1"/>
  <c r="M49" i="1" s="1"/>
  <c r="D49" i="1"/>
  <c r="F49" i="1" s="1"/>
  <c r="K49" i="1" s="1"/>
  <c r="A51" i="1"/>
  <c r="G49" i="1"/>
  <c r="H49" i="1" s="1"/>
  <c r="L49" i="1" s="1"/>
  <c r="I96" i="1"/>
  <c r="J96" i="1" s="1"/>
  <c r="M96" i="1" s="1"/>
  <c r="G96" i="1"/>
  <c r="H96" i="1" s="1"/>
  <c r="L96" i="1" s="1"/>
  <c r="A98" i="1"/>
  <c r="D96" i="1"/>
  <c r="F96" i="1" s="1"/>
  <c r="K96" i="1" s="1"/>
  <c r="G50" i="1" l="1"/>
  <c r="H50" i="1" s="1"/>
  <c r="I50" i="1"/>
  <c r="J50" i="1" s="1"/>
  <c r="A52" i="1"/>
  <c r="D50" i="1"/>
  <c r="F50" i="1" s="1"/>
  <c r="G97" i="1"/>
  <c r="H97" i="1" s="1"/>
  <c r="A99" i="1"/>
  <c r="I97" i="1"/>
  <c r="J97" i="1" s="1"/>
  <c r="D97" i="1"/>
  <c r="F97" i="1" s="1"/>
  <c r="I51" i="1" l="1"/>
  <c r="J51" i="1" s="1"/>
  <c r="D53" i="1"/>
  <c r="F53" i="1" s="1"/>
  <c r="A53" i="1"/>
  <c r="D51" i="1"/>
  <c r="F51" i="1" s="1"/>
  <c r="G51" i="1"/>
  <c r="H51" i="1" s="1"/>
  <c r="G53" i="1"/>
  <c r="H53" i="1" s="1"/>
  <c r="I53" i="1"/>
  <c r="J53" i="1" s="1"/>
  <c r="A100" i="1"/>
  <c r="I98" i="1"/>
  <c r="J98" i="1" s="1"/>
  <c r="G98" i="1"/>
  <c r="H98" i="1" s="1"/>
  <c r="D98" i="1"/>
  <c r="F98" i="1" s="1"/>
  <c r="G54" i="1" l="1"/>
  <c r="H54" i="1" s="1"/>
  <c r="L55" i="1" s="1"/>
  <c r="I52" i="1"/>
  <c r="J52" i="1" s="1"/>
  <c r="M52" i="1" s="1"/>
  <c r="G52" i="1"/>
  <c r="H52" i="1" s="1"/>
  <c r="L52" i="1" s="1"/>
  <c r="I54" i="1"/>
  <c r="J54" i="1" s="1"/>
  <c r="M55" i="1" s="1"/>
  <c r="D54" i="1"/>
  <c r="F54" i="1" s="1"/>
  <c r="K55" i="1" s="1"/>
  <c r="D52" i="1"/>
  <c r="F52" i="1" s="1"/>
  <c r="K52" i="1" s="1"/>
  <c r="A101" i="1"/>
  <c r="I99" i="1"/>
  <c r="J99" i="1" s="1"/>
  <c r="M99" i="1" s="1"/>
  <c r="G99" i="1"/>
  <c r="H99" i="1" s="1"/>
  <c r="L99" i="1" s="1"/>
  <c r="D99" i="1"/>
  <c r="F99" i="1" s="1"/>
  <c r="K99" i="1" s="1"/>
  <c r="G100" i="1" l="1"/>
  <c r="H100" i="1" s="1"/>
  <c r="I100" i="1"/>
  <c r="J100" i="1" s="1"/>
  <c r="D100" i="1"/>
  <c r="F100" i="1" s="1"/>
  <c r="A102" i="1"/>
  <c r="A103" i="1" l="1"/>
  <c r="G101" i="1"/>
  <c r="H101" i="1" s="1"/>
  <c r="D101" i="1"/>
  <c r="F101" i="1" s="1"/>
  <c r="I101" i="1"/>
  <c r="J101" i="1" s="1"/>
  <c r="D102" i="1" l="1"/>
  <c r="F102" i="1" s="1"/>
  <c r="K102" i="1" s="1"/>
  <c r="A104" i="1"/>
  <c r="G102" i="1"/>
  <c r="H102" i="1" s="1"/>
  <c r="L102" i="1" s="1"/>
  <c r="I102" i="1"/>
  <c r="J102" i="1" s="1"/>
  <c r="M102" i="1" s="1"/>
  <c r="G103" i="1" l="1"/>
  <c r="H103" i="1" s="1"/>
  <c r="I103" i="1"/>
  <c r="J103" i="1" s="1"/>
  <c r="D103" i="1"/>
  <c r="F103" i="1" s="1"/>
  <c r="A105" i="1"/>
  <c r="G104" i="1" l="1"/>
  <c r="H104" i="1" s="1"/>
  <c r="D104" i="1"/>
  <c r="F104" i="1" s="1"/>
  <c r="A106" i="1"/>
  <c r="I104" i="1"/>
  <c r="J104" i="1" s="1"/>
  <c r="D105" i="1" l="1"/>
  <c r="F105" i="1" s="1"/>
  <c r="K105" i="1" s="1"/>
  <c r="I105" i="1"/>
  <c r="J105" i="1" s="1"/>
  <c r="M105" i="1" s="1"/>
  <c r="A107" i="1"/>
  <c r="G105" i="1"/>
  <c r="H105" i="1" s="1"/>
  <c r="L105" i="1" s="1"/>
  <c r="G106" i="1" l="1"/>
  <c r="H106" i="1" s="1"/>
  <c r="I106" i="1"/>
  <c r="J106" i="1" s="1"/>
  <c r="D106" i="1"/>
  <c r="F106" i="1" s="1"/>
  <c r="A108" i="1"/>
  <c r="D107" i="1" l="1"/>
  <c r="F107" i="1" s="1"/>
  <c r="G107" i="1"/>
  <c r="H107" i="1" s="1"/>
  <c r="A109" i="1"/>
  <c r="I107" i="1"/>
  <c r="J107" i="1" s="1"/>
  <c r="D108" i="1" l="1"/>
  <c r="F108" i="1" s="1"/>
  <c r="K108" i="1" s="1"/>
  <c r="A110" i="1"/>
  <c r="G108" i="1"/>
  <c r="H108" i="1" s="1"/>
  <c r="L108" i="1" s="1"/>
  <c r="I108" i="1"/>
  <c r="J108" i="1" s="1"/>
  <c r="M108" i="1" s="1"/>
  <c r="G109" i="1" l="1"/>
  <c r="H109" i="1" s="1"/>
  <c r="I109" i="1"/>
  <c r="J109" i="1" s="1"/>
  <c r="A111" i="1"/>
  <c r="D109" i="1"/>
  <c r="F109" i="1" s="1"/>
  <c r="A112" i="1" l="1"/>
  <c r="G110" i="1"/>
  <c r="H110" i="1" s="1"/>
  <c r="I110" i="1"/>
  <c r="J110" i="1" s="1"/>
  <c r="D110" i="1"/>
  <c r="F110" i="1" s="1"/>
  <c r="D111" i="1" l="1"/>
  <c r="F111" i="1" s="1"/>
  <c r="K111" i="1" s="1"/>
  <c r="A113" i="1"/>
  <c r="I111" i="1"/>
  <c r="J111" i="1" s="1"/>
  <c r="M111" i="1" s="1"/>
  <c r="G111" i="1"/>
  <c r="H111" i="1" s="1"/>
  <c r="L111" i="1" s="1"/>
  <c r="A114" i="1" l="1"/>
  <c r="I112" i="1"/>
  <c r="J112" i="1" s="1"/>
  <c r="G112" i="1"/>
  <c r="H112" i="1" s="1"/>
  <c r="D112" i="1"/>
  <c r="F112" i="1" s="1"/>
  <c r="A115" i="1" l="1"/>
  <c r="G113" i="1"/>
  <c r="H113" i="1" s="1"/>
  <c r="D113" i="1"/>
  <c r="F113" i="1" s="1"/>
  <c r="I113" i="1"/>
  <c r="J113" i="1" s="1"/>
  <c r="A116" i="1" l="1"/>
  <c r="G114" i="1"/>
  <c r="H114" i="1" s="1"/>
  <c r="L114" i="1" s="1"/>
  <c r="D114" i="1"/>
  <c r="F114" i="1" s="1"/>
  <c r="K114" i="1" s="1"/>
  <c r="I114" i="1"/>
  <c r="J114" i="1" s="1"/>
  <c r="M114" i="1" s="1"/>
  <c r="G115" i="1" l="1"/>
  <c r="H115" i="1" s="1"/>
  <c r="A117" i="1"/>
  <c r="D115" i="1"/>
  <c r="F115" i="1" s="1"/>
  <c r="I115" i="1"/>
  <c r="J115" i="1" s="1"/>
  <c r="G116" i="1" l="1"/>
  <c r="H116" i="1" s="1"/>
  <c r="I116" i="1"/>
  <c r="J116" i="1" s="1"/>
  <c r="D116" i="1"/>
  <c r="F116" i="1" s="1"/>
  <c r="A118" i="1"/>
  <c r="A119" i="1" l="1"/>
  <c r="G117" i="1"/>
  <c r="H117" i="1" s="1"/>
  <c r="L117" i="1" s="1"/>
  <c r="D117" i="1"/>
  <c r="F117" i="1" s="1"/>
  <c r="K117" i="1" s="1"/>
  <c r="I117" i="1"/>
  <c r="J117" i="1" s="1"/>
  <c r="M117" i="1" s="1"/>
  <c r="I118" i="1" l="1"/>
  <c r="J118" i="1" s="1"/>
  <c r="A120" i="1"/>
  <c r="G118" i="1"/>
  <c r="H118" i="1" s="1"/>
  <c r="D118" i="1"/>
  <c r="F118" i="1" s="1"/>
  <c r="D119" i="1" l="1"/>
  <c r="F119" i="1" s="1"/>
  <c r="I119" i="1"/>
  <c r="J119" i="1" s="1"/>
  <c r="A121" i="1"/>
  <c r="G119" i="1"/>
  <c r="H119" i="1" s="1"/>
  <c r="G120" i="1" l="1"/>
  <c r="H120" i="1" s="1"/>
  <c r="L120" i="1" s="1"/>
  <c r="I120" i="1"/>
  <c r="J120" i="1" s="1"/>
  <c r="M120" i="1" s="1"/>
  <c r="D120" i="1"/>
  <c r="F120" i="1" s="1"/>
  <c r="K120" i="1" s="1"/>
  <c r="A122" i="1"/>
  <c r="A123" i="1" l="1"/>
  <c r="G121" i="1"/>
  <c r="H121" i="1" s="1"/>
  <c r="D121" i="1"/>
  <c r="F121" i="1" s="1"/>
  <c r="I121" i="1"/>
  <c r="J121" i="1" s="1"/>
  <c r="A124" i="1" l="1"/>
  <c r="D122" i="1"/>
  <c r="F122" i="1" s="1"/>
  <c r="I122" i="1"/>
  <c r="J122" i="1" s="1"/>
  <c r="G122" i="1"/>
  <c r="H122" i="1" s="1"/>
  <c r="G123" i="1" l="1"/>
  <c r="H123" i="1" s="1"/>
  <c r="L123" i="1" s="1"/>
  <c r="A125" i="1"/>
  <c r="I123" i="1"/>
  <c r="J123" i="1" s="1"/>
  <c r="M123" i="1" s="1"/>
  <c r="D123" i="1"/>
  <c r="F123" i="1" s="1"/>
  <c r="K123" i="1" s="1"/>
  <c r="A126" i="1" l="1"/>
  <c r="D124" i="1"/>
  <c r="F124" i="1" s="1"/>
  <c r="G124" i="1"/>
  <c r="H124" i="1" s="1"/>
  <c r="I124" i="1"/>
  <c r="J124" i="1" s="1"/>
  <c r="A127" i="1" l="1"/>
  <c r="G125" i="1"/>
  <c r="H125" i="1" s="1"/>
  <c r="I125" i="1"/>
  <c r="J125" i="1" s="1"/>
  <c r="D125" i="1"/>
  <c r="F125" i="1" s="1"/>
  <c r="I126" i="1" l="1"/>
  <c r="J126" i="1" s="1"/>
  <c r="M126" i="1" s="1"/>
  <c r="A128" i="1"/>
  <c r="G126" i="1"/>
  <c r="H126" i="1" s="1"/>
  <c r="L126" i="1" s="1"/>
  <c r="D126" i="1"/>
  <c r="F126" i="1" s="1"/>
  <c r="K126" i="1" s="1"/>
  <c r="G127" i="1" l="1"/>
  <c r="H127" i="1" s="1"/>
  <c r="A129" i="1"/>
  <c r="I127" i="1"/>
  <c r="J127" i="1" s="1"/>
  <c r="D127" i="1"/>
  <c r="F127" i="1" s="1"/>
  <c r="I128" i="1" l="1"/>
  <c r="J128" i="1" s="1"/>
  <c r="D128" i="1"/>
  <c r="F128" i="1" s="1"/>
  <c r="A130" i="1"/>
  <c r="G128" i="1"/>
  <c r="H128" i="1" s="1"/>
  <c r="D129" i="1" l="1"/>
  <c r="F129" i="1" s="1"/>
  <c r="K129" i="1" s="1"/>
  <c r="A131" i="1"/>
  <c r="G129" i="1"/>
  <c r="H129" i="1" s="1"/>
  <c r="L129" i="1" s="1"/>
  <c r="I129" i="1"/>
  <c r="J129" i="1" s="1"/>
  <c r="M129" i="1" s="1"/>
  <c r="A132" i="1" l="1"/>
  <c r="D130" i="1"/>
  <c r="F130" i="1" s="1"/>
  <c r="G130" i="1"/>
  <c r="H130" i="1" s="1"/>
  <c r="I130" i="1"/>
  <c r="J130" i="1" s="1"/>
  <c r="I131" i="1" l="1"/>
  <c r="J131" i="1" s="1"/>
  <c r="A133" i="1"/>
  <c r="D131" i="1"/>
  <c r="F131" i="1" s="1"/>
  <c r="G131" i="1"/>
  <c r="H131" i="1" s="1"/>
  <c r="A134" i="1" l="1"/>
  <c r="I132" i="1"/>
  <c r="J132" i="1" s="1"/>
  <c r="M132" i="1" s="1"/>
  <c r="G132" i="1"/>
  <c r="H132" i="1" s="1"/>
  <c r="L132" i="1" s="1"/>
  <c r="D132" i="1"/>
  <c r="F132" i="1" s="1"/>
  <c r="K132" i="1" s="1"/>
  <c r="G133" i="1" l="1"/>
  <c r="H133" i="1" s="1"/>
  <c r="D133" i="1"/>
  <c r="F133" i="1" s="1"/>
  <c r="A136" i="1"/>
  <c r="I133" i="1"/>
  <c r="J133" i="1" s="1"/>
  <c r="D135" i="1" l="1"/>
  <c r="F135" i="1" s="1"/>
  <c r="G135" i="1"/>
  <c r="H135" i="1" s="1"/>
  <c r="G134" i="1"/>
  <c r="H134" i="1" s="1"/>
  <c r="I134" i="1"/>
  <c r="J134" i="1" s="1"/>
  <c r="D134" i="1"/>
  <c r="F134" i="1" s="1"/>
  <c r="K135" i="1" s="1"/>
  <c r="A137" i="1"/>
  <c r="I135" i="1"/>
  <c r="J135" i="1" s="1"/>
  <c r="L135" i="1"/>
  <c r="M135" i="1" l="1"/>
  <c r="G136" i="1"/>
  <c r="H136" i="1" s="1"/>
  <c r="I136" i="1"/>
  <c r="J136" i="1" s="1"/>
  <c r="A138" i="1"/>
  <c r="D136" i="1"/>
  <c r="F136" i="1" s="1"/>
  <c r="I137" i="1" l="1"/>
  <c r="J137" i="1" s="1"/>
  <c r="G137" i="1"/>
  <c r="H137" i="1" s="1"/>
  <c r="D137" i="1"/>
  <c r="F137" i="1" s="1"/>
  <c r="A139" i="1"/>
  <c r="D138" i="1" l="1"/>
  <c r="F138" i="1" s="1"/>
  <c r="K138" i="1" s="1"/>
  <c r="I138" i="1"/>
  <c r="J138" i="1" s="1"/>
  <c r="M138" i="1" s="1"/>
  <c r="A140" i="1"/>
  <c r="I141" i="1"/>
  <c r="J141" i="1" s="1"/>
  <c r="G138" i="1"/>
  <c r="H138" i="1" s="1"/>
  <c r="L138" i="1" s="1"/>
  <c r="G139" i="1" l="1"/>
  <c r="H139" i="1" s="1"/>
  <c r="G141" i="1"/>
  <c r="H141" i="1" s="1"/>
  <c r="A141" i="1"/>
  <c r="D139" i="1"/>
  <c r="F139" i="1" s="1"/>
  <c r="I139" i="1"/>
  <c r="J139" i="1" s="1"/>
  <c r="D140" i="1" l="1"/>
  <c r="F140" i="1" s="1"/>
  <c r="A143" i="1"/>
  <c r="I140" i="1"/>
  <c r="J140" i="1" s="1"/>
  <c r="M141" i="1" s="1"/>
  <c r="G140" i="1"/>
  <c r="H140" i="1" s="1"/>
  <c r="L141" i="1" s="1"/>
  <c r="D141" i="1" l="1"/>
  <c r="F141" i="1" s="1"/>
  <c r="K141" i="1" s="1"/>
  <c r="I142" i="1"/>
  <c r="J142" i="1" s="1"/>
  <c r="G142" i="1"/>
  <c r="H142" i="1" s="1"/>
  <c r="D142" i="1"/>
  <c r="F142" i="1" s="1"/>
  <c r="A144" i="1"/>
  <c r="A145" i="1" l="1"/>
  <c r="G143" i="1"/>
  <c r="H143" i="1" s="1"/>
  <c r="I143" i="1"/>
  <c r="J143" i="1" s="1"/>
  <c r="D143" i="1"/>
  <c r="F143" i="1" s="1"/>
  <c r="I144" i="1" l="1"/>
  <c r="J144" i="1" s="1"/>
  <c r="M144" i="1" s="1"/>
  <c r="A146" i="1"/>
  <c r="D144" i="1"/>
  <c r="F144" i="1" s="1"/>
  <c r="K144" i="1" s="1"/>
  <c r="G144" i="1"/>
  <c r="H144" i="1" s="1"/>
  <c r="L144" i="1" s="1"/>
  <c r="I145" i="1" l="1"/>
  <c r="J145" i="1" s="1"/>
  <c r="A147" i="1"/>
  <c r="G145" i="1"/>
  <c r="H145" i="1" s="1"/>
  <c r="D145" i="1"/>
  <c r="F145" i="1" s="1"/>
  <c r="I146" i="1" l="1"/>
  <c r="J146" i="1" s="1"/>
  <c r="A148" i="1"/>
  <c r="D146" i="1"/>
  <c r="F146" i="1" s="1"/>
  <c r="G146" i="1"/>
  <c r="H146" i="1" s="1"/>
  <c r="A149" i="1" l="1"/>
  <c r="I147" i="1"/>
  <c r="J147" i="1" s="1"/>
  <c r="M147" i="1" s="1"/>
  <c r="G147" i="1"/>
  <c r="H147" i="1" s="1"/>
  <c r="L147" i="1" s="1"/>
  <c r="D147" i="1"/>
  <c r="F147" i="1" s="1"/>
  <c r="K147" i="1" s="1"/>
  <c r="A150" i="1" l="1"/>
  <c r="D148" i="1"/>
  <c r="F148" i="1" s="1"/>
  <c r="I148" i="1"/>
  <c r="J148" i="1" s="1"/>
  <c r="G148" i="1"/>
  <c r="H148" i="1" s="1"/>
  <c r="A151" i="1" l="1"/>
  <c r="G149" i="1"/>
  <c r="H149" i="1" s="1"/>
  <c r="I149" i="1"/>
  <c r="J149" i="1" s="1"/>
  <c r="D149" i="1"/>
  <c r="F149" i="1" s="1"/>
  <c r="D150" i="1" l="1"/>
  <c r="F150" i="1" s="1"/>
  <c r="K150" i="1" s="1"/>
  <c r="I150" i="1"/>
  <c r="J150" i="1" s="1"/>
  <c r="M150" i="1" s="1"/>
  <c r="G150" i="1"/>
  <c r="H150" i="1" s="1"/>
  <c r="L150" i="1" s="1"/>
  <c r="A152" i="1"/>
  <c r="I151" i="1" l="1"/>
  <c r="J151" i="1" s="1"/>
  <c r="A153" i="1"/>
  <c r="G151" i="1"/>
  <c r="H151" i="1" s="1"/>
  <c r="D151" i="1"/>
  <c r="F151" i="1" s="1"/>
  <c r="I152" i="1" l="1"/>
  <c r="J152" i="1" s="1"/>
  <c r="A154" i="1"/>
  <c r="G152" i="1"/>
  <c r="H152" i="1" s="1"/>
  <c r="L152" i="1" s="1"/>
  <c r="D152" i="1"/>
  <c r="F152" i="1" s="1"/>
  <c r="K152" i="1" s="1"/>
  <c r="M152" i="1"/>
  <c r="D153" i="1" l="1"/>
  <c r="F153" i="1" s="1"/>
  <c r="I153" i="1"/>
  <c r="J153" i="1" s="1"/>
  <c r="A155" i="1"/>
  <c r="G153" i="1"/>
  <c r="H153" i="1" s="1"/>
  <c r="I154" i="1" l="1"/>
  <c r="J154" i="1" s="1"/>
  <c r="M154" i="1" s="1"/>
  <c r="A156" i="1"/>
  <c r="G154" i="1"/>
  <c r="H154" i="1" s="1"/>
  <c r="L154" i="1" s="1"/>
  <c r="D154" i="1"/>
  <c r="F154" i="1" s="1"/>
  <c r="K154" i="1" s="1"/>
  <c r="I155" i="1" l="1"/>
  <c r="J155" i="1" s="1"/>
  <c r="G155" i="1"/>
  <c r="H155" i="1" s="1"/>
  <c r="A157" i="1"/>
  <c r="D155" i="1"/>
  <c r="F155" i="1" s="1"/>
  <c r="G156" i="1" l="1"/>
  <c r="H156" i="1" s="1"/>
  <c r="D156" i="1"/>
  <c r="F156" i="1" s="1"/>
  <c r="A158" i="1"/>
  <c r="I156" i="1"/>
  <c r="J156" i="1" s="1"/>
  <c r="I157" i="1" l="1"/>
  <c r="J157" i="1" s="1"/>
  <c r="M157" i="1" s="1"/>
  <c r="A159" i="1"/>
  <c r="G157" i="1"/>
  <c r="H157" i="1" s="1"/>
  <c r="L157" i="1" s="1"/>
  <c r="D157" i="1"/>
  <c r="F157" i="1" s="1"/>
  <c r="K157" i="1" s="1"/>
  <c r="I158" i="1" l="1"/>
  <c r="J158" i="1" s="1"/>
  <c r="G158" i="1"/>
  <c r="H158" i="1" s="1"/>
  <c r="A160" i="1"/>
  <c r="D158" i="1"/>
  <c r="F158" i="1" s="1"/>
  <c r="I159" i="1" l="1"/>
  <c r="J159" i="1" s="1"/>
  <c r="A161" i="1"/>
  <c r="G159" i="1"/>
  <c r="H159" i="1" s="1"/>
  <c r="D159" i="1"/>
  <c r="F159" i="1" s="1"/>
  <c r="I160" i="1" l="1"/>
  <c r="J160" i="1" s="1"/>
  <c r="M160" i="1" s="1"/>
  <c r="D160" i="1"/>
  <c r="F160" i="1" s="1"/>
  <c r="K160" i="1" s="1"/>
  <c r="A162" i="1"/>
  <c r="G160" i="1"/>
  <c r="H160" i="1" s="1"/>
  <c r="L160" i="1" s="1"/>
  <c r="A163" i="1" l="1"/>
  <c r="D161" i="1"/>
  <c r="F161" i="1" s="1"/>
  <c r="I161" i="1"/>
  <c r="J161" i="1" s="1"/>
  <c r="G161" i="1"/>
  <c r="H161" i="1" s="1"/>
  <c r="I162" i="1" l="1"/>
  <c r="J162" i="1" s="1"/>
  <c r="A164" i="1"/>
  <c r="G162" i="1"/>
  <c r="H162" i="1" s="1"/>
  <c r="D162" i="1"/>
  <c r="F162" i="1" s="1"/>
  <c r="I163" i="1" l="1"/>
  <c r="J163" i="1" s="1"/>
  <c r="M163" i="1" s="1"/>
  <c r="A165" i="1"/>
  <c r="G163" i="1"/>
  <c r="H163" i="1" s="1"/>
  <c r="L163" i="1" s="1"/>
  <c r="D163" i="1"/>
  <c r="F163" i="1" s="1"/>
  <c r="K163" i="1" s="1"/>
  <c r="G164" i="1" l="1"/>
  <c r="H164" i="1" s="1"/>
  <c r="A166" i="1"/>
  <c r="D164" i="1"/>
  <c r="F164" i="1" s="1"/>
  <c r="I164" i="1"/>
  <c r="J164" i="1" s="1"/>
  <c r="I165" i="1" l="1"/>
  <c r="J165" i="1" s="1"/>
  <c r="A167" i="1"/>
  <c r="G165" i="1"/>
  <c r="H165" i="1" s="1"/>
  <c r="D165" i="1"/>
  <c r="F165" i="1" s="1"/>
  <c r="D166" i="1" l="1"/>
  <c r="F166" i="1" s="1"/>
  <c r="K166" i="1" s="1"/>
  <c r="A168" i="1"/>
  <c r="I166" i="1"/>
  <c r="J166" i="1" s="1"/>
  <c r="M166" i="1" s="1"/>
  <c r="G166" i="1"/>
  <c r="H166" i="1" s="1"/>
  <c r="L166" i="1" s="1"/>
  <c r="I167" i="1" l="1"/>
  <c r="J167" i="1" s="1"/>
  <c r="G167" i="1"/>
  <c r="H167" i="1" s="1"/>
  <c r="A169" i="1"/>
  <c r="D167" i="1"/>
  <c r="F167" i="1" s="1"/>
  <c r="I168" i="1" l="1"/>
  <c r="J168" i="1" s="1"/>
  <c r="G168" i="1"/>
  <c r="H168" i="1" s="1"/>
  <c r="D168" i="1"/>
  <c r="F168" i="1" s="1"/>
  <c r="A170" i="1"/>
  <c r="I169" i="1" l="1"/>
  <c r="J169" i="1" s="1"/>
  <c r="M169" i="1" s="1"/>
  <c r="A171" i="1"/>
  <c r="G169" i="1"/>
  <c r="H169" i="1" s="1"/>
  <c r="L169" i="1" s="1"/>
  <c r="D169" i="1"/>
  <c r="F169" i="1" s="1"/>
  <c r="K169" i="1" s="1"/>
  <c r="I170" i="1" l="1"/>
  <c r="J170" i="1" s="1"/>
  <c r="G170" i="1"/>
  <c r="H170" i="1" s="1"/>
  <c r="A172" i="1"/>
  <c r="D170" i="1"/>
  <c r="F170" i="1" s="1"/>
  <c r="D171" i="1" l="1"/>
  <c r="F171" i="1" s="1"/>
  <c r="I171" i="1"/>
  <c r="J171" i="1" s="1"/>
  <c r="A173" i="1"/>
  <c r="G171" i="1"/>
  <c r="H171" i="1" s="1"/>
  <c r="I172" i="1" l="1"/>
  <c r="J172" i="1" s="1"/>
  <c r="M172" i="1" s="1"/>
  <c r="A174" i="1"/>
  <c r="G172" i="1"/>
  <c r="H172" i="1" s="1"/>
  <c r="L172" i="1" s="1"/>
  <c r="D172" i="1"/>
  <c r="F172" i="1" s="1"/>
  <c r="K172" i="1" s="1"/>
  <c r="I173" i="1" l="1"/>
  <c r="J173" i="1" s="1"/>
  <c r="G173" i="1"/>
  <c r="H173" i="1" s="1"/>
  <c r="A175" i="1"/>
  <c r="D173" i="1"/>
  <c r="F173" i="1" s="1"/>
  <c r="G174" i="1" l="1"/>
  <c r="H174" i="1" s="1"/>
  <c r="D174" i="1"/>
  <c r="F174" i="1" s="1"/>
  <c r="I174" i="1"/>
  <c r="J174" i="1" s="1"/>
  <c r="A176" i="1"/>
  <c r="I175" i="1" l="1"/>
  <c r="J175" i="1" s="1"/>
  <c r="M175" i="1" s="1"/>
  <c r="A177" i="1"/>
  <c r="G175" i="1"/>
  <c r="H175" i="1" s="1"/>
  <c r="L175" i="1" s="1"/>
  <c r="D175" i="1"/>
  <c r="F175" i="1" s="1"/>
  <c r="K175" i="1" s="1"/>
  <c r="I176" i="1" l="1"/>
  <c r="J176" i="1" s="1"/>
  <c r="G176" i="1"/>
  <c r="H176" i="1" s="1"/>
  <c r="A178" i="1"/>
  <c r="D176" i="1"/>
  <c r="F176" i="1" s="1"/>
  <c r="I177" i="1" l="1"/>
  <c r="J177" i="1" s="1"/>
  <c r="A179" i="1"/>
  <c r="G177" i="1"/>
  <c r="H177" i="1" s="1"/>
  <c r="D177" i="1"/>
  <c r="F177" i="1" s="1"/>
  <c r="I178" i="1" l="1"/>
  <c r="J178" i="1" s="1"/>
  <c r="M178" i="1" s="1"/>
  <c r="A180" i="1"/>
  <c r="G178" i="1"/>
  <c r="H178" i="1" s="1"/>
  <c r="L178" i="1" s="1"/>
  <c r="D178" i="1"/>
  <c r="F178" i="1" s="1"/>
  <c r="K178" i="1" s="1"/>
  <c r="A181" i="1" l="1"/>
  <c r="D179" i="1"/>
  <c r="F179" i="1" s="1"/>
  <c r="I179" i="1"/>
  <c r="J179" i="1" s="1"/>
  <c r="G179" i="1"/>
  <c r="H179" i="1" s="1"/>
  <c r="I180" i="1" l="1"/>
  <c r="J180" i="1" s="1"/>
  <c r="A182" i="1"/>
  <c r="G180" i="1"/>
  <c r="H180" i="1" s="1"/>
  <c r="D180" i="1"/>
  <c r="F180" i="1" s="1"/>
  <c r="I181" i="1" l="1"/>
  <c r="J181" i="1" s="1"/>
  <c r="M181" i="1" s="1"/>
  <c r="A183" i="1"/>
  <c r="G181" i="1"/>
  <c r="H181" i="1" s="1"/>
  <c r="L181" i="1" s="1"/>
  <c r="D181" i="1"/>
  <c r="F181" i="1" s="1"/>
  <c r="K181" i="1" s="1"/>
  <c r="G182" i="1" l="1"/>
  <c r="H182" i="1" s="1"/>
  <c r="A184" i="1"/>
  <c r="D182" i="1"/>
  <c r="F182" i="1" s="1"/>
  <c r="I182" i="1"/>
  <c r="J182" i="1" s="1"/>
  <c r="I183" i="1" l="1"/>
  <c r="J183" i="1" s="1"/>
  <c r="A185" i="1"/>
  <c r="G183" i="1"/>
  <c r="H183" i="1" s="1"/>
  <c r="D183" i="1"/>
  <c r="F183" i="1" s="1"/>
  <c r="D184" i="1" l="1"/>
  <c r="F184" i="1" s="1"/>
  <c r="K184" i="1" s="1"/>
  <c r="A186" i="1"/>
  <c r="I184" i="1"/>
  <c r="J184" i="1" s="1"/>
  <c r="M184" i="1" s="1"/>
  <c r="G184" i="1"/>
  <c r="H184" i="1" s="1"/>
  <c r="L184" i="1" s="1"/>
  <c r="I185" i="1" l="1"/>
  <c r="J185" i="1" s="1"/>
  <c r="G185" i="1"/>
  <c r="H185" i="1" s="1"/>
  <c r="A187" i="1"/>
  <c r="D185" i="1"/>
  <c r="F185" i="1" s="1"/>
  <c r="I188" i="1" l="1"/>
  <c r="J188" i="1" s="1"/>
  <c r="G188" i="1"/>
  <c r="H188" i="1" s="1"/>
  <c r="D188" i="1"/>
  <c r="F188" i="1" s="1"/>
  <c r="A188" i="1"/>
  <c r="I186" i="1"/>
  <c r="J186" i="1" s="1"/>
  <c r="G186" i="1"/>
  <c r="H186" i="1" s="1"/>
  <c r="D186" i="1"/>
  <c r="F186" i="1" s="1"/>
  <c r="I187" i="1" l="1"/>
  <c r="J187" i="1" s="1"/>
  <c r="M187" i="1" s="1"/>
  <c r="G187" i="1"/>
  <c r="H187" i="1" s="1"/>
  <c r="L187" i="1" s="1"/>
  <c r="D187" i="1"/>
  <c r="F187" i="1" s="1"/>
  <c r="K187" i="1" s="1"/>
</calcChain>
</file>

<file path=xl/sharedStrings.xml><?xml version="1.0" encoding="utf-8"?>
<sst xmlns="http://schemas.openxmlformats.org/spreadsheetml/2006/main" count="48" uniqueCount="11">
  <si>
    <t>Station</t>
  </si>
  <si>
    <t>cut area (No Storm)</t>
  </si>
  <si>
    <t>fill area (No Storm)</t>
  </si>
  <si>
    <t>Fill Volume</t>
  </si>
  <si>
    <t>Seed Width</t>
  </si>
  <si>
    <t>Cut Volume (sf)</t>
  </si>
  <si>
    <t>Fill Vol. CY</t>
  </si>
  <si>
    <t>Cut Vol. CY</t>
  </si>
  <si>
    <t>TOTAL</t>
  </si>
  <si>
    <t>Seed Area SF</t>
  </si>
  <si>
    <t>Seed Area 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</si>
</sst>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78F7-A086-41AA-A497-6CF336574B9E}">
  <dimension ref="A1:M201"/>
  <sheetViews>
    <sheetView tabSelected="1" zoomScale="106" zoomScaleNormal="106" workbookViewId="0">
      <selection activeCell="P11" sqref="P11"/>
    </sheetView>
  </sheetViews>
  <sheetFormatPr defaultRowHeight="14.25"/>
  <cols>
    <col min="1" max="1" width="11.875" customWidth="1"/>
    <col min="2" max="2" width="19.875" style="1" customWidth="1"/>
    <col min="3" max="3" width="19.625" style="1" customWidth="1"/>
    <col min="4" max="4" width="0.125" style="1" customWidth="1"/>
    <col min="5" max="5" width="11.875" style="1" customWidth="1"/>
    <col min="6" max="6" width="19.375" style="1" customWidth="1"/>
    <col min="7" max="7" width="0.125" style="1" customWidth="1"/>
    <col min="8" max="9" width="19.75" style="1" customWidth="1"/>
    <col min="10" max="10" width="19.75" customWidth="1"/>
    <col min="11" max="14" width="0" hidden="1" customWidth="1"/>
  </cols>
  <sheetData>
    <row r="1" spans="1:13">
      <c r="A1" t="s">
        <v>0</v>
      </c>
      <c r="B1" s="1" t="s">
        <v>1</v>
      </c>
      <c r="C1" s="1" t="s">
        <v>2</v>
      </c>
      <c r="D1" s="2" t="s">
        <v>5</v>
      </c>
      <c r="E1" s="1" t="s">
        <v>4</v>
      </c>
      <c r="F1" s="2" t="s">
        <v>7</v>
      </c>
      <c r="G1" s="2" t="s">
        <v>3</v>
      </c>
      <c r="H1" s="2" t="s">
        <v>6</v>
      </c>
      <c r="I1" s="2" t="s">
        <v>9</v>
      </c>
      <c r="J1" s="2" t="s">
        <v>10</v>
      </c>
    </row>
    <row r="2" spans="1:13">
      <c r="A2">
        <v>94200</v>
      </c>
      <c r="B2" s="3">
        <f xml:space="preserve"> 0.0508 + 17.5119</f>
        <v>17.5627</v>
      </c>
      <c r="C2" s="3">
        <f xml:space="preserve"> 0.3409 + 9.5244</f>
        <v>9.8652999999999995</v>
      </c>
      <c r="D2" s="1">
        <f xml:space="preserve"> B2*25</f>
        <v>439.0675</v>
      </c>
      <c r="E2" s="3">
        <f xml:space="preserve"> 2.0159 + 11.0537</f>
        <v>13.069599999999999</v>
      </c>
      <c r="F2" s="3">
        <f>ROUND(D2/27,1)</f>
        <v>16.3</v>
      </c>
      <c r="G2" s="1">
        <f xml:space="preserve"> B2*25</f>
        <v>439.0675</v>
      </c>
      <c r="H2" s="3">
        <f>ROUND(G2/27,1)</f>
        <v>16.3</v>
      </c>
      <c r="I2" s="3">
        <f xml:space="preserve"> $E2 * 25</f>
        <v>326.74</v>
      </c>
      <c r="J2" s="7">
        <f>ROUND(I2*0.1111,1)</f>
        <v>36.299999999999997</v>
      </c>
    </row>
    <row r="3" spans="1:13">
      <c r="A3">
        <v>94250</v>
      </c>
      <c r="B3" s="3">
        <f xml:space="preserve"> 0.48 + 17.5983</f>
        <v>18.078299999999999</v>
      </c>
      <c r="C3" s="3">
        <f xml:space="preserve"> 0.3611 + 4.7751</f>
        <v>5.1362000000000005</v>
      </c>
      <c r="D3" s="4">
        <f>($B3*($A4-$A2))/2</f>
        <v>903.91499999999996</v>
      </c>
      <c r="E3" s="3">
        <f xml:space="preserve"> 8.5872 + 1.4044</f>
        <v>9.9916</v>
      </c>
      <c r="F3" s="3">
        <f t="shared" ref="F3:F66" si="0">ROUND(D3/27,1)</f>
        <v>33.5</v>
      </c>
      <c r="G3" s="1">
        <f>($C3*($A4-$A2))/2</f>
        <v>256.81</v>
      </c>
      <c r="H3" s="3">
        <f t="shared" ref="H3:H66" si="1">ROUND(G3/27,1)</f>
        <v>9.5</v>
      </c>
      <c r="I3" s="3">
        <f t="shared" ref="I3:I34" si="2">($E3*($A4-$A2))/2</f>
        <v>499.58</v>
      </c>
      <c r="J3" s="7">
        <f t="shared" ref="J3:J66" si="3">ROUND(I3*0.1111,1)</f>
        <v>55.5</v>
      </c>
    </row>
    <row r="4" spans="1:13">
      <c r="A4">
        <v>94300</v>
      </c>
      <c r="B4" s="3">
        <f>2.4366+17.4286</f>
        <v>19.865199999999998</v>
      </c>
      <c r="C4" s="3">
        <f xml:space="preserve"> 0.3732+0.3194</f>
        <v>0.69259999999999999</v>
      </c>
      <c r="D4" s="4">
        <f t="shared" ref="D4:D67" si="4">($B4*($A5-$A3))/2</f>
        <v>993.25999999999988</v>
      </c>
      <c r="E4" s="3">
        <f>1.8226+1.2411</f>
        <v>3.0636999999999999</v>
      </c>
      <c r="F4" s="3">
        <f t="shared" si="0"/>
        <v>36.799999999999997</v>
      </c>
      <c r="G4" s="1">
        <f t="shared" ref="G4:G67" si="5">($C4*($A5-$A3))/2</f>
        <v>34.630000000000003</v>
      </c>
      <c r="H4" s="3">
        <f t="shared" si="1"/>
        <v>1.3</v>
      </c>
      <c r="I4" s="3">
        <f t="shared" si="2"/>
        <v>153.185</v>
      </c>
      <c r="J4" s="7">
        <f t="shared" si="3"/>
        <v>17</v>
      </c>
      <c r="K4" s="7">
        <f>SUM(F2:F4)</f>
        <v>86.6</v>
      </c>
      <c r="L4" s="7">
        <f>SUM(H2:H4)</f>
        <v>27.1</v>
      </c>
      <c r="M4" s="7">
        <f>SUM(J2:J4)</f>
        <v>108.8</v>
      </c>
    </row>
    <row r="5" spans="1:13">
      <c r="A5">
        <v>94350</v>
      </c>
      <c r="B5" s="3">
        <v>0</v>
      </c>
      <c r="C5" s="3">
        <f>4.1633</f>
        <v>4.1632999999999996</v>
      </c>
      <c r="D5" s="4">
        <f t="shared" si="4"/>
        <v>0</v>
      </c>
      <c r="E5" s="3">
        <v>2</v>
      </c>
      <c r="F5" s="3">
        <f t="shared" si="0"/>
        <v>0</v>
      </c>
      <c r="G5" s="1">
        <f t="shared" si="5"/>
        <v>208.16499999999996</v>
      </c>
      <c r="H5" s="3">
        <f t="shared" si="1"/>
        <v>7.7</v>
      </c>
      <c r="I5" s="3">
        <f t="shared" si="2"/>
        <v>100</v>
      </c>
      <c r="J5" s="7">
        <f t="shared" si="3"/>
        <v>11.1</v>
      </c>
    </row>
    <row r="6" spans="1:13">
      <c r="A6">
        <v>94400</v>
      </c>
      <c r="B6" s="3">
        <v>3.0567000000000002</v>
      </c>
      <c r="C6" s="3">
        <v>0.28339999999999999</v>
      </c>
      <c r="D6" s="4">
        <f t="shared" si="4"/>
        <v>152.83500000000001</v>
      </c>
      <c r="E6" s="3">
        <v>3.9845000000000002</v>
      </c>
      <c r="F6" s="3">
        <f t="shared" si="0"/>
        <v>5.7</v>
      </c>
      <c r="G6" s="1">
        <f t="shared" si="5"/>
        <v>14.17</v>
      </c>
      <c r="H6" s="3">
        <f t="shared" si="1"/>
        <v>0.5</v>
      </c>
      <c r="I6" s="3">
        <f t="shared" si="2"/>
        <v>199.22499999999999</v>
      </c>
      <c r="J6" s="7">
        <f t="shared" si="3"/>
        <v>22.1</v>
      </c>
    </row>
    <row r="7" spans="1:13">
      <c r="A7">
        <v>94450</v>
      </c>
      <c r="B7" s="3">
        <v>3.0760000000000001</v>
      </c>
      <c r="C7" s="3">
        <v>0.44059999999999999</v>
      </c>
      <c r="D7" s="4">
        <f t="shared" si="4"/>
        <v>153.80000000000001</v>
      </c>
      <c r="E7" s="3">
        <v>4.1614000000000004</v>
      </c>
      <c r="F7" s="3">
        <f t="shared" si="0"/>
        <v>5.7</v>
      </c>
      <c r="G7" s="1">
        <f t="shared" si="5"/>
        <v>22.03</v>
      </c>
      <c r="H7" s="3">
        <f t="shared" si="1"/>
        <v>0.8</v>
      </c>
      <c r="I7" s="3">
        <f t="shared" si="2"/>
        <v>208.07000000000002</v>
      </c>
      <c r="J7" s="7">
        <f t="shared" si="3"/>
        <v>23.1</v>
      </c>
      <c r="K7" s="7">
        <f>SUM(F5:F7)</f>
        <v>11.4</v>
      </c>
      <c r="L7" s="7">
        <f>SUM(H5:H7)</f>
        <v>9</v>
      </c>
      <c r="M7" s="7">
        <f>SUM(J5:J7)</f>
        <v>56.300000000000004</v>
      </c>
    </row>
    <row r="8" spans="1:13">
      <c r="A8">
        <v>94500</v>
      </c>
      <c r="B8" s="3">
        <v>3.0590000000000002</v>
      </c>
      <c r="C8" s="3">
        <v>0.54579999999999995</v>
      </c>
      <c r="D8" s="4">
        <f t="shared" si="4"/>
        <v>152.95000000000002</v>
      </c>
      <c r="E8" s="3">
        <v>4.0414000000000003</v>
      </c>
      <c r="F8" s="3">
        <f t="shared" si="0"/>
        <v>5.7</v>
      </c>
      <c r="G8" s="1">
        <f t="shared" si="5"/>
        <v>27.29</v>
      </c>
      <c r="H8" s="3">
        <f t="shared" si="1"/>
        <v>1</v>
      </c>
      <c r="I8" s="3">
        <f t="shared" si="2"/>
        <v>202.07000000000002</v>
      </c>
      <c r="J8" s="7">
        <f t="shared" si="3"/>
        <v>22.4</v>
      </c>
    </row>
    <row r="9" spans="1:13">
      <c r="A9">
        <v>94550</v>
      </c>
      <c r="B9" s="3">
        <v>3.5638000000000001</v>
      </c>
      <c r="C9" s="3">
        <v>0.37659999999999999</v>
      </c>
      <c r="D9" s="4">
        <f t="shared" si="4"/>
        <v>178.19</v>
      </c>
      <c r="E9" s="3">
        <v>4.0164</v>
      </c>
      <c r="F9" s="3">
        <f t="shared" si="0"/>
        <v>6.6</v>
      </c>
      <c r="G9" s="1">
        <f t="shared" si="5"/>
        <v>18.829999999999998</v>
      </c>
      <c r="H9" s="3">
        <f t="shared" si="1"/>
        <v>0.7</v>
      </c>
      <c r="I9" s="3">
        <f t="shared" si="2"/>
        <v>200.82</v>
      </c>
      <c r="J9" s="7">
        <f t="shared" si="3"/>
        <v>22.3</v>
      </c>
    </row>
    <row r="10" spans="1:13">
      <c r="A10">
        <v>94600</v>
      </c>
      <c r="B10" s="3">
        <f xml:space="preserve"> 3.7496</f>
        <v>3.7496</v>
      </c>
      <c r="C10" s="3">
        <v>0.504</v>
      </c>
      <c r="D10" s="4">
        <f t="shared" si="4"/>
        <v>187.48</v>
      </c>
      <c r="E10" s="3">
        <v>4.2022000000000004</v>
      </c>
      <c r="F10" s="3">
        <f t="shared" si="0"/>
        <v>6.9</v>
      </c>
      <c r="G10" s="1">
        <f t="shared" si="5"/>
        <v>25.2</v>
      </c>
      <c r="H10" s="3">
        <f t="shared" si="1"/>
        <v>0.9</v>
      </c>
      <c r="I10" s="3">
        <f t="shared" si="2"/>
        <v>210.11</v>
      </c>
      <c r="J10" s="7">
        <f t="shared" si="3"/>
        <v>23.3</v>
      </c>
      <c r="K10" s="7">
        <f>SUM(F8:F10)</f>
        <v>19.200000000000003</v>
      </c>
      <c r="L10" s="7">
        <f>SUM(H8:H10)</f>
        <v>2.6</v>
      </c>
      <c r="M10" s="7">
        <f>SUM(J8:J10)</f>
        <v>68</v>
      </c>
    </row>
    <row r="11" spans="1:13">
      <c r="A11">
        <v>94650</v>
      </c>
      <c r="B11" s="3">
        <v>3.3849</v>
      </c>
      <c r="C11" s="3">
        <v>7.9899999999999999E-2</v>
      </c>
      <c r="D11" s="4">
        <f t="shared" si="4"/>
        <v>169.245</v>
      </c>
      <c r="E11" s="3">
        <v>2</v>
      </c>
      <c r="F11" s="3">
        <f t="shared" si="0"/>
        <v>6.3</v>
      </c>
      <c r="G11" s="1">
        <f t="shared" si="5"/>
        <v>3.9950000000000001</v>
      </c>
      <c r="H11" s="3">
        <f t="shared" si="1"/>
        <v>0.1</v>
      </c>
      <c r="I11" s="3">
        <f t="shared" si="2"/>
        <v>100</v>
      </c>
      <c r="J11" s="7">
        <f t="shared" si="3"/>
        <v>11.1</v>
      </c>
    </row>
    <row r="12" spans="1:13">
      <c r="A12">
        <v>94700</v>
      </c>
      <c r="B12" s="3">
        <v>2.7021999999999999</v>
      </c>
      <c r="C12" s="3">
        <f xml:space="preserve"> 0.0269</f>
        <v>2.69E-2</v>
      </c>
      <c r="D12" s="4">
        <f t="shared" si="4"/>
        <v>135.10999999999999</v>
      </c>
      <c r="E12" s="3">
        <f xml:space="preserve"> 0.7229+0.4628</f>
        <v>1.1857</v>
      </c>
      <c r="F12" s="3">
        <f t="shared" si="0"/>
        <v>5</v>
      </c>
      <c r="G12" s="1">
        <f t="shared" si="5"/>
        <v>1.345</v>
      </c>
      <c r="H12" s="3">
        <f t="shared" si="1"/>
        <v>0</v>
      </c>
      <c r="I12" s="3">
        <f t="shared" si="2"/>
        <v>59.284999999999997</v>
      </c>
      <c r="J12" s="7">
        <f t="shared" si="3"/>
        <v>6.6</v>
      </c>
    </row>
    <row r="13" spans="1:13">
      <c r="A13">
        <v>94750</v>
      </c>
      <c r="B13" s="3">
        <v>0</v>
      </c>
      <c r="C13" s="3">
        <v>0</v>
      </c>
      <c r="D13" s="4">
        <f t="shared" si="4"/>
        <v>0</v>
      </c>
      <c r="E13" s="3">
        <v>0</v>
      </c>
      <c r="F13" s="3">
        <f t="shared" si="0"/>
        <v>0</v>
      </c>
      <c r="G13" s="1">
        <f t="shared" si="5"/>
        <v>0</v>
      </c>
      <c r="H13" s="3">
        <f t="shared" si="1"/>
        <v>0</v>
      </c>
      <c r="I13" s="3">
        <f t="shared" si="2"/>
        <v>0</v>
      </c>
      <c r="J13" s="7">
        <f t="shared" si="3"/>
        <v>0</v>
      </c>
      <c r="K13" s="7">
        <f>SUM(F11:F13)</f>
        <v>11.3</v>
      </c>
      <c r="L13" s="7">
        <f>SUM(H11:H13)</f>
        <v>0.1</v>
      </c>
      <c r="M13" s="7">
        <f>SUM(J11:J13)</f>
        <v>17.7</v>
      </c>
    </row>
    <row r="14" spans="1:13">
      <c r="A14">
        <v>94800</v>
      </c>
      <c r="B14" s="3">
        <v>0</v>
      </c>
      <c r="C14" s="3">
        <v>0</v>
      </c>
      <c r="D14" s="4">
        <f t="shared" si="4"/>
        <v>0</v>
      </c>
      <c r="E14" s="3">
        <v>0</v>
      </c>
      <c r="F14" s="3">
        <f t="shared" si="0"/>
        <v>0</v>
      </c>
      <c r="G14" s="1">
        <f t="shared" si="5"/>
        <v>0</v>
      </c>
      <c r="H14" s="3">
        <f t="shared" si="1"/>
        <v>0</v>
      </c>
      <c r="I14" s="3">
        <f t="shared" si="2"/>
        <v>0</v>
      </c>
      <c r="J14" s="7">
        <f t="shared" si="3"/>
        <v>0</v>
      </c>
    </row>
    <row r="15" spans="1:13">
      <c r="A15">
        <v>94850</v>
      </c>
      <c r="B15" s="3">
        <v>0</v>
      </c>
      <c r="C15" s="3">
        <v>0</v>
      </c>
      <c r="D15" s="4">
        <f t="shared" si="4"/>
        <v>0</v>
      </c>
      <c r="E15" s="3">
        <v>0</v>
      </c>
      <c r="F15" s="3">
        <f t="shared" si="0"/>
        <v>0</v>
      </c>
      <c r="G15" s="1">
        <f t="shared" si="5"/>
        <v>0</v>
      </c>
      <c r="H15" s="3">
        <f t="shared" si="1"/>
        <v>0</v>
      </c>
      <c r="I15" s="3">
        <f t="shared" si="2"/>
        <v>0</v>
      </c>
      <c r="J15" s="7">
        <f t="shared" si="3"/>
        <v>0</v>
      </c>
    </row>
    <row r="16" spans="1:13">
      <c r="A16">
        <v>94900</v>
      </c>
      <c r="B16" s="3">
        <v>2.536</v>
      </c>
      <c r="C16" s="3">
        <f>0.3592+0.2688</f>
        <v>0.628</v>
      </c>
      <c r="D16" s="4">
        <f t="shared" si="4"/>
        <v>126.8</v>
      </c>
      <c r="E16" s="3">
        <f>2.0997+2.5373</f>
        <v>4.6370000000000005</v>
      </c>
      <c r="F16" s="3">
        <f t="shared" si="0"/>
        <v>4.7</v>
      </c>
      <c r="G16" s="1">
        <f t="shared" si="5"/>
        <v>31.4</v>
      </c>
      <c r="H16" s="3">
        <f t="shared" si="1"/>
        <v>1.2</v>
      </c>
      <c r="I16" s="3">
        <f t="shared" si="2"/>
        <v>231.85000000000002</v>
      </c>
      <c r="J16" s="7">
        <f t="shared" si="3"/>
        <v>25.8</v>
      </c>
      <c r="K16" s="7">
        <f>SUM(F14:F16)</f>
        <v>4.7</v>
      </c>
      <c r="L16" s="7">
        <f>SUM(H14:H16)</f>
        <v>1.2</v>
      </c>
      <c r="M16" s="7">
        <f>SUM(J14:J16)</f>
        <v>25.8</v>
      </c>
    </row>
    <row r="17" spans="1:13">
      <c r="A17">
        <v>94950</v>
      </c>
      <c r="B17" s="3">
        <v>4.6756000000000002</v>
      </c>
      <c r="C17" s="3">
        <v>0.23380000000000001</v>
      </c>
      <c r="D17" s="4">
        <f t="shared" si="4"/>
        <v>233.78</v>
      </c>
      <c r="E17" s="3">
        <v>2.3776999999999999</v>
      </c>
      <c r="F17" s="3">
        <f t="shared" si="0"/>
        <v>8.6999999999999993</v>
      </c>
      <c r="G17" s="1">
        <f t="shared" si="5"/>
        <v>11.690000000000001</v>
      </c>
      <c r="H17" s="3">
        <f t="shared" si="1"/>
        <v>0.4</v>
      </c>
      <c r="I17" s="3">
        <f t="shared" si="2"/>
        <v>118.88499999999999</v>
      </c>
      <c r="J17" s="7">
        <f t="shared" si="3"/>
        <v>13.2</v>
      </c>
    </row>
    <row r="18" spans="1:13">
      <c r="A18">
        <f xml:space="preserve"> A17 + 50</f>
        <v>95000</v>
      </c>
      <c r="B18" s="3">
        <v>4.4321000000000002</v>
      </c>
      <c r="C18" s="3">
        <v>0.22370000000000001</v>
      </c>
      <c r="D18" s="4">
        <f t="shared" si="4"/>
        <v>221.60500000000002</v>
      </c>
      <c r="E18" s="3">
        <v>2.3229000000000002</v>
      </c>
      <c r="F18" s="3">
        <f t="shared" si="0"/>
        <v>8.1999999999999993</v>
      </c>
      <c r="G18" s="1">
        <f t="shared" si="5"/>
        <v>11.185</v>
      </c>
      <c r="H18" s="3">
        <f t="shared" si="1"/>
        <v>0.4</v>
      </c>
      <c r="I18" s="3">
        <f t="shared" si="2"/>
        <v>116.14500000000001</v>
      </c>
      <c r="J18" s="7">
        <f t="shared" si="3"/>
        <v>12.9</v>
      </c>
    </row>
    <row r="19" spans="1:13">
      <c r="A19">
        <f t="shared" ref="A19:A82" si="6" xml:space="preserve"> A18 + 50</f>
        <v>95050</v>
      </c>
      <c r="B19" s="3">
        <v>4.8150000000000004</v>
      </c>
      <c r="C19" s="3">
        <v>8.4199999999999997E-2</v>
      </c>
      <c r="D19" s="4">
        <f t="shared" si="4"/>
        <v>240.75000000000003</v>
      </c>
      <c r="E19" s="3">
        <v>2.0602999999999998</v>
      </c>
      <c r="F19" s="3">
        <f t="shared" si="0"/>
        <v>8.9</v>
      </c>
      <c r="G19" s="1">
        <f t="shared" si="5"/>
        <v>4.21</v>
      </c>
      <c r="H19" s="3">
        <f t="shared" si="1"/>
        <v>0.2</v>
      </c>
      <c r="I19" s="3">
        <f t="shared" si="2"/>
        <v>103.01499999999999</v>
      </c>
      <c r="J19" s="7">
        <f t="shared" si="3"/>
        <v>11.4</v>
      </c>
      <c r="K19" s="7">
        <f>SUM(F17:F19)</f>
        <v>25.799999999999997</v>
      </c>
      <c r="L19" s="7">
        <f>SUM(H17:H19)</f>
        <v>1</v>
      </c>
      <c r="M19" s="7">
        <f>SUM(J17:J19)</f>
        <v>37.5</v>
      </c>
    </row>
    <row r="20" spans="1:13">
      <c r="A20">
        <f t="shared" si="6"/>
        <v>95100</v>
      </c>
      <c r="B20" s="3">
        <f>5.2517+5.5175</f>
        <v>10.7692</v>
      </c>
      <c r="C20" s="3">
        <v>0.48249999999999998</v>
      </c>
      <c r="D20" s="4">
        <f t="shared" si="4"/>
        <v>538.46</v>
      </c>
      <c r="E20" s="3">
        <f>2.1843+2.1904</f>
        <v>4.3746999999999998</v>
      </c>
      <c r="F20" s="3">
        <f t="shared" si="0"/>
        <v>19.899999999999999</v>
      </c>
      <c r="G20" s="1">
        <f t="shared" si="5"/>
        <v>24.125</v>
      </c>
      <c r="H20" s="3">
        <f t="shared" si="1"/>
        <v>0.9</v>
      </c>
      <c r="I20" s="3">
        <f t="shared" si="2"/>
        <v>218.73499999999999</v>
      </c>
      <c r="J20" s="7">
        <f t="shared" si="3"/>
        <v>24.3</v>
      </c>
    </row>
    <row r="21" spans="1:13">
      <c r="A21">
        <f t="shared" si="6"/>
        <v>95150</v>
      </c>
      <c r="B21" s="3">
        <v>5.4391999999999996</v>
      </c>
      <c r="C21" s="3">
        <v>0</v>
      </c>
      <c r="D21" s="4">
        <f t="shared" si="4"/>
        <v>271.95999999999998</v>
      </c>
      <c r="E21" s="3">
        <v>2.3414000000000001</v>
      </c>
      <c r="F21" s="3">
        <f t="shared" si="0"/>
        <v>10.1</v>
      </c>
      <c r="G21" s="1">
        <f t="shared" si="5"/>
        <v>0</v>
      </c>
      <c r="H21" s="3">
        <f t="shared" si="1"/>
        <v>0</v>
      </c>
      <c r="I21" s="3">
        <f t="shared" si="2"/>
        <v>117.07000000000001</v>
      </c>
      <c r="J21" s="7">
        <f t="shared" si="3"/>
        <v>13</v>
      </c>
    </row>
    <row r="22" spans="1:13">
      <c r="A22">
        <f t="shared" si="6"/>
        <v>95200</v>
      </c>
      <c r="B22" s="3">
        <v>5.9276</v>
      </c>
      <c r="C22" s="3">
        <v>0</v>
      </c>
      <c r="D22" s="4">
        <f t="shared" si="4"/>
        <v>296.38</v>
      </c>
      <c r="E22" s="3">
        <v>2.3843000000000001</v>
      </c>
      <c r="F22" s="3">
        <f t="shared" si="0"/>
        <v>11</v>
      </c>
      <c r="G22" s="1">
        <f t="shared" si="5"/>
        <v>0</v>
      </c>
      <c r="H22" s="3">
        <f t="shared" si="1"/>
        <v>0</v>
      </c>
      <c r="I22" s="3">
        <f t="shared" si="2"/>
        <v>119.215</v>
      </c>
      <c r="J22" s="7">
        <f t="shared" si="3"/>
        <v>13.2</v>
      </c>
      <c r="K22" s="7">
        <f>SUM(F20:F22)</f>
        <v>41</v>
      </c>
      <c r="L22" s="7">
        <f>SUM(H20:H22)</f>
        <v>0.9</v>
      </c>
      <c r="M22" s="7">
        <f>SUM(J20:J22)</f>
        <v>50.5</v>
      </c>
    </row>
    <row r="23" spans="1:13">
      <c r="A23">
        <f t="shared" si="6"/>
        <v>95250</v>
      </c>
      <c r="B23" s="3">
        <v>4.6840000000000002</v>
      </c>
      <c r="C23" s="3">
        <v>0.1118</v>
      </c>
      <c r="D23" s="4">
        <f t="shared" si="4"/>
        <v>234.20000000000002</v>
      </c>
      <c r="E23" s="3">
        <v>2.1467000000000001</v>
      </c>
      <c r="F23" s="3">
        <f t="shared" si="0"/>
        <v>8.6999999999999993</v>
      </c>
      <c r="G23" s="1">
        <f t="shared" si="5"/>
        <v>5.59</v>
      </c>
      <c r="H23" s="3">
        <f t="shared" si="1"/>
        <v>0.2</v>
      </c>
      <c r="I23" s="3">
        <f t="shared" si="2"/>
        <v>107.33500000000001</v>
      </c>
      <c r="J23" s="7">
        <f t="shared" si="3"/>
        <v>11.9</v>
      </c>
    </row>
    <row r="24" spans="1:13">
      <c r="A24">
        <f t="shared" si="6"/>
        <v>95300</v>
      </c>
      <c r="B24" s="3">
        <v>4.5491999999999999</v>
      </c>
      <c r="C24" s="3">
        <v>5.8500000000000003E-2</v>
      </c>
      <c r="D24" s="4">
        <f t="shared" si="4"/>
        <v>227.46</v>
      </c>
      <c r="E24" s="3">
        <v>2.0524</v>
      </c>
      <c r="F24" s="3">
        <f t="shared" si="0"/>
        <v>8.4</v>
      </c>
      <c r="G24" s="1">
        <f t="shared" si="5"/>
        <v>2.9250000000000003</v>
      </c>
      <c r="H24" s="3">
        <f t="shared" si="1"/>
        <v>0.1</v>
      </c>
      <c r="I24" s="3">
        <f t="shared" si="2"/>
        <v>102.62</v>
      </c>
      <c r="J24" s="7">
        <f t="shared" si="3"/>
        <v>11.4</v>
      </c>
    </row>
    <row r="25" spans="1:13">
      <c r="A25">
        <f t="shared" si="6"/>
        <v>95350</v>
      </c>
      <c r="B25" s="3">
        <v>4.2782999999999998</v>
      </c>
      <c r="C25" s="3">
        <v>0.22559999999999999</v>
      </c>
      <c r="D25" s="4">
        <f t="shared" si="4"/>
        <v>213.91499999999999</v>
      </c>
      <c r="E25" s="3">
        <v>2.3456000000000001</v>
      </c>
      <c r="F25" s="3">
        <f t="shared" si="0"/>
        <v>7.9</v>
      </c>
      <c r="G25" s="1">
        <f t="shared" si="5"/>
        <v>11.28</v>
      </c>
      <c r="H25" s="3">
        <f t="shared" si="1"/>
        <v>0.4</v>
      </c>
      <c r="I25" s="3">
        <f t="shared" si="2"/>
        <v>117.28</v>
      </c>
      <c r="J25" s="7">
        <f t="shared" si="3"/>
        <v>13</v>
      </c>
      <c r="K25" s="7">
        <f>SUM(F23:F25)</f>
        <v>25</v>
      </c>
      <c r="L25" s="7">
        <f>SUM(H23:H25)</f>
        <v>0.70000000000000007</v>
      </c>
      <c r="M25" s="7">
        <f>SUM(J23:J25)</f>
        <v>36.299999999999997</v>
      </c>
    </row>
    <row r="26" spans="1:13">
      <c r="A26">
        <f t="shared" si="6"/>
        <v>95400</v>
      </c>
      <c r="B26" s="3">
        <v>3.9925999999999999</v>
      </c>
      <c r="C26" s="3">
        <v>0.1087</v>
      </c>
      <c r="D26" s="4">
        <f t="shared" si="4"/>
        <v>199.63</v>
      </c>
      <c r="E26" s="3">
        <v>2.2896999999999998</v>
      </c>
      <c r="F26" s="3">
        <f t="shared" si="0"/>
        <v>7.4</v>
      </c>
      <c r="G26" s="1">
        <f t="shared" si="5"/>
        <v>5.4350000000000005</v>
      </c>
      <c r="H26" s="3">
        <f t="shared" si="1"/>
        <v>0.2</v>
      </c>
      <c r="I26" s="3">
        <f t="shared" si="2"/>
        <v>114.48499999999999</v>
      </c>
      <c r="J26" s="7">
        <f t="shared" si="3"/>
        <v>12.7</v>
      </c>
    </row>
    <row r="27" spans="1:13">
      <c r="A27">
        <f t="shared" si="6"/>
        <v>95450</v>
      </c>
      <c r="B27" s="3">
        <f xml:space="preserve"> 1.6518 + 5.8425 + 5.7667</f>
        <v>13.260999999999999</v>
      </c>
      <c r="C27" s="3">
        <f xml:space="preserve"> 0.2172 + 1.427</f>
        <v>1.6442000000000001</v>
      </c>
      <c r="D27" s="4">
        <f t="shared" si="4"/>
        <v>663.05</v>
      </c>
      <c r="E27" s="3">
        <f xml:space="preserve"> 1.5164 + 4.4009+2.406</f>
        <v>8.3232999999999997</v>
      </c>
      <c r="F27" s="3">
        <f t="shared" si="0"/>
        <v>24.6</v>
      </c>
      <c r="G27" s="1">
        <f t="shared" si="5"/>
        <v>82.210000000000008</v>
      </c>
      <c r="H27" s="3">
        <f t="shared" si="1"/>
        <v>3</v>
      </c>
      <c r="I27" s="3">
        <f t="shared" si="2"/>
        <v>416.16499999999996</v>
      </c>
      <c r="J27" s="7">
        <f t="shared" si="3"/>
        <v>46.2</v>
      </c>
    </row>
    <row r="28" spans="1:13">
      <c r="A28">
        <f t="shared" si="6"/>
        <v>95500</v>
      </c>
      <c r="B28" s="3">
        <v>6.2309999999999999</v>
      </c>
      <c r="C28" s="3">
        <v>0</v>
      </c>
      <c r="D28" s="4">
        <f t="shared" si="4"/>
        <v>311.55</v>
      </c>
      <c r="E28" s="3">
        <v>2.7</v>
      </c>
      <c r="F28" s="3">
        <f t="shared" si="0"/>
        <v>11.5</v>
      </c>
      <c r="G28" s="1">
        <f t="shared" si="5"/>
        <v>0</v>
      </c>
      <c r="H28" s="3">
        <f t="shared" si="1"/>
        <v>0</v>
      </c>
      <c r="I28" s="3">
        <f t="shared" si="2"/>
        <v>135</v>
      </c>
      <c r="J28" s="7">
        <f t="shared" si="3"/>
        <v>15</v>
      </c>
      <c r="K28" s="7">
        <f>SUM(F26:F28)</f>
        <v>43.5</v>
      </c>
      <c r="L28" s="7">
        <f>SUM(H26:H28)</f>
        <v>3.2</v>
      </c>
      <c r="M28" s="7">
        <f>SUM(J26:J28)</f>
        <v>73.900000000000006</v>
      </c>
    </row>
    <row r="29" spans="1:13">
      <c r="A29">
        <f t="shared" si="6"/>
        <v>95550</v>
      </c>
      <c r="B29" s="3">
        <v>4.0503</v>
      </c>
      <c r="C29" s="3">
        <v>0.1923</v>
      </c>
      <c r="D29" s="4">
        <f t="shared" si="4"/>
        <v>142.44905099999292</v>
      </c>
      <c r="E29" s="3">
        <f>2.1402+0.1299</f>
        <v>2.2701000000000002</v>
      </c>
      <c r="F29" s="3">
        <f t="shared" si="0"/>
        <v>5.3</v>
      </c>
      <c r="G29" s="1">
        <f t="shared" si="5"/>
        <v>6.7631909999996642</v>
      </c>
      <c r="H29" s="3">
        <f t="shared" si="1"/>
        <v>0.3</v>
      </c>
      <c r="I29" s="3">
        <f t="shared" si="2"/>
        <v>79.839416999996047</v>
      </c>
      <c r="J29" s="7">
        <f t="shared" si="3"/>
        <v>8.9</v>
      </c>
    </row>
    <row r="30" spans="1:13">
      <c r="A30">
        <v>95570.34</v>
      </c>
      <c r="B30" s="3">
        <v>3.9188999999999998</v>
      </c>
      <c r="C30" s="3">
        <v>0.31509999999999999</v>
      </c>
      <c r="D30" s="4">
        <f t="shared" si="4"/>
        <v>97.972499999999997</v>
      </c>
      <c r="E30" s="3">
        <f>2.3532+0.0924</f>
        <v>2.4456000000000002</v>
      </c>
      <c r="F30" s="3">
        <f t="shared" si="0"/>
        <v>3.6</v>
      </c>
      <c r="G30" s="1">
        <f t="shared" si="5"/>
        <v>7.8774999999999995</v>
      </c>
      <c r="H30" s="3">
        <f t="shared" si="1"/>
        <v>0.3</v>
      </c>
      <c r="I30" s="3">
        <f t="shared" si="2"/>
        <v>61.140000000000008</v>
      </c>
      <c r="J30" s="7">
        <f t="shared" si="3"/>
        <v>6.8</v>
      </c>
    </row>
    <row r="31" spans="1:13">
      <c r="A31">
        <f xml:space="preserve"> A29 + 50</f>
        <v>95600</v>
      </c>
      <c r="B31" s="3">
        <v>4.1467999999999998</v>
      </c>
      <c r="C31" s="3">
        <v>5.1499999999999997E-2</v>
      </c>
      <c r="D31" s="4">
        <f t="shared" si="4"/>
        <v>165.16704400000722</v>
      </c>
      <c r="E31" s="3">
        <f>1.6694+0.0463</f>
        <v>1.7157</v>
      </c>
      <c r="F31" s="3">
        <f t="shared" si="0"/>
        <v>6.1</v>
      </c>
      <c r="G31" s="1">
        <f t="shared" si="5"/>
        <v>2.0512450000000899</v>
      </c>
      <c r="H31" s="3">
        <f t="shared" si="1"/>
        <v>0.1</v>
      </c>
      <c r="I31" s="3">
        <f t="shared" si="2"/>
        <v>68.336331000003</v>
      </c>
      <c r="J31" s="7">
        <f t="shared" si="3"/>
        <v>7.6</v>
      </c>
      <c r="K31" s="7">
        <f>SUM(F29:F31)</f>
        <v>15</v>
      </c>
      <c r="L31" s="7">
        <f>SUM(H29:H31)</f>
        <v>0.7</v>
      </c>
      <c r="M31" s="7">
        <f>SUM(J29:J31)</f>
        <v>23.299999999999997</v>
      </c>
    </row>
    <row r="32" spans="1:13">
      <c r="A32">
        <f t="shared" si="6"/>
        <v>95650</v>
      </c>
      <c r="B32" s="3">
        <v>4.6832000000000003</v>
      </c>
      <c r="C32" s="3">
        <v>1.4E-3</v>
      </c>
      <c r="D32" s="4">
        <f t="shared" si="4"/>
        <v>234.16000000000003</v>
      </c>
      <c r="E32" s="3">
        <v>2.2248999999999999</v>
      </c>
      <c r="F32" s="3">
        <f t="shared" si="0"/>
        <v>8.6999999999999993</v>
      </c>
      <c r="G32" s="1">
        <f t="shared" si="5"/>
        <v>6.9999999999999993E-2</v>
      </c>
      <c r="H32" s="3">
        <f t="shared" si="1"/>
        <v>0</v>
      </c>
      <c r="I32" s="3">
        <f t="shared" si="2"/>
        <v>111.24499999999999</v>
      </c>
      <c r="J32" s="7">
        <f t="shared" si="3"/>
        <v>12.4</v>
      </c>
    </row>
    <row r="33" spans="1:13">
      <c r="A33">
        <f t="shared" si="6"/>
        <v>95700</v>
      </c>
      <c r="B33" s="3">
        <f xml:space="preserve"> 1.7965+5.891+7.3295</f>
        <v>15.016999999999999</v>
      </c>
      <c r="C33" s="3">
        <f>0.3729+0.1922</f>
        <v>0.56510000000000005</v>
      </c>
      <c r="D33" s="4">
        <f t="shared" si="4"/>
        <v>750.85</v>
      </c>
      <c r="E33" s="3">
        <f>1.4872+8.5068</f>
        <v>9.9939999999999998</v>
      </c>
      <c r="F33" s="3">
        <f t="shared" si="0"/>
        <v>27.8</v>
      </c>
      <c r="G33" s="1">
        <f t="shared" si="5"/>
        <v>28.255000000000003</v>
      </c>
      <c r="H33" s="3">
        <f t="shared" si="1"/>
        <v>1</v>
      </c>
      <c r="I33" s="3">
        <f t="shared" si="2"/>
        <v>499.7</v>
      </c>
      <c r="J33" s="7">
        <f t="shared" si="3"/>
        <v>55.5</v>
      </c>
    </row>
    <row r="34" spans="1:13">
      <c r="A34">
        <f t="shared" si="6"/>
        <v>95750</v>
      </c>
      <c r="B34" s="3">
        <f xml:space="preserve"> 7.4049 + 6.4002 + 2.8733</f>
        <v>16.6784</v>
      </c>
      <c r="C34" s="3">
        <v>7.2800000000000004E-2</v>
      </c>
      <c r="D34" s="4">
        <f t="shared" si="4"/>
        <v>833.92</v>
      </c>
      <c r="E34" s="3">
        <f>0.5383+0.8201+0.1123</f>
        <v>1.4707000000000001</v>
      </c>
      <c r="F34" s="3">
        <f t="shared" si="0"/>
        <v>30.9</v>
      </c>
      <c r="G34" s="1">
        <f t="shared" si="5"/>
        <v>3.64</v>
      </c>
      <c r="H34" s="3">
        <f t="shared" si="1"/>
        <v>0.1</v>
      </c>
      <c r="I34" s="3">
        <f t="shared" si="2"/>
        <v>73.535000000000011</v>
      </c>
      <c r="J34" s="7">
        <f t="shared" si="3"/>
        <v>8.1999999999999993</v>
      </c>
      <c r="K34" s="7">
        <f>SUM(F32:F34)</f>
        <v>67.400000000000006</v>
      </c>
      <c r="L34" s="7">
        <f>SUM(H32:H34)</f>
        <v>1.1000000000000001</v>
      </c>
      <c r="M34" s="7">
        <f>SUM(J32:J34)</f>
        <v>76.100000000000009</v>
      </c>
    </row>
    <row r="35" spans="1:13">
      <c r="A35">
        <f t="shared" si="6"/>
        <v>95800</v>
      </c>
      <c r="B35" s="3">
        <v>7.2344999999999997</v>
      </c>
      <c r="C35" s="3">
        <v>0</v>
      </c>
      <c r="D35" s="4">
        <f t="shared" si="4"/>
        <v>361.72499999999997</v>
      </c>
      <c r="E35" s="3">
        <v>0</v>
      </c>
      <c r="F35" s="3">
        <f t="shared" si="0"/>
        <v>13.4</v>
      </c>
      <c r="G35" s="1">
        <f t="shared" si="5"/>
        <v>0</v>
      </c>
      <c r="H35" s="3">
        <f t="shared" si="1"/>
        <v>0</v>
      </c>
      <c r="I35" s="3">
        <f t="shared" ref="I35:I66" si="7">($E35*($A36-$A34))/2</f>
        <v>0</v>
      </c>
      <c r="J35" s="7">
        <f t="shared" si="3"/>
        <v>0</v>
      </c>
    </row>
    <row r="36" spans="1:13">
      <c r="A36">
        <f t="shared" si="6"/>
        <v>95850</v>
      </c>
      <c r="B36" s="3">
        <v>0</v>
      </c>
      <c r="C36" s="3">
        <v>0</v>
      </c>
      <c r="D36" s="4">
        <f t="shared" si="4"/>
        <v>0</v>
      </c>
      <c r="E36" s="3">
        <v>0</v>
      </c>
      <c r="F36" s="3">
        <f t="shared" si="0"/>
        <v>0</v>
      </c>
      <c r="G36" s="1">
        <f t="shared" si="5"/>
        <v>0</v>
      </c>
      <c r="H36" s="3">
        <f t="shared" si="1"/>
        <v>0</v>
      </c>
      <c r="I36" s="3">
        <f t="shared" si="7"/>
        <v>0</v>
      </c>
      <c r="J36" s="7">
        <f t="shared" si="3"/>
        <v>0</v>
      </c>
    </row>
    <row r="37" spans="1:13">
      <c r="A37">
        <f t="shared" si="6"/>
        <v>95900</v>
      </c>
      <c r="B37" s="3">
        <v>53.7271</v>
      </c>
      <c r="C37" s="3">
        <v>2.7239</v>
      </c>
      <c r="D37" s="4">
        <f t="shared" si="4"/>
        <v>2686.355</v>
      </c>
      <c r="E37" s="3">
        <v>4.4291</v>
      </c>
      <c r="F37" s="3">
        <f t="shared" si="0"/>
        <v>99.5</v>
      </c>
      <c r="G37" s="1">
        <f t="shared" si="5"/>
        <v>136.19499999999999</v>
      </c>
      <c r="H37" s="3">
        <f t="shared" si="1"/>
        <v>5</v>
      </c>
      <c r="I37" s="3">
        <f t="shared" si="7"/>
        <v>221.45500000000001</v>
      </c>
      <c r="J37" s="7">
        <f t="shared" si="3"/>
        <v>24.6</v>
      </c>
      <c r="K37" s="7">
        <f>SUM(F35:F37)</f>
        <v>112.9</v>
      </c>
      <c r="L37" s="7">
        <f>SUM(H35:H37)</f>
        <v>5</v>
      </c>
      <c r="M37" s="7">
        <f>SUM(J35:J37)</f>
        <v>24.6</v>
      </c>
    </row>
    <row r="38" spans="1:13">
      <c r="A38">
        <f xml:space="preserve"> A37 + 50</f>
        <v>95950</v>
      </c>
      <c r="B38" s="3">
        <v>48.5413</v>
      </c>
      <c r="C38" s="3">
        <v>0.81399999999999995</v>
      </c>
      <c r="D38" s="4">
        <f t="shared" si="4"/>
        <v>2427.0650000000001</v>
      </c>
      <c r="E38" s="3">
        <v>2.6888000000000001</v>
      </c>
      <c r="F38" s="3">
        <f t="shared" si="0"/>
        <v>89.9</v>
      </c>
      <c r="G38" s="1">
        <f t="shared" si="5"/>
        <v>40.699999999999996</v>
      </c>
      <c r="H38" s="3">
        <f t="shared" si="1"/>
        <v>1.5</v>
      </c>
      <c r="I38" s="3">
        <f t="shared" si="7"/>
        <v>134.44</v>
      </c>
      <c r="J38" s="7">
        <f t="shared" si="3"/>
        <v>14.9</v>
      </c>
    </row>
    <row r="39" spans="1:13">
      <c r="A39">
        <f t="shared" si="6"/>
        <v>96000</v>
      </c>
      <c r="B39" s="3">
        <f>1.5061+36.7837</f>
        <v>38.2898</v>
      </c>
      <c r="C39" s="3">
        <v>0.1741</v>
      </c>
      <c r="D39" s="4">
        <f t="shared" si="4"/>
        <v>1914.49</v>
      </c>
      <c r="E39" s="3">
        <v>0.65890000000000004</v>
      </c>
      <c r="F39" s="3">
        <f t="shared" si="0"/>
        <v>70.900000000000006</v>
      </c>
      <c r="G39" s="1">
        <f t="shared" si="5"/>
        <v>8.7050000000000001</v>
      </c>
      <c r="H39" s="3">
        <f t="shared" si="1"/>
        <v>0.3</v>
      </c>
      <c r="I39" s="3">
        <f t="shared" si="7"/>
        <v>32.945</v>
      </c>
      <c r="J39" s="7">
        <f t="shared" si="3"/>
        <v>3.7</v>
      </c>
    </row>
    <row r="40" spans="1:13">
      <c r="A40">
        <f t="shared" si="6"/>
        <v>96050</v>
      </c>
      <c r="B40" s="3">
        <v>39.2881</v>
      </c>
      <c r="C40" s="3">
        <v>0</v>
      </c>
      <c r="D40" s="4">
        <f t="shared" si="4"/>
        <v>1964.405</v>
      </c>
      <c r="E40" s="3">
        <v>0</v>
      </c>
      <c r="F40" s="3">
        <f t="shared" si="0"/>
        <v>72.8</v>
      </c>
      <c r="G40" s="1">
        <f t="shared" si="5"/>
        <v>0</v>
      </c>
      <c r="H40" s="3">
        <f t="shared" si="1"/>
        <v>0</v>
      </c>
      <c r="I40" s="3">
        <f t="shared" si="7"/>
        <v>0</v>
      </c>
      <c r="J40" s="7">
        <f t="shared" si="3"/>
        <v>0</v>
      </c>
      <c r="K40" s="7">
        <f>SUM(F38:F40)</f>
        <v>233.60000000000002</v>
      </c>
      <c r="L40" s="7">
        <f>SUM(H38:H40)</f>
        <v>1.8</v>
      </c>
      <c r="M40" s="7">
        <f>SUM(J38:J40)</f>
        <v>18.600000000000001</v>
      </c>
    </row>
    <row r="41" spans="1:13">
      <c r="A41">
        <f t="shared" si="6"/>
        <v>96100</v>
      </c>
      <c r="B41" s="3">
        <f>44.159+41.0508</f>
        <v>85.209800000000001</v>
      </c>
      <c r="C41" s="3">
        <v>0</v>
      </c>
      <c r="D41" s="4">
        <f t="shared" si="4"/>
        <v>4260.49</v>
      </c>
      <c r="E41" s="3">
        <f>4.731+1.004</f>
        <v>5.7349999999999994</v>
      </c>
      <c r="F41" s="3">
        <f t="shared" si="0"/>
        <v>157.80000000000001</v>
      </c>
      <c r="G41" s="1">
        <f t="shared" si="5"/>
        <v>0</v>
      </c>
      <c r="H41" s="3">
        <f t="shared" si="1"/>
        <v>0</v>
      </c>
      <c r="I41" s="3">
        <f t="shared" si="7"/>
        <v>286.75</v>
      </c>
      <c r="J41" s="7">
        <f t="shared" si="3"/>
        <v>31.9</v>
      </c>
    </row>
    <row r="42" spans="1:13">
      <c r="A42">
        <f t="shared" si="6"/>
        <v>96150</v>
      </c>
      <c r="B42" s="3">
        <f xml:space="preserve"> 46.3747 + 32.9055</f>
        <v>79.280200000000008</v>
      </c>
      <c r="C42" s="3">
        <v>1.1326000000000001</v>
      </c>
      <c r="D42" s="4">
        <f t="shared" si="4"/>
        <v>3964.01</v>
      </c>
      <c r="E42" s="3">
        <f>2.5647+7.2085</f>
        <v>9.7731999999999992</v>
      </c>
      <c r="F42" s="3">
        <f t="shared" si="0"/>
        <v>146.80000000000001</v>
      </c>
      <c r="G42" s="1">
        <f t="shared" si="5"/>
        <v>56.63</v>
      </c>
      <c r="H42" s="3">
        <f t="shared" si="1"/>
        <v>2.1</v>
      </c>
      <c r="I42" s="3">
        <f t="shared" si="7"/>
        <v>488.65999999999997</v>
      </c>
      <c r="J42" s="7">
        <f t="shared" si="3"/>
        <v>54.3</v>
      </c>
    </row>
    <row r="43" spans="1:13">
      <c r="A43">
        <f t="shared" si="6"/>
        <v>96200</v>
      </c>
      <c r="B43" s="3">
        <f xml:space="preserve"> 83.5279</f>
        <v>83.527900000000002</v>
      </c>
      <c r="C43" s="3">
        <v>0.5302</v>
      </c>
      <c r="D43" s="4">
        <f t="shared" si="4"/>
        <v>4176.3950000000004</v>
      </c>
      <c r="E43" s="3">
        <v>2.2132999999999998</v>
      </c>
      <c r="F43" s="3">
        <f t="shared" si="0"/>
        <v>154.69999999999999</v>
      </c>
      <c r="G43" s="1">
        <f t="shared" si="5"/>
        <v>26.51</v>
      </c>
      <c r="H43" s="3">
        <f t="shared" si="1"/>
        <v>1</v>
      </c>
      <c r="I43" s="3">
        <f t="shared" si="7"/>
        <v>110.66499999999999</v>
      </c>
      <c r="J43" s="7">
        <f t="shared" si="3"/>
        <v>12.3</v>
      </c>
      <c r="K43" s="7">
        <f>SUM(F41:F43)</f>
        <v>459.3</v>
      </c>
      <c r="L43" s="7">
        <f>SUM(H41:H43)</f>
        <v>3.1</v>
      </c>
      <c r="M43" s="7">
        <f>SUM(J41:J43)</f>
        <v>98.499999999999986</v>
      </c>
    </row>
    <row r="44" spans="1:13">
      <c r="A44">
        <f t="shared" si="6"/>
        <v>96250</v>
      </c>
      <c r="B44" s="3">
        <f>47.8774+65.0397</f>
        <v>112.9171</v>
      </c>
      <c r="C44" s="3">
        <v>0.68</v>
      </c>
      <c r="D44" s="4">
        <f t="shared" si="4"/>
        <v>5645.8550000000005</v>
      </c>
      <c r="E44" s="3">
        <f>2.7414+2.6272</f>
        <v>5.3686000000000007</v>
      </c>
      <c r="F44" s="3">
        <f t="shared" si="0"/>
        <v>209.1</v>
      </c>
      <c r="G44" s="1">
        <f t="shared" si="5"/>
        <v>34</v>
      </c>
      <c r="H44" s="3">
        <f t="shared" si="1"/>
        <v>1.3</v>
      </c>
      <c r="I44" s="3">
        <f t="shared" si="7"/>
        <v>268.43000000000006</v>
      </c>
      <c r="J44" s="7">
        <f t="shared" si="3"/>
        <v>29.8</v>
      </c>
    </row>
    <row r="45" spans="1:13">
      <c r="A45">
        <f t="shared" si="6"/>
        <v>96300</v>
      </c>
      <c r="B45" s="3">
        <f xml:space="preserve"> 40.7159 + 36.5826</f>
        <v>77.29849999999999</v>
      </c>
      <c r="C45" s="3">
        <v>0</v>
      </c>
      <c r="D45" s="4">
        <f t="shared" si="4"/>
        <v>3864.9249999999993</v>
      </c>
      <c r="E45" s="3">
        <f xml:space="preserve"> 1.4421 + 2.4681</f>
        <v>3.9102000000000001</v>
      </c>
      <c r="F45" s="3">
        <f t="shared" si="0"/>
        <v>143.1</v>
      </c>
      <c r="G45" s="1">
        <f t="shared" si="5"/>
        <v>0</v>
      </c>
      <c r="H45" s="3">
        <f t="shared" si="1"/>
        <v>0</v>
      </c>
      <c r="I45" s="3">
        <f t="shared" si="7"/>
        <v>195.51000000000002</v>
      </c>
      <c r="J45" s="7">
        <f t="shared" si="3"/>
        <v>21.7</v>
      </c>
    </row>
    <row r="46" spans="1:13">
      <c r="A46">
        <f t="shared" si="6"/>
        <v>96350</v>
      </c>
      <c r="B46" s="3">
        <f xml:space="preserve"> 43.4444 + 28.0929</f>
        <v>71.537300000000002</v>
      </c>
      <c r="C46" s="3">
        <v>3.9300000000000002E-2</v>
      </c>
      <c r="D46" s="4">
        <f t="shared" si="4"/>
        <v>3576.8650000000002</v>
      </c>
      <c r="E46" s="3">
        <f xml:space="preserve"> 0.4783 + 2.3728</f>
        <v>2.8510999999999997</v>
      </c>
      <c r="F46" s="3">
        <f t="shared" si="0"/>
        <v>132.5</v>
      </c>
      <c r="G46" s="1">
        <f t="shared" si="5"/>
        <v>1.9650000000000001</v>
      </c>
      <c r="H46" s="3">
        <f t="shared" si="1"/>
        <v>0.1</v>
      </c>
      <c r="I46" s="3">
        <f t="shared" si="7"/>
        <v>142.55499999999998</v>
      </c>
      <c r="J46" s="7">
        <f t="shared" si="3"/>
        <v>15.8</v>
      </c>
      <c r="K46" s="7">
        <f>SUM(F44:F46)</f>
        <v>484.7</v>
      </c>
      <c r="L46" s="7">
        <f>SUM(H44:H46)</f>
        <v>1.4000000000000001</v>
      </c>
      <c r="M46" s="7">
        <f>SUM(J44:J46)</f>
        <v>67.3</v>
      </c>
    </row>
    <row r="47" spans="1:13">
      <c r="A47">
        <f t="shared" si="6"/>
        <v>96400</v>
      </c>
      <c r="B47" s="3">
        <f>46.005+25.7485</f>
        <v>71.753500000000003</v>
      </c>
      <c r="C47" s="3">
        <v>0.17469999999999999</v>
      </c>
      <c r="D47" s="4">
        <f t="shared" si="4"/>
        <v>3587.6750000000002</v>
      </c>
      <c r="E47" s="3">
        <f xml:space="preserve"> 2.7705+1.4841</f>
        <v>4.2545999999999999</v>
      </c>
      <c r="F47" s="3">
        <f t="shared" si="0"/>
        <v>132.9</v>
      </c>
      <c r="G47" s="1">
        <f t="shared" si="5"/>
        <v>8.7349999999999994</v>
      </c>
      <c r="H47" s="3">
        <f t="shared" si="1"/>
        <v>0.3</v>
      </c>
      <c r="I47" s="3">
        <f t="shared" si="7"/>
        <v>212.73</v>
      </c>
      <c r="J47" s="7">
        <f t="shared" si="3"/>
        <v>23.6</v>
      </c>
    </row>
    <row r="48" spans="1:13">
      <c r="A48">
        <f t="shared" si="6"/>
        <v>96450</v>
      </c>
      <c r="B48" s="3">
        <f>47.2005+36.4848</f>
        <v>83.685299999999998</v>
      </c>
      <c r="C48" s="3">
        <v>0.74070000000000003</v>
      </c>
      <c r="D48" s="4">
        <f t="shared" si="4"/>
        <v>4184.2650000000003</v>
      </c>
      <c r="E48" s="3">
        <f>3.2741+2.6957</f>
        <v>5.9697999999999993</v>
      </c>
      <c r="F48" s="3">
        <f t="shared" si="0"/>
        <v>155</v>
      </c>
      <c r="G48" s="1">
        <f t="shared" si="5"/>
        <v>37.035000000000004</v>
      </c>
      <c r="H48" s="3">
        <f t="shared" si="1"/>
        <v>1.4</v>
      </c>
      <c r="I48" s="3">
        <f t="shared" si="7"/>
        <v>298.48999999999995</v>
      </c>
      <c r="J48" s="7">
        <f t="shared" si="3"/>
        <v>33.200000000000003</v>
      </c>
    </row>
    <row r="49" spans="1:13">
      <c r="A49">
        <f t="shared" si="6"/>
        <v>96500</v>
      </c>
      <c r="B49" s="3">
        <f xml:space="preserve"> 39.6804+18.0105</f>
        <v>57.690899999999999</v>
      </c>
      <c r="C49" s="3">
        <v>0</v>
      </c>
      <c r="D49" s="4">
        <f t="shared" si="4"/>
        <v>2884.5450000000001</v>
      </c>
      <c r="E49" s="3">
        <v>3.5306999999999999</v>
      </c>
      <c r="F49" s="3">
        <f t="shared" si="0"/>
        <v>106.8</v>
      </c>
      <c r="G49" s="1">
        <f t="shared" si="5"/>
        <v>0</v>
      </c>
      <c r="H49" s="3">
        <f t="shared" si="1"/>
        <v>0</v>
      </c>
      <c r="I49" s="3">
        <f t="shared" si="7"/>
        <v>176.535</v>
      </c>
      <c r="J49" s="7">
        <f t="shared" si="3"/>
        <v>19.600000000000001</v>
      </c>
      <c r="K49" s="7">
        <f>SUM(F47:F49)</f>
        <v>394.7</v>
      </c>
      <c r="L49" s="7">
        <f>SUM(H47:H49)</f>
        <v>1.7</v>
      </c>
      <c r="M49" s="7">
        <f>SUM(J47:J49)</f>
        <v>76.400000000000006</v>
      </c>
    </row>
    <row r="50" spans="1:13">
      <c r="A50">
        <f t="shared" si="6"/>
        <v>96550</v>
      </c>
      <c r="B50" s="3">
        <f xml:space="preserve"> 21.5999+35.4599</f>
        <v>57.059799999999996</v>
      </c>
      <c r="C50" s="3">
        <v>36.615000000000002</v>
      </c>
      <c r="D50" s="4">
        <f t="shared" si="4"/>
        <v>2852.99</v>
      </c>
      <c r="E50" s="3">
        <f xml:space="preserve"> 3.0688+22.8193</f>
        <v>25.888099999999998</v>
      </c>
      <c r="F50" s="3">
        <f t="shared" si="0"/>
        <v>105.7</v>
      </c>
      <c r="G50" s="1">
        <f t="shared" si="5"/>
        <v>1830.75</v>
      </c>
      <c r="H50" s="3">
        <f t="shared" si="1"/>
        <v>67.8</v>
      </c>
      <c r="I50" s="3">
        <f t="shared" si="7"/>
        <v>1294.405</v>
      </c>
      <c r="J50" s="7">
        <f t="shared" si="3"/>
        <v>143.80000000000001</v>
      </c>
    </row>
    <row r="51" spans="1:13">
      <c r="A51">
        <f t="shared" si="6"/>
        <v>96600</v>
      </c>
      <c r="B51" s="3">
        <f xml:space="preserve"> 27.4818 + 24.6831</f>
        <v>52.164900000000003</v>
      </c>
      <c r="C51" s="3">
        <v>48.205300000000001</v>
      </c>
      <c r="D51" s="4">
        <f t="shared" si="4"/>
        <v>2608.2450000000003</v>
      </c>
      <c r="E51" s="3">
        <f xml:space="preserve"> 1.3406 + 23.403</f>
        <v>24.743599999999997</v>
      </c>
      <c r="F51" s="3">
        <f t="shared" si="0"/>
        <v>96.6</v>
      </c>
      <c r="G51" s="1">
        <f t="shared" si="5"/>
        <v>2410.2649999999999</v>
      </c>
      <c r="H51" s="3">
        <f t="shared" si="1"/>
        <v>89.3</v>
      </c>
      <c r="I51" s="3">
        <f t="shared" si="7"/>
        <v>1237.1799999999998</v>
      </c>
      <c r="J51" s="7">
        <f t="shared" si="3"/>
        <v>137.5</v>
      </c>
    </row>
    <row r="52" spans="1:13">
      <c r="A52">
        <f t="shared" si="6"/>
        <v>96650</v>
      </c>
      <c r="B52" s="3">
        <f xml:space="preserve"> 26.8349 + 26.7374</f>
        <v>53.572299999999998</v>
      </c>
      <c r="C52" s="3">
        <v>54.515900000000002</v>
      </c>
      <c r="D52" s="4">
        <f t="shared" si="4"/>
        <v>2678.6149999999998</v>
      </c>
      <c r="E52" s="3">
        <f xml:space="preserve"> 23.6527 + 2.3623</f>
        <v>26.015000000000001</v>
      </c>
      <c r="F52" s="3">
        <f t="shared" si="0"/>
        <v>99.2</v>
      </c>
      <c r="G52" s="1">
        <f t="shared" si="5"/>
        <v>2725.7950000000001</v>
      </c>
      <c r="H52" s="3">
        <f t="shared" si="1"/>
        <v>101</v>
      </c>
      <c r="I52" s="3">
        <f t="shared" si="7"/>
        <v>1300.75</v>
      </c>
      <c r="J52" s="7">
        <f t="shared" si="3"/>
        <v>144.5</v>
      </c>
      <c r="K52" s="7">
        <f>SUM(F50:F52)</f>
        <v>301.5</v>
      </c>
      <c r="L52" s="7">
        <f>SUM(H50:H52)</f>
        <v>258.10000000000002</v>
      </c>
      <c r="M52" s="7">
        <f>SUM(J50:J52)</f>
        <v>425.8</v>
      </c>
    </row>
    <row r="53" spans="1:13">
      <c r="A53">
        <f t="shared" si="6"/>
        <v>96700</v>
      </c>
      <c r="B53" s="3">
        <f xml:space="preserve"> 18.5953 + 27.8766</f>
        <v>46.471900000000005</v>
      </c>
      <c r="C53" s="3">
        <v>39.1584</v>
      </c>
      <c r="D53" s="4">
        <f t="shared" si="4"/>
        <v>1888.1532969998784</v>
      </c>
      <c r="E53" s="3">
        <f xml:space="preserve"> 20.9969 + 2.0288</f>
        <v>23.025700000000001</v>
      </c>
      <c r="F53" s="3">
        <f t="shared" si="0"/>
        <v>69.900000000000006</v>
      </c>
      <c r="G53" s="1">
        <f t="shared" si="5"/>
        <v>1591.0057919998974</v>
      </c>
      <c r="H53" s="3">
        <f t="shared" si="1"/>
        <v>58.9</v>
      </c>
      <c r="I53" s="3">
        <f t="shared" si="7"/>
        <v>935.53419099993971</v>
      </c>
      <c r="J53" s="7">
        <f t="shared" si="3"/>
        <v>103.9</v>
      </c>
    </row>
    <row r="54" spans="1:13">
      <c r="A54">
        <v>96731.26</v>
      </c>
      <c r="B54" s="3">
        <f>34.4547+32.1394</f>
        <v>66.594099999999997</v>
      </c>
      <c r="C54" s="3">
        <f>0.6328</f>
        <v>0.63280000000000003</v>
      </c>
      <c r="D54" s="4">
        <f t="shared" si="4"/>
        <v>1664.8525</v>
      </c>
      <c r="E54" s="3">
        <f>2.0556+1.5177</f>
        <v>3.5733000000000001</v>
      </c>
      <c r="F54" s="3">
        <f t="shared" si="0"/>
        <v>61.7</v>
      </c>
      <c r="G54" s="1">
        <f t="shared" si="5"/>
        <v>15.82</v>
      </c>
      <c r="H54" s="3">
        <f t="shared" si="1"/>
        <v>0.6</v>
      </c>
      <c r="I54" s="3">
        <f t="shared" si="7"/>
        <v>89.33250000000001</v>
      </c>
      <c r="J54" s="7">
        <f t="shared" si="3"/>
        <v>9.9</v>
      </c>
    </row>
    <row r="55" spans="1:13">
      <c r="A55">
        <v>96750</v>
      </c>
      <c r="B55" s="3">
        <f>6.7314+33.628</f>
        <v>40.359400000000001</v>
      </c>
      <c r="C55" s="3">
        <f>9.39+0.7875</f>
        <v>10.1775</v>
      </c>
      <c r="D55" s="4">
        <f t="shared" si="4"/>
        <v>1387.1525780001057</v>
      </c>
      <c r="E55" s="3">
        <f>16.102+3.0144</f>
        <v>19.116399999999999</v>
      </c>
      <c r="F55" s="3">
        <f t="shared" si="0"/>
        <v>51.4</v>
      </c>
      <c r="G55" s="1">
        <f t="shared" si="5"/>
        <v>349.80067500002667</v>
      </c>
      <c r="H55" s="3">
        <f t="shared" si="1"/>
        <v>13</v>
      </c>
      <c r="I55" s="3">
        <f t="shared" si="7"/>
        <v>657.03066800005001</v>
      </c>
      <c r="J55" s="7">
        <f t="shared" si="3"/>
        <v>73</v>
      </c>
      <c r="K55" s="7">
        <f>SUM(F53:F55)</f>
        <v>183.00000000000003</v>
      </c>
      <c r="L55" s="7">
        <f>SUM(H53:H55)</f>
        <v>72.5</v>
      </c>
      <c r="M55" s="7">
        <f>SUM(J53:J55)</f>
        <v>186.8</v>
      </c>
    </row>
    <row r="56" spans="1:13">
      <c r="A56">
        <f t="shared" si="6"/>
        <v>96800</v>
      </c>
      <c r="B56" s="3">
        <f>50.5934+48.1353</f>
        <v>98.728700000000003</v>
      </c>
      <c r="C56" s="3">
        <f>5.2176</f>
        <v>5.2176</v>
      </c>
      <c r="D56" s="4">
        <f t="shared" si="4"/>
        <v>4936.4350000000004</v>
      </c>
      <c r="E56" s="3">
        <f xml:space="preserve"> 15.9773 + 4.6824</f>
        <v>20.659700000000001</v>
      </c>
      <c r="F56" s="3">
        <f t="shared" si="0"/>
        <v>182.8</v>
      </c>
      <c r="G56" s="1">
        <f t="shared" si="5"/>
        <v>260.88</v>
      </c>
      <c r="H56" s="3">
        <f t="shared" si="1"/>
        <v>9.6999999999999993</v>
      </c>
      <c r="I56" s="3">
        <f t="shared" si="7"/>
        <v>1032.9850000000001</v>
      </c>
      <c r="J56" s="7">
        <f t="shared" si="3"/>
        <v>114.8</v>
      </c>
    </row>
    <row r="57" spans="1:13">
      <c r="A57">
        <f t="shared" si="6"/>
        <v>96850</v>
      </c>
      <c r="B57" s="3">
        <f>52.9284+42.0514</f>
        <v>94.979800000000012</v>
      </c>
      <c r="C57" s="3">
        <v>10.639900000000001</v>
      </c>
      <c r="D57" s="4">
        <f t="shared" si="4"/>
        <v>4748.9900000000007</v>
      </c>
      <c r="E57" s="3">
        <f>2.5342+15.9988</f>
        <v>18.532999999999998</v>
      </c>
      <c r="F57" s="3">
        <f t="shared" si="0"/>
        <v>175.9</v>
      </c>
      <c r="G57" s="1">
        <f t="shared" si="5"/>
        <v>531.995</v>
      </c>
      <c r="H57" s="3">
        <f t="shared" si="1"/>
        <v>19.7</v>
      </c>
      <c r="I57" s="3">
        <f t="shared" si="7"/>
        <v>926.64999999999986</v>
      </c>
      <c r="J57" s="7">
        <f t="shared" si="3"/>
        <v>103</v>
      </c>
    </row>
    <row r="58" spans="1:13">
      <c r="A58">
        <f t="shared" si="6"/>
        <v>96900</v>
      </c>
      <c r="B58" s="3">
        <f>44.7599+48.6137</f>
        <v>93.37360000000001</v>
      </c>
      <c r="C58" s="3">
        <v>22.706700000000001</v>
      </c>
      <c r="D58" s="4">
        <f t="shared" si="4"/>
        <v>4668.68</v>
      </c>
      <c r="E58" s="3">
        <f xml:space="preserve"> 15.8052 + 4.7398</f>
        <v>20.544999999999998</v>
      </c>
      <c r="F58" s="3">
        <f t="shared" si="0"/>
        <v>172.9</v>
      </c>
      <c r="G58" s="1">
        <f t="shared" si="5"/>
        <v>1135.335</v>
      </c>
      <c r="H58" s="3">
        <f t="shared" si="1"/>
        <v>42</v>
      </c>
      <c r="I58" s="3">
        <f t="shared" si="7"/>
        <v>1027.25</v>
      </c>
      <c r="J58" s="7">
        <f t="shared" si="3"/>
        <v>114.1</v>
      </c>
      <c r="K58" s="7">
        <f>SUM(F56:F58)</f>
        <v>531.6</v>
      </c>
      <c r="L58" s="7">
        <f>SUM(H56:H58)</f>
        <v>71.400000000000006</v>
      </c>
      <c r="M58" s="7">
        <f>SUM(J56:J58)</f>
        <v>331.9</v>
      </c>
    </row>
    <row r="59" spans="1:13">
      <c r="A59">
        <f t="shared" si="6"/>
        <v>96950</v>
      </c>
      <c r="B59" s="3">
        <f>43.2624+42.5753</f>
        <v>85.837699999999998</v>
      </c>
      <c r="C59" s="3">
        <v>15.879200000000001</v>
      </c>
      <c r="D59" s="4">
        <f t="shared" si="4"/>
        <v>4291.8850000000002</v>
      </c>
      <c r="E59" s="3">
        <v>24.008199999999999</v>
      </c>
      <c r="F59" s="3">
        <f t="shared" si="0"/>
        <v>159</v>
      </c>
      <c r="G59" s="1">
        <f t="shared" si="5"/>
        <v>793.96</v>
      </c>
      <c r="H59" s="3">
        <f t="shared" si="1"/>
        <v>29.4</v>
      </c>
      <c r="I59" s="3">
        <f t="shared" si="7"/>
        <v>1200.4099999999999</v>
      </c>
      <c r="J59" s="7">
        <f t="shared" si="3"/>
        <v>133.4</v>
      </c>
    </row>
    <row r="60" spans="1:13">
      <c r="A60">
        <f t="shared" si="6"/>
        <v>97000</v>
      </c>
      <c r="B60" s="3">
        <f xml:space="preserve"> 33.0321+60.0394</f>
        <v>93.0715</v>
      </c>
      <c r="C60" s="3">
        <v>11.636100000000001</v>
      </c>
      <c r="D60" s="4">
        <f t="shared" si="4"/>
        <v>4653.5749999999998</v>
      </c>
      <c r="E60" s="3">
        <f>2.267+11.5067</f>
        <v>13.7737</v>
      </c>
      <c r="F60" s="3">
        <f t="shared" si="0"/>
        <v>172.4</v>
      </c>
      <c r="G60" s="1">
        <f t="shared" si="5"/>
        <v>581.80500000000006</v>
      </c>
      <c r="H60" s="3">
        <f t="shared" si="1"/>
        <v>21.5</v>
      </c>
      <c r="I60" s="3">
        <f t="shared" si="7"/>
        <v>688.68499999999995</v>
      </c>
      <c r="J60" s="7">
        <f t="shared" si="3"/>
        <v>76.5</v>
      </c>
    </row>
    <row r="61" spans="1:13">
      <c r="A61">
        <f t="shared" si="6"/>
        <v>97050</v>
      </c>
      <c r="B61" s="3">
        <f>17.0057+87.6069</f>
        <v>104.6126</v>
      </c>
      <c r="C61" s="3">
        <v>0.19</v>
      </c>
      <c r="D61" s="4">
        <f t="shared" si="4"/>
        <v>5230.63</v>
      </c>
      <c r="E61" s="3">
        <f xml:space="preserve"> 3.9325 + 1.4085</f>
        <v>5.3410000000000002</v>
      </c>
      <c r="F61" s="3">
        <f t="shared" si="0"/>
        <v>193.7</v>
      </c>
      <c r="G61" s="1">
        <f t="shared" si="5"/>
        <v>9.5</v>
      </c>
      <c r="H61" s="3">
        <f t="shared" si="1"/>
        <v>0.4</v>
      </c>
      <c r="I61" s="3">
        <f t="shared" si="7"/>
        <v>267.05</v>
      </c>
      <c r="J61" s="7">
        <f t="shared" si="3"/>
        <v>29.7</v>
      </c>
      <c r="K61" s="7">
        <f>SUM(F59:F61)</f>
        <v>525.09999999999991</v>
      </c>
      <c r="L61" s="7">
        <f>SUM(H59:H61)</f>
        <v>51.3</v>
      </c>
      <c r="M61" s="7">
        <f>SUM(J59:J61)</f>
        <v>239.6</v>
      </c>
    </row>
    <row r="62" spans="1:13">
      <c r="A62">
        <f t="shared" si="6"/>
        <v>97100</v>
      </c>
      <c r="B62" s="3">
        <f xml:space="preserve"> 17.6771 + 102.1463</f>
        <v>119.82339999999999</v>
      </c>
      <c r="C62" s="3">
        <v>0</v>
      </c>
      <c r="D62" s="4">
        <f t="shared" si="4"/>
        <v>4954.0984730001392</v>
      </c>
      <c r="E62" s="3">
        <f>5.6768+1.7005</f>
        <v>7.3773</v>
      </c>
      <c r="F62" s="3">
        <f t="shared" si="0"/>
        <v>183.5</v>
      </c>
      <c r="G62" s="1">
        <f t="shared" si="5"/>
        <v>0</v>
      </c>
      <c r="H62" s="3">
        <f t="shared" si="1"/>
        <v>0</v>
      </c>
      <c r="I62" s="3">
        <f t="shared" si="7"/>
        <v>305.0144685000086</v>
      </c>
      <c r="J62" s="7">
        <f t="shared" si="3"/>
        <v>33.9</v>
      </c>
    </row>
    <row r="63" spans="1:13">
      <c r="A63">
        <v>97132.69</v>
      </c>
      <c r="B63" s="3">
        <f>8.8285+106.9337</f>
        <v>115.76220000000001</v>
      </c>
      <c r="C63" s="3">
        <v>0.12839999999999999</v>
      </c>
      <c r="D63" s="4">
        <f t="shared" si="4"/>
        <v>2894.0550000000003</v>
      </c>
      <c r="E63" s="3">
        <v>5.8061999999999996</v>
      </c>
      <c r="F63" s="3">
        <f t="shared" si="0"/>
        <v>107.2</v>
      </c>
      <c r="G63" s="1">
        <f t="shared" si="5"/>
        <v>3.2099999999999995</v>
      </c>
      <c r="H63" s="3">
        <f t="shared" si="1"/>
        <v>0.1</v>
      </c>
      <c r="I63" s="3">
        <f t="shared" si="7"/>
        <v>145.155</v>
      </c>
      <c r="J63" s="7">
        <f t="shared" si="3"/>
        <v>16.100000000000001</v>
      </c>
    </row>
    <row r="64" spans="1:13">
      <c r="A64">
        <v>97150</v>
      </c>
      <c r="B64" s="3">
        <f>108.0193+15.9025</f>
        <v>123.9218</v>
      </c>
      <c r="C64" s="3">
        <v>0.86250000000000004</v>
      </c>
      <c r="D64" s="4">
        <f t="shared" si="4"/>
        <v>4170.5881789998557</v>
      </c>
      <c r="E64" s="3">
        <f>3.3873+5.9728</f>
        <v>9.360100000000001</v>
      </c>
      <c r="F64" s="3">
        <f t="shared" si="0"/>
        <v>154.5</v>
      </c>
      <c r="G64" s="1">
        <f t="shared" si="5"/>
        <v>29.027437499998996</v>
      </c>
      <c r="H64" s="3">
        <f t="shared" si="1"/>
        <v>1.1000000000000001</v>
      </c>
      <c r="I64" s="3">
        <f t="shared" si="7"/>
        <v>315.01416549998913</v>
      </c>
      <c r="J64" s="7">
        <f t="shared" si="3"/>
        <v>35</v>
      </c>
      <c r="K64" s="7">
        <f>SUM(F62:F64)</f>
        <v>445.2</v>
      </c>
      <c r="L64" s="7">
        <f>SUM(H62:H64)</f>
        <v>1.2000000000000002</v>
      </c>
      <c r="M64" s="7">
        <f>SUM(J62:J64)</f>
        <v>85</v>
      </c>
    </row>
    <row r="65" spans="1:13">
      <c r="A65">
        <f t="shared" si="6"/>
        <v>97200</v>
      </c>
      <c r="B65" s="3">
        <f>114.1103+14.3148</f>
        <v>128.42509999999999</v>
      </c>
      <c r="C65" s="3">
        <v>6.2199999999999998E-2</v>
      </c>
      <c r="D65" s="4">
        <f t="shared" si="4"/>
        <v>6421.2549999999992</v>
      </c>
      <c r="E65" s="3">
        <v>6.4493999999999998</v>
      </c>
      <c r="F65" s="3">
        <f t="shared" si="0"/>
        <v>237.8</v>
      </c>
      <c r="G65" s="1">
        <f t="shared" si="5"/>
        <v>3.11</v>
      </c>
      <c r="H65" s="3">
        <f t="shared" si="1"/>
        <v>0.1</v>
      </c>
      <c r="I65" s="3">
        <f t="shared" si="7"/>
        <v>322.46999999999997</v>
      </c>
      <c r="J65" s="7">
        <f t="shared" si="3"/>
        <v>35.799999999999997</v>
      </c>
      <c r="K65" s="7">
        <f>F65</f>
        <v>237.8</v>
      </c>
      <c r="L65" s="7">
        <f>H65</f>
        <v>0.1</v>
      </c>
      <c r="M65" s="7">
        <f>J65</f>
        <v>35.799999999999997</v>
      </c>
    </row>
    <row r="66" spans="1:13">
      <c r="A66">
        <f t="shared" si="6"/>
        <v>97250</v>
      </c>
      <c r="B66" s="3">
        <f>13.7357+115.7583+0.0113</f>
        <v>129.50530000000001</v>
      </c>
      <c r="C66" s="3">
        <f xml:space="preserve"> 0.162+0.0224</f>
        <v>0.18440000000000001</v>
      </c>
      <c r="D66" s="4">
        <f t="shared" si="4"/>
        <v>6475.2650000000003</v>
      </c>
      <c r="E66" s="3">
        <f>1.1479+6.5438</f>
        <v>7.6917</v>
      </c>
      <c r="F66" s="3">
        <f t="shared" si="0"/>
        <v>239.8</v>
      </c>
      <c r="G66" s="1">
        <f t="shared" si="5"/>
        <v>9.2200000000000006</v>
      </c>
      <c r="H66" s="3">
        <f t="shared" si="1"/>
        <v>0.3</v>
      </c>
      <c r="I66" s="3">
        <f t="shared" si="7"/>
        <v>384.58499999999998</v>
      </c>
      <c r="J66" s="7">
        <f t="shared" si="3"/>
        <v>42.7</v>
      </c>
    </row>
    <row r="67" spans="1:13">
      <c r="A67">
        <f t="shared" si="6"/>
        <v>97300</v>
      </c>
      <c r="B67" s="3">
        <f>18.1566+78.8241</f>
        <v>96.980699999999999</v>
      </c>
      <c r="C67" s="3">
        <v>0.1109</v>
      </c>
      <c r="D67" s="4">
        <f t="shared" si="4"/>
        <v>4849.0349999999999</v>
      </c>
      <c r="E67" s="3">
        <f>6.135+7.9997</f>
        <v>14.134699999999999</v>
      </c>
      <c r="F67" s="3">
        <f t="shared" ref="F67:F130" si="8">ROUND(D67/27,1)</f>
        <v>179.6</v>
      </c>
      <c r="G67" s="1">
        <f t="shared" si="5"/>
        <v>5.5449999999999999</v>
      </c>
      <c r="H67" s="3">
        <f t="shared" ref="H67:H130" si="9">ROUND(G67/27,1)</f>
        <v>0.2</v>
      </c>
      <c r="I67" s="3">
        <f t="shared" ref="I67:I98" si="10">($E67*($A68-$A66))/2</f>
        <v>706.7349999999999</v>
      </c>
      <c r="J67" s="7">
        <f t="shared" ref="J67:J130" si="11">ROUND(I67*0.1111,1)</f>
        <v>78.5</v>
      </c>
    </row>
    <row r="68" spans="1:13">
      <c r="A68">
        <f t="shared" si="6"/>
        <v>97350</v>
      </c>
      <c r="B68" s="3">
        <f>84.8102+26.4286</f>
        <v>111.2388</v>
      </c>
      <c r="C68" s="3">
        <v>0.1241</v>
      </c>
      <c r="D68" s="4">
        <f t="shared" ref="D68:D131" si="12">($B68*($A69-$A67))/2</f>
        <v>5561.94</v>
      </c>
      <c r="E68" s="3">
        <f>6.0691+15.4079</f>
        <v>21.477</v>
      </c>
      <c r="F68" s="3">
        <f t="shared" si="8"/>
        <v>206</v>
      </c>
      <c r="G68" s="1">
        <f t="shared" ref="G68:G131" si="13">($C68*($A69-$A67))/2</f>
        <v>6.2050000000000001</v>
      </c>
      <c r="H68" s="3">
        <f t="shared" si="9"/>
        <v>0.2</v>
      </c>
      <c r="I68" s="3">
        <f t="shared" si="10"/>
        <v>1073.8499999999999</v>
      </c>
      <c r="J68" s="7">
        <f t="shared" si="11"/>
        <v>119.3</v>
      </c>
      <c r="K68" s="7">
        <f>SUM(F66:F68)</f>
        <v>625.4</v>
      </c>
      <c r="L68" s="7">
        <f>SUM(H66:H68)</f>
        <v>0.7</v>
      </c>
      <c r="M68" s="7">
        <f>SUM(J66:J68)</f>
        <v>240.5</v>
      </c>
    </row>
    <row r="69" spans="1:13">
      <c r="A69">
        <f t="shared" si="6"/>
        <v>97400</v>
      </c>
      <c r="B69" s="3">
        <f xml:space="preserve"> 72.7816+14.2541</f>
        <v>87.035699999999991</v>
      </c>
      <c r="C69" s="3">
        <v>0</v>
      </c>
      <c r="D69" s="4">
        <f t="shared" si="12"/>
        <v>3916.6064999999994</v>
      </c>
      <c r="E69" s="3">
        <f>9.6853+3.8878</f>
        <v>13.5731</v>
      </c>
      <c r="F69" s="3">
        <f t="shared" si="8"/>
        <v>145.1</v>
      </c>
      <c r="G69" s="1">
        <f t="shared" si="13"/>
        <v>0</v>
      </c>
      <c r="H69" s="3">
        <f t="shared" si="9"/>
        <v>0</v>
      </c>
      <c r="I69" s="3">
        <f t="shared" si="10"/>
        <v>610.78949999999998</v>
      </c>
      <c r="J69" s="7">
        <f t="shared" si="11"/>
        <v>67.900000000000006</v>
      </c>
    </row>
    <row r="70" spans="1:13">
      <c r="A70">
        <f xml:space="preserve"> A69 + 40</f>
        <v>97440</v>
      </c>
      <c r="B70" s="3">
        <f>93.4732+10.939</f>
        <v>104.41220000000001</v>
      </c>
      <c r="C70" s="3">
        <v>0</v>
      </c>
      <c r="D70" s="4">
        <f t="shared" si="12"/>
        <v>5220.6100000000006</v>
      </c>
      <c r="E70" s="3">
        <v>8.0238999999999994</v>
      </c>
      <c r="F70" s="3">
        <f t="shared" si="8"/>
        <v>193.4</v>
      </c>
      <c r="G70" s="1">
        <f t="shared" si="13"/>
        <v>0</v>
      </c>
      <c r="H70" s="3">
        <f t="shared" si="9"/>
        <v>0</v>
      </c>
      <c r="I70" s="3">
        <f t="shared" si="10"/>
        <v>401.19499999999999</v>
      </c>
      <c r="J70" s="7">
        <f t="shared" si="11"/>
        <v>44.6</v>
      </c>
    </row>
    <row r="71" spans="1:13">
      <c r="A71">
        <f xml:space="preserve"> A70 + 60</f>
        <v>97500</v>
      </c>
      <c r="B71" s="3">
        <f>8.092+107.6877</f>
        <v>115.77970000000001</v>
      </c>
      <c r="C71" s="3">
        <f>0.2182+0.0453</f>
        <v>0.26350000000000001</v>
      </c>
      <c r="D71" s="4">
        <f t="shared" si="12"/>
        <v>6367.8834999999999</v>
      </c>
      <c r="E71" s="3">
        <f>9.2131+1.0281</f>
        <v>10.241200000000001</v>
      </c>
      <c r="F71" s="3">
        <f t="shared" si="8"/>
        <v>235.8</v>
      </c>
      <c r="G71" s="1">
        <f t="shared" si="13"/>
        <v>14.492500000000001</v>
      </c>
      <c r="H71" s="3">
        <f t="shared" si="9"/>
        <v>0.5</v>
      </c>
      <c r="I71" s="3">
        <f t="shared" si="10"/>
        <v>563.26600000000008</v>
      </c>
      <c r="J71" s="7">
        <f t="shared" si="11"/>
        <v>62.6</v>
      </c>
      <c r="K71" s="7">
        <f>SUM(F69:F71)</f>
        <v>574.29999999999995</v>
      </c>
      <c r="L71" s="7">
        <f>SUM(H69:H71)</f>
        <v>0.5</v>
      </c>
      <c r="M71" s="7">
        <f>SUM(J69:J71)</f>
        <v>175.1</v>
      </c>
    </row>
    <row r="72" spans="1:13">
      <c r="A72">
        <f t="shared" si="6"/>
        <v>97550</v>
      </c>
      <c r="B72" s="3">
        <f>7.6501+99.3565</f>
        <v>107.00659999999999</v>
      </c>
      <c r="C72" s="3">
        <v>1.4117999999999999</v>
      </c>
      <c r="D72" s="4">
        <f t="shared" si="12"/>
        <v>5350.33</v>
      </c>
      <c r="E72" s="3">
        <f>7.5939+2.613</f>
        <v>10.206899999999999</v>
      </c>
      <c r="F72" s="3">
        <f t="shared" si="8"/>
        <v>198.2</v>
      </c>
      <c r="G72" s="1">
        <f t="shared" si="13"/>
        <v>70.59</v>
      </c>
      <c r="H72" s="3">
        <f t="shared" si="9"/>
        <v>2.6</v>
      </c>
      <c r="I72" s="3">
        <f t="shared" si="10"/>
        <v>510.34499999999997</v>
      </c>
      <c r="J72" s="7">
        <f t="shared" si="11"/>
        <v>56.7</v>
      </c>
    </row>
    <row r="73" spans="1:13">
      <c r="A73">
        <f t="shared" si="6"/>
        <v>97600</v>
      </c>
      <c r="B73" s="3">
        <f>98.435+7.4818</f>
        <v>105.91679999999999</v>
      </c>
      <c r="C73" s="3">
        <v>1.8386</v>
      </c>
      <c r="D73" s="4">
        <f t="shared" si="12"/>
        <v>5295.84</v>
      </c>
      <c r="E73" s="3">
        <f>2.7498+8.5107</f>
        <v>11.2605</v>
      </c>
      <c r="F73" s="3">
        <f t="shared" si="8"/>
        <v>196.1</v>
      </c>
      <c r="G73" s="1">
        <f t="shared" si="13"/>
        <v>91.93</v>
      </c>
      <c r="H73" s="3">
        <f t="shared" si="9"/>
        <v>3.4</v>
      </c>
      <c r="I73" s="3">
        <f t="shared" si="10"/>
        <v>563.02499999999998</v>
      </c>
      <c r="J73" s="7">
        <f t="shared" si="11"/>
        <v>62.6</v>
      </c>
    </row>
    <row r="74" spans="1:13">
      <c r="A74">
        <f t="shared" si="6"/>
        <v>97650</v>
      </c>
      <c r="B74" s="3">
        <f>7.2431+99.5779</f>
        <v>106.821</v>
      </c>
      <c r="C74" s="3">
        <f>1.9173</f>
        <v>1.9173</v>
      </c>
      <c r="D74" s="4">
        <f t="shared" si="12"/>
        <v>5341.05</v>
      </c>
      <c r="E74" s="3">
        <f>2.7707+6.0686</f>
        <v>8.8392999999999997</v>
      </c>
      <c r="F74" s="3">
        <f t="shared" si="8"/>
        <v>197.8</v>
      </c>
      <c r="G74" s="1">
        <f t="shared" si="13"/>
        <v>95.864999999999995</v>
      </c>
      <c r="H74" s="3">
        <f t="shared" si="9"/>
        <v>3.6</v>
      </c>
      <c r="I74" s="3">
        <f t="shared" si="10"/>
        <v>441.96499999999997</v>
      </c>
      <c r="J74" s="7">
        <f t="shared" si="11"/>
        <v>49.1</v>
      </c>
      <c r="K74" s="7">
        <f>SUM(F72:F74)</f>
        <v>592.09999999999991</v>
      </c>
      <c r="L74" s="7">
        <f>SUM(H72:H74)</f>
        <v>9.6</v>
      </c>
      <c r="M74" s="7">
        <f>SUM(J72:J74)</f>
        <v>168.4</v>
      </c>
    </row>
    <row r="75" spans="1:13">
      <c r="A75">
        <f t="shared" si="6"/>
        <v>97700</v>
      </c>
      <c r="B75" s="3">
        <f>7.3433+105.9491</f>
        <v>113.2924</v>
      </c>
      <c r="C75" s="3">
        <v>1.64</v>
      </c>
      <c r="D75" s="4">
        <f t="shared" si="12"/>
        <v>5664.62</v>
      </c>
      <c r="E75" s="3">
        <f>2.6592+6.7387</f>
        <v>9.3978999999999999</v>
      </c>
      <c r="F75" s="3">
        <f t="shared" si="8"/>
        <v>209.8</v>
      </c>
      <c r="G75" s="1">
        <f t="shared" si="13"/>
        <v>82</v>
      </c>
      <c r="H75" s="3">
        <f t="shared" si="9"/>
        <v>3</v>
      </c>
      <c r="I75" s="3">
        <f t="shared" si="10"/>
        <v>469.89499999999998</v>
      </c>
      <c r="J75" s="7">
        <f t="shared" si="11"/>
        <v>52.2</v>
      </c>
    </row>
    <row r="76" spans="1:13">
      <c r="A76">
        <f t="shared" si="6"/>
        <v>97750</v>
      </c>
      <c r="B76" s="3">
        <f>120.8485+7.194</f>
        <v>128.04249999999999</v>
      </c>
      <c r="C76" s="3">
        <v>2.0015000000000001</v>
      </c>
      <c r="D76" s="4">
        <f t="shared" si="12"/>
        <v>6402.1249999999991</v>
      </c>
      <c r="E76" s="3">
        <f>8.7332+2.7997</f>
        <v>11.5329</v>
      </c>
      <c r="F76" s="3">
        <f t="shared" si="8"/>
        <v>237.1</v>
      </c>
      <c r="G76" s="1">
        <f t="shared" si="13"/>
        <v>100.075</v>
      </c>
      <c r="H76" s="3">
        <f t="shared" si="9"/>
        <v>3.7</v>
      </c>
      <c r="I76" s="3">
        <f t="shared" si="10"/>
        <v>576.64499999999998</v>
      </c>
      <c r="J76" s="7">
        <f t="shared" si="11"/>
        <v>64.099999999999994</v>
      </c>
    </row>
    <row r="77" spans="1:13">
      <c r="A77">
        <f t="shared" si="6"/>
        <v>97800</v>
      </c>
      <c r="B77" s="3">
        <f>7.3127+128.9645</f>
        <v>136.27719999999999</v>
      </c>
      <c r="C77" s="3">
        <v>1.7436</v>
      </c>
      <c r="D77" s="4">
        <f t="shared" si="12"/>
        <v>6813.86</v>
      </c>
      <c r="E77" s="3">
        <f>9.7586+2.7087</f>
        <v>12.4673</v>
      </c>
      <c r="F77" s="3">
        <f t="shared" si="8"/>
        <v>252.4</v>
      </c>
      <c r="G77" s="1">
        <f t="shared" si="13"/>
        <v>87.18</v>
      </c>
      <c r="H77" s="3">
        <f t="shared" si="9"/>
        <v>3.2</v>
      </c>
      <c r="I77" s="3">
        <f t="shared" si="10"/>
        <v>623.36500000000001</v>
      </c>
      <c r="J77" s="7">
        <f t="shared" si="11"/>
        <v>69.3</v>
      </c>
      <c r="K77" s="7">
        <f>SUM(F75:F77)</f>
        <v>699.3</v>
      </c>
      <c r="L77" s="7">
        <f>SUM(H75:H77)</f>
        <v>9.9</v>
      </c>
      <c r="M77" s="7">
        <f>SUM(J75:J77)</f>
        <v>185.6</v>
      </c>
    </row>
    <row r="78" spans="1:13">
      <c r="A78">
        <f t="shared" si="6"/>
        <v>97850</v>
      </c>
      <c r="B78" s="3">
        <f>7.3975+146.5048</f>
        <v>153.9023</v>
      </c>
      <c r="C78" s="3">
        <v>1.5109999999999999</v>
      </c>
      <c r="D78" s="4">
        <f t="shared" si="12"/>
        <v>7695.1149999999998</v>
      </c>
      <c r="E78" s="3">
        <f>2.6168+9.3861</f>
        <v>12.0029</v>
      </c>
      <c r="F78" s="3">
        <f t="shared" si="8"/>
        <v>285</v>
      </c>
      <c r="G78" s="1">
        <f t="shared" si="13"/>
        <v>75.55</v>
      </c>
      <c r="H78" s="3">
        <f t="shared" si="9"/>
        <v>2.8</v>
      </c>
      <c r="I78" s="3">
        <f t="shared" si="10"/>
        <v>600.14499999999998</v>
      </c>
      <c r="J78" s="7">
        <f t="shared" si="11"/>
        <v>66.7</v>
      </c>
    </row>
    <row r="79" spans="1:13">
      <c r="A79">
        <f t="shared" si="6"/>
        <v>97900</v>
      </c>
      <c r="B79" s="3">
        <f>7.0823+152.5687</f>
        <v>159.65100000000001</v>
      </c>
      <c r="C79" s="3">
        <f>2.9463</f>
        <v>2.9462999999999999</v>
      </c>
      <c r="D79" s="4">
        <f t="shared" si="12"/>
        <v>7982.55</v>
      </c>
      <c r="E79" s="3">
        <f>3.182+9.3861</f>
        <v>12.568100000000001</v>
      </c>
      <c r="F79" s="3">
        <f t="shared" si="8"/>
        <v>295.7</v>
      </c>
      <c r="G79" s="1">
        <f t="shared" si="13"/>
        <v>147.315</v>
      </c>
      <c r="H79" s="3">
        <f t="shared" si="9"/>
        <v>5.5</v>
      </c>
      <c r="I79" s="3">
        <f t="shared" si="10"/>
        <v>628.40500000000009</v>
      </c>
      <c r="J79" s="7">
        <f t="shared" si="11"/>
        <v>69.8</v>
      </c>
    </row>
    <row r="80" spans="1:13">
      <c r="A80">
        <f t="shared" si="6"/>
        <v>97950</v>
      </c>
      <c r="B80" s="3">
        <f>9.2219+40.3735</f>
        <v>49.595399999999998</v>
      </c>
      <c r="C80" s="3">
        <v>2.3005</v>
      </c>
      <c r="D80" s="4">
        <f t="shared" si="12"/>
        <v>2479.77</v>
      </c>
      <c r="E80" s="3">
        <v>6.5694999999999997</v>
      </c>
      <c r="F80" s="3">
        <f t="shared" si="8"/>
        <v>91.8</v>
      </c>
      <c r="G80" s="1">
        <f t="shared" si="13"/>
        <v>115.02500000000001</v>
      </c>
      <c r="H80" s="3">
        <f t="shared" si="9"/>
        <v>4.3</v>
      </c>
      <c r="I80" s="3">
        <f t="shared" si="10"/>
        <v>328.47499999999997</v>
      </c>
      <c r="J80" s="7">
        <f t="shared" si="11"/>
        <v>36.5</v>
      </c>
      <c r="K80" s="7">
        <f>SUM(F78:F80)</f>
        <v>672.5</v>
      </c>
      <c r="L80" s="7">
        <f>SUM(H78:H80)</f>
        <v>12.600000000000001</v>
      </c>
      <c r="M80" s="7">
        <f>SUM(J78:J80)</f>
        <v>173</v>
      </c>
    </row>
    <row r="81" spans="1:13">
      <c r="A81">
        <f t="shared" si="6"/>
        <v>98000</v>
      </c>
      <c r="B81" s="3">
        <f>7.3462+37.0135</f>
        <v>44.359700000000004</v>
      </c>
      <c r="C81" s="3">
        <f>1.9304+6.8694</f>
        <v>8.7997999999999994</v>
      </c>
      <c r="D81" s="4">
        <f t="shared" si="12"/>
        <v>2217.9850000000001</v>
      </c>
      <c r="E81" s="3">
        <f>10.8057+4.3933</f>
        <v>15.199</v>
      </c>
      <c r="F81" s="3">
        <f t="shared" si="8"/>
        <v>82.1</v>
      </c>
      <c r="G81" s="1">
        <f t="shared" si="13"/>
        <v>439.98999999999995</v>
      </c>
      <c r="H81" s="3">
        <f t="shared" si="9"/>
        <v>16.3</v>
      </c>
      <c r="I81" s="3">
        <f t="shared" si="10"/>
        <v>759.95</v>
      </c>
      <c r="J81" s="7">
        <f t="shared" si="11"/>
        <v>84.4</v>
      </c>
    </row>
    <row r="82" spans="1:13">
      <c r="A82">
        <f t="shared" si="6"/>
        <v>98050</v>
      </c>
      <c r="B82" s="3">
        <f>41.368+7.388</f>
        <v>48.756</v>
      </c>
      <c r="C82" s="3">
        <f>6.2649</f>
        <v>6.2648999999999999</v>
      </c>
      <c r="D82" s="4">
        <f t="shared" si="12"/>
        <v>2437.8000000000002</v>
      </c>
      <c r="E82" s="3">
        <f>1.5263+9.0125</f>
        <v>10.538799999999998</v>
      </c>
      <c r="F82" s="3">
        <f t="shared" si="8"/>
        <v>90.3</v>
      </c>
      <c r="G82" s="1">
        <f t="shared" si="13"/>
        <v>313.245</v>
      </c>
      <c r="H82" s="3">
        <f t="shared" si="9"/>
        <v>11.6</v>
      </c>
      <c r="I82" s="3">
        <f t="shared" si="10"/>
        <v>526.93999999999994</v>
      </c>
      <c r="J82" s="7">
        <f t="shared" si="11"/>
        <v>58.5</v>
      </c>
      <c r="K82" s="7">
        <f>SUM(F81:F82)</f>
        <v>172.39999999999998</v>
      </c>
      <c r="L82" s="7">
        <f>SUM(H81:H82)</f>
        <v>27.9</v>
      </c>
      <c r="M82" s="7">
        <f>SUM(J81:J82)</f>
        <v>142.9</v>
      </c>
    </row>
    <row r="83" spans="1:13">
      <c r="A83">
        <f t="shared" ref="A83:A146" si="14" xml:space="preserve"> A82 + 50</f>
        <v>98100</v>
      </c>
      <c r="B83" s="3">
        <f>34.7788+7.2158</f>
        <v>41.994599999999998</v>
      </c>
      <c r="C83" s="3">
        <v>4.0156000000000001</v>
      </c>
      <c r="D83" s="4">
        <f t="shared" si="12"/>
        <v>2099.73</v>
      </c>
      <c r="E83" s="3">
        <f>2.4141+4.3509</f>
        <v>6.7650000000000006</v>
      </c>
      <c r="F83" s="3">
        <f t="shared" si="8"/>
        <v>77.8</v>
      </c>
      <c r="G83" s="1">
        <f t="shared" si="13"/>
        <v>200.78</v>
      </c>
      <c r="H83" s="3">
        <f t="shared" si="9"/>
        <v>7.4</v>
      </c>
      <c r="I83" s="3">
        <f t="shared" si="10"/>
        <v>338.25</v>
      </c>
      <c r="J83" s="7">
        <f t="shared" si="11"/>
        <v>37.6</v>
      </c>
    </row>
    <row r="84" spans="1:13">
      <c r="A84">
        <f t="shared" si="14"/>
        <v>98150</v>
      </c>
      <c r="B84" s="3">
        <f>7.6147+24.036</f>
        <v>31.650700000000001</v>
      </c>
      <c r="C84" s="3">
        <v>1.7192000000000001</v>
      </c>
      <c r="D84" s="4">
        <f t="shared" si="12"/>
        <v>1582.5350000000001</v>
      </c>
      <c r="E84" s="3">
        <f>0.3774+3.1373</f>
        <v>3.5147000000000004</v>
      </c>
      <c r="F84" s="3">
        <f t="shared" si="8"/>
        <v>58.6</v>
      </c>
      <c r="G84" s="1">
        <f t="shared" si="13"/>
        <v>85.960000000000008</v>
      </c>
      <c r="H84" s="3">
        <f t="shared" si="9"/>
        <v>3.2</v>
      </c>
      <c r="I84" s="3">
        <f t="shared" si="10"/>
        <v>175.73500000000001</v>
      </c>
      <c r="J84" s="7">
        <f t="shared" si="11"/>
        <v>19.5</v>
      </c>
      <c r="K84" s="7">
        <f>SUM(F83:F84)</f>
        <v>136.4</v>
      </c>
      <c r="L84" s="7">
        <f>SUM(H83:H84)</f>
        <v>10.600000000000001</v>
      </c>
      <c r="M84" s="7">
        <f>SUM(J83:J84)</f>
        <v>57.1</v>
      </c>
    </row>
    <row r="85" spans="1:13">
      <c r="A85">
        <f t="shared" si="14"/>
        <v>98200</v>
      </c>
      <c r="B85" s="3">
        <f>24.5043+7.6575</f>
        <v>32.161799999999999</v>
      </c>
      <c r="C85" s="3">
        <v>4.0781000000000001</v>
      </c>
      <c r="D85" s="4">
        <f t="shared" si="12"/>
        <v>1608.09</v>
      </c>
      <c r="E85" s="3">
        <f>0.5461+4.5639</f>
        <v>5.1100000000000003</v>
      </c>
      <c r="F85" s="3">
        <f t="shared" si="8"/>
        <v>59.6</v>
      </c>
      <c r="G85" s="1">
        <f t="shared" si="13"/>
        <v>203.905</v>
      </c>
      <c r="H85" s="3">
        <f t="shared" si="9"/>
        <v>7.6</v>
      </c>
      <c r="I85" s="3">
        <f t="shared" si="10"/>
        <v>255.50000000000003</v>
      </c>
      <c r="J85" s="7">
        <f t="shared" si="11"/>
        <v>28.4</v>
      </c>
    </row>
    <row r="86" spans="1:13">
      <c r="A86">
        <f t="shared" si="14"/>
        <v>98250</v>
      </c>
      <c r="B86" s="3">
        <v>1.1063000000000001</v>
      </c>
      <c r="C86" s="3">
        <v>8.0928000000000004</v>
      </c>
      <c r="D86" s="4">
        <f t="shared" si="12"/>
        <v>55.315000000000005</v>
      </c>
      <c r="E86" s="3">
        <f>11.0548+0.2328</f>
        <v>11.287599999999999</v>
      </c>
      <c r="F86" s="3">
        <f t="shared" si="8"/>
        <v>2</v>
      </c>
      <c r="G86" s="1">
        <f t="shared" si="13"/>
        <v>404.64000000000004</v>
      </c>
      <c r="H86" s="3">
        <f t="shared" si="9"/>
        <v>15</v>
      </c>
      <c r="I86" s="3">
        <f t="shared" si="10"/>
        <v>564.38</v>
      </c>
      <c r="J86" s="7">
        <f t="shared" si="11"/>
        <v>62.7</v>
      </c>
    </row>
    <row r="87" spans="1:13">
      <c r="A87">
        <f t="shared" si="14"/>
        <v>98300</v>
      </c>
      <c r="B87" s="3">
        <v>3.1541000000000001</v>
      </c>
      <c r="C87" s="3">
        <v>0.43719999999999998</v>
      </c>
      <c r="D87" s="4">
        <f t="shared" si="12"/>
        <v>157.70500000000001</v>
      </c>
      <c r="E87" s="3">
        <f>0.0501+2.2379</f>
        <v>2.2879999999999998</v>
      </c>
      <c r="F87" s="3">
        <f t="shared" si="8"/>
        <v>5.8</v>
      </c>
      <c r="G87" s="1">
        <f t="shared" si="13"/>
        <v>21.86</v>
      </c>
      <c r="H87" s="3">
        <f t="shared" si="9"/>
        <v>0.8</v>
      </c>
      <c r="I87" s="3">
        <f t="shared" si="10"/>
        <v>114.39999999999999</v>
      </c>
      <c r="J87" s="7">
        <f t="shared" si="11"/>
        <v>12.7</v>
      </c>
      <c r="K87" s="7">
        <f>SUM(F85:F87)</f>
        <v>67.400000000000006</v>
      </c>
      <c r="L87" s="7">
        <f>SUM(H85:H87)</f>
        <v>23.400000000000002</v>
      </c>
      <c r="M87" s="7">
        <f>SUM(J85:J87)</f>
        <v>103.8</v>
      </c>
    </row>
    <row r="88" spans="1:13">
      <c r="A88">
        <f t="shared" si="14"/>
        <v>98350</v>
      </c>
      <c r="B88" s="3">
        <v>2.9956</v>
      </c>
      <c r="C88" s="3">
        <f>0.1237+0.0877</f>
        <v>0.2114</v>
      </c>
      <c r="D88" s="4">
        <f t="shared" si="12"/>
        <v>149.78</v>
      </c>
      <c r="E88" s="3">
        <f>1.8888+2.9884</f>
        <v>4.8772000000000002</v>
      </c>
      <c r="F88" s="3">
        <f t="shared" si="8"/>
        <v>5.5</v>
      </c>
      <c r="G88" s="1">
        <f t="shared" si="13"/>
        <v>10.57</v>
      </c>
      <c r="H88" s="3">
        <f t="shared" si="9"/>
        <v>0.4</v>
      </c>
      <c r="I88" s="3">
        <f t="shared" si="10"/>
        <v>243.86</v>
      </c>
      <c r="J88" s="7">
        <f t="shared" si="11"/>
        <v>27.1</v>
      </c>
    </row>
    <row r="89" spans="1:13">
      <c r="A89">
        <f t="shared" si="14"/>
        <v>98400</v>
      </c>
      <c r="B89" s="3">
        <v>0</v>
      </c>
      <c r="C89" s="3">
        <v>0</v>
      </c>
      <c r="D89" s="4">
        <f t="shared" si="12"/>
        <v>0</v>
      </c>
      <c r="E89" s="3">
        <v>0</v>
      </c>
      <c r="F89" s="3">
        <f t="shared" si="8"/>
        <v>0</v>
      </c>
      <c r="G89" s="1">
        <f t="shared" si="13"/>
        <v>0</v>
      </c>
      <c r="H89" s="3">
        <f t="shared" si="9"/>
        <v>0</v>
      </c>
      <c r="I89" s="3">
        <f t="shared" si="10"/>
        <v>0</v>
      </c>
      <c r="J89" s="7">
        <f t="shared" si="11"/>
        <v>0</v>
      </c>
    </row>
    <row r="90" spans="1:13">
      <c r="A90">
        <f t="shared" si="14"/>
        <v>98450</v>
      </c>
      <c r="B90" s="3">
        <v>2.9171</v>
      </c>
      <c r="C90" s="3">
        <v>0.97060000000000002</v>
      </c>
      <c r="D90" s="4">
        <f t="shared" si="12"/>
        <v>145.85499999999999</v>
      </c>
      <c r="E90" s="3">
        <f>3.141+0.1368</f>
        <v>3.2778</v>
      </c>
      <c r="F90" s="3">
        <f t="shared" si="8"/>
        <v>5.4</v>
      </c>
      <c r="G90" s="1">
        <f t="shared" si="13"/>
        <v>48.53</v>
      </c>
      <c r="H90" s="3">
        <f t="shared" si="9"/>
        <v>1.8</v>
      </c>
      <c r="I90" s="3">
        <f t="shared" si="10"/>
        <v>163.89000000000001</v>
      </c>
      <c r="J90" s="7">
        <f t="shared" si="11"/>
        <v>18.2</v>
      </c>
      <c r="K90" s="7">
        <f>SUM(F88:F90)</f>
        <v>10.9</v>
      </c>
      <c r="L90" s="7">
        <f>SUM(H88:H90)</f>
        <v>2.2000000000000002</v>
      </c>
      <c r="M90" s="7">
        <f>SUM(J88:J90)</f>
        <v>45.3</v>
      </c>
    </row>
    <row r="91" spans="1:13">
      <c r="A91">
        <f t="shared" si="14"/>
        <v>98500</v>
      </c>
      <c r="B91" s="3">
        <v>1.0691999999999999</v>
      </c>
      <c r="C91" s="3">
        <v>8.7682000000000002</v>
      </c>
      <c r="D91" s="4">
        <f t="shared" si="12"/>
        <v>53.459999999999994</v>
      </c>
      <c r="E91" s="3">
        <v>9.8522999999999996</v>
      </c>
      <c r="F91" s="3">
        <f t="shared" si="8"/>
        <v>2</v>
      </c>
      <c r="G91" s="1">
        <f t="shared" si="13"/>
        <v>438.41</v>
      </c>
      <c r="H91" s="3">
        <f t="shared" si="9"/>
        <v>16.2</v>
      </c>
      <c r="I91" s="3">
        <f t="shared" si="10"/>
        <v>492.61500000000001</v>
      </c>
      <c r="J91" s="7">
        <f t="shared" si="11"/>
        <v>54.7</v>
      </c>
    </row>
    <row r="92" spans="1:13">
      <c r="A92">
        <f t="shared" si="14"/>
        <v>98550</v>
      </c>
      <c r="B92" s="3">
        <v>0.65539999999999998</v>
      </c>
      <c r="C92" s="3">
        <v>10.3781</v>
      </c>
      <c r="D92" s="4">
        <f t="shared" si="12"/>
        <v>32.769999999999996</v>
      </c>
      <c r="E92" s="3">
        <v>8.1437000000000008</v>
      </c>
      <c r="F92" s="3">
        <f t="shared" si="8"/>
        <v>1.2</v>
      </c>
      <c r="G92" s="1">
        <f t="shared" si="13"/>
        <v>518.90499999999997</v>
      </c>
      <c r="H92" s="3">
        <f t="shared" si="9"/>
        <v>19.2</v>
      </c>
      <c r="I92" s="3">
        <f t="shared" si="10"/>
        <v>407.18500000000006</v>
      </c>
      <c r="J92" s="7">
        <f t="shared" si="11"/>
        <v>45.2</v>
      </c>
    </row>
    <row r="93" spans="1:13">
      <c r="A93">
        <f t="shared" si="14"/>
        <v>98600</v>
      </c>
      <c r="B93" s="3">
        <v>1.9513</v>
      </c>
      <c r="C93" s="3">
        <v>1.7904</v>
      </c>
      <c r="D93" s="4">
        <f t="shared" si="12"/>
        <v>97.564999999999998</v>
      </c>
      <c r="E93" s="3">
        <v>4.4436999999999998</v>
      </c>
      <c r="F93" s="3">
        <f t="shared" si="8"/>
        <v>3.6</v>
      </c>
      <c r="G93" s="1">
        <f t="shared" si="13"/>
        <v>89.52</v>
      </c>
      <c r="H93" s="3">
        <f t="shared" si="9"/>
        <v>3.3</v>
      </c>
      <c r="I93" s="3">
        <f t="shared" si="10"/>
        <v>222.185</v>
      </c>
      <c r="J93" s="7">
        <f t="shared" si="11"/>
        <v>24.7</v>
      </c>
      <c r="K93" s="7">
        <f>SUM(F91:F93)</f>
        <v>6.8000000000000007</v>
      </c>
      <c r="L93" s="7">
        <f>SUM(H91:H93)</f>
        <v>38.699999999999996</v>
      </c>
      <c r="M93" s="7">
        <f>SUM(J91:J93)</f>
        <v>124.60000000000001</v>
      </c>
    </row>
    <row r="94" spans="1:13">
      <c r="A94">
        <f t="shared" si="14"/>
        <v>98650</v>
      </c>
      <c r="B94" s="3">
        <v>2.4428999999999998</v>
      </c>
      <c r="C94" s="3">
        <v>0.98750000000000004</v>
      </c>
      <c r="D94" s="4">
        <f t="shared" si="12"/>
        <v>122.145</v>
      </c>
      <c r="E94" s="3">
        <f>0.0312+3.3312</f>
        <v>3.3624000000000001</v>
      </c>
      <c r="F94" s="3">
        <f t="shared" si="8"/>
        <v>4.5</v>
      </c>
      <c r="G94" s="1">
        <f t="shared" si="13"/>
        <v>49.375</v>
      </c>
      <c r="H94" s="3">
        <f t="shared" si="9"/>
        <v>1.8</v>
      </c>
      <c r="I94" s="3">
        <f t="shared" si="10"/>
        <v>168.12</v>
      </c>
      <c r="J94" s="7">
        <f t="shared" si="11"/>
        <v>18.7</v>
      </c>
    </row>
    <row r="95" spans="1:13">
      <c r="A95">
        <f t="shared" si="14"/>
        <v>98700</v>
      </c>
      <c r="B95" s="3">
        <v>0.99739999999999995</v>
      </c>
      <c r="C95" s="3">
        <v>1.6854</v>
      </c>
      <c r="D95" s="4">
        <f t="shared" si="12"/>
        <v>49.87</v>
      </c>
      <c r="E95" s="3">
        <f>3.5835+0.0192</f>
        <v>3.6027</v>
      </c>
      <c r="F95" s="3">
        <f t="shared" si="8"/>
        <v>1.8</v>
      </c>
      <c r="G95" s="1">
        <f t="shared" si="13"/>
        <v>84.27</v>
      </c>
      <c r="H95" s="3">
        <f t="shared" si="9"/>
        <v>3.1</v>
      </c>
      <c r="I95" s="3">
        <f t="shared" si="10"/>
        <v>180.13499999999999</v>
      </c>
      <c r="J95" s="7">
        <f t="shared" si="11"/>
        <v>20</v>
      </c>
    </row>
    <row r="96" spans="1:13">
      <c r="A96">
        <f t="shared" si="14"/>
        <v>98750</v>
      </c>
      <c r="B96" s="3">
        <f>0.6642+3.7673</f>
        <v>4.4314999999999998</v>
      </c>
      <c r="C96" s="3">
        <v>5.6515000000000004</v>
      </c>
      <c r="D96" s="4">
        <f t="shared" si="12"/>
        <v>221.57499999999999</v>
      </c>
      <c r="E96" s="3">
        <v>10.917899999999999</v>
      </c>
      <c r="F96" s="3">
        <f t="shared" si="8"/>
        <v>8.1999999999999993</v>
      </c>
      <c r="G96" s="1">
        <f t="shared" si="13"/>
        <v>282.57500000000005</v>
      </c>
      <c r="H96" s="3">
        <f t="shared" si="9"/>
        <v>10.5</v>
      </c>
      <c r="I96" s="3">
        <f t="shared" si="10"/>
        <v>545.89499999999998</v>
      </c>
      <c r="J96" s="7">
        <f t="shared" si="11"/>
        <v>60.6</v>
      </c>
      <c r="K96" s="7">
        <f>SUM(F94:F96)</f>
        <v>14.5</v>
      </c>
      <c r="L96" s="7">
        <f>SUM(H94:H96)</f>
        <v>15.4</v>
      </c>
      <c r="M96" s="7">
        <f>SUM(J94:J96)</f>
        <v>99.300000000000011</v>
      </c>
    </row>
    <row r="97" spans="1:13">
      <c r="A97">
        <f t="shared" si="14"/>
        <v>98800</v>
      </c>
      <c r="B97" s="3">
        <f>0.5261+3.4154</f>
        <v>3.9415</v>
      </c>
      <c r="C97" s="3">
        <v>6.4981</v>
      </c>
      <c r="D97" s="4">
        <f t="shared" si="12"/>
        <v>197.07499999999999</v>
      </c>
      <c r="E97" s="3">
        <f>11.656</f>
        <v>11.656000000000001</v>
      </c>
      <c r="F97" s="3">
        <f t="shared" si="8"/>
        <v>7.3</v>
      </c>
      <c r="G97" s="1">
        <f t="shared" si="13"/>
        <v>324.90499999999997</v>
      </c>
      <c r="H97" s="3">
        <f t="shared" si="9"/>
        <v>12</v>
      </c>
      <c r="I97" s="3">
        <f t="shared" si="10"/>
        <v>582.80000000000007</v>
      </c>
      <c r="J97" s="7">
        <f t="shared" si="11"/>
        <v>64.7</v>
      </c>
    </row>
    <row r="98" spans="1:13">
      <c r="A98">
        <f t="shared" si="14"/>
        <v>98850</v>
      </c>
      <c r="B98" s="3">
        <f>0.8747+3.5781</f>
        <v>4.4527999999999999</v>
      </c>
      <c r="C98" s="3">
        <v>3.7578</v>
      </c>
      <c r="D98" s="4">
        <f t="shared" si="12"/>
        <v>222.64</v>
      </c>
      <c r="E98" s="3">
        <v>11.374000000000001</v>
      </c>
      <c r="F98" s="3">
        <f t="shared" si="8"/>
        <v>8.1999999999999993</v>
      </c>
      <c r="G98" s="1">
        <f t="shared" si="13"/>
        <v>187.89000000000001</v>
      </c>
      <c r="H98" s="3">
        <f t="shared" si="9"/>
        <v>7</v>
      </c>
      <c r="I98" s="3">
        <f t="shared" si="10"/>
        <v>568.70000000000005</v>
      </c>
      <c r="J98" s="7">
        <f t="shared" si="11"/>
        <v>63.2</v>
      </c>
    </row>
    <row r="99" spans="1:13">
      <c r="A99">
        <f t="shared" si="14"/>
        <v>98900</v>
      </c>
      <c r="B99" s="3">
        <f>2.8042+2.1026</f>
        <v>4.9067999999999996</v>
      </c>
      <c r="C99" s="3">
        <v>0.59360000000000002</v>
      </c>
      <c r="D99" s="4">
        <f t="shared" si="12"/>
        <v>245.33999999999997</v>
      </c>
      <c r="E99" s="3">
        <v>9.4763000000000002</v>
      </c>
      <c r="F99" s="3">
        <f t="shared" si="8"/>
        <v>9.1</v>
      </c>
      <c r="G99" s="1">
        <f t="shared" si="13"/>
        <v>29.68</v>
      </c>
      <c r="H99" s="3">
        <f t="shared" si="9"/>
        <v>1.1000000000000001</v>
      </c>
      <c r="I99" s="3">
        <f t="shared" ref="I99:I133" si="15">($E99*($A100-$A98))/2</f>
        <v>473.815</v>
      </c>
      <c r="J99" s="7">
        <f t="shared" si="11"/>
        <v>52.6</v>
      </c>
      <c r="K99" s="7">
        <f>SUM(F97:F99)</f>
        <v>24.6</v>
      </c>
      <c r="L99" s="7">
        <f>SUM(H97:H99)</f>
        <v>20.100000000000001</v>
      </c>
      <c r="M99" s="7">
        <f>SUM(J97:J99)</f>
        <v>180.5</v>
      </c>
    </row>
    <row r="100" spans="1:13">
      <c r="A100">
        <f t="shared" si="14"/>
        <v>98950</v>
      </c>
      <c r="B100" s="3">
        <v>4.3470000000000004</v>
      </c>
      <c r="C100" s="3">
        <v>0</v>
      </c>
      <c r="D100" s="4">
        <f t="shared" si="12"/>
        <v>217.35000000000002</v>
      </c>
      <c r="E100" s="3">
        <v>1.6156999999999999</v>
      </c>
      <c r="F100" s="3">
        <f t="shared" si="8"/>
        <v>8.1</v>
      </c>
      <c r="G100" s="1">
        <f t="shared" si="13"/>
        <v>0</v>
      </c>
      <c r="H100" s="3">
        <f t="shared" si="9"/>
        <v>0</v>
      </c>
      <c r="I100" s="3">
        <f t="shared" si="15"/>
        <v>80.784999999999997</v>
      </c>
      <c r="J100" s="7">
        <f t="shared" si="11"/>
        <v>9</v>
      </c>
    </row>
    <row r="101" spans="1:13">
      <c r="A101">
        <f t="shared" si="14"/>
        <v>99000</v>
      </c>
      <c r="B101" s="3">
        <v>0</v>
      </c>
      <c r="C101" s="3">
        <v>0</v>
      </c>
      <c r="D101" s="4">
        <f t="shared" si="12"/>
        <v>0</v>
      </c>
      <c r="E101" s="3">
        <v>0</v>
      </c>
      <c r="F101" s="3">
        <f t="shared" si="8"/>
        <v>0</v>
      </c>
      <c r="G101" s="1">
        <f t="shared" si="13"/>
        <v>0</v>
      </c>
      <c r="H101" s="3">
        <f t="shared" si="9"/>
        <v>0</v>
      </c>
      <c r="I101" s="3">
        <f t="shared" si="15"/>
        <v>0</v>
      </c>
      <c r="J101" s="7">
        <f t="shared" si="11"/>
        <v>0</v>
      </c>
    </row>
    <row r="102" spans="1:13">
      <c r="A102">
        <f t="shared" si="14"/>
        <v>99050</v>
      </c>
      <c r="B102" s="3">
        <v>6.4577</v>
      </c>
      <c r="C102" s="3">
        <v>0</v>
      </c>
      <c r="D102" s="4">
        <f t="shared" si="12"/>
        <v>322.88499999999999</v>
      </c>
      <c r="E102" s="3">
        <v>1.421</v>
      </c>
      <c r="F102" s="3">
        <f t="shared" si="8"/>
        <v>12</v>
      </c>
      <c r="G102" s="1">
        <f t="shared" si="13"/>
        <v>0</v>
      </c>
      <c r="H102" s="3">
        <f t="shared" si="9"/>
        <v>0</v>
      </c>
      <c r="I102" s="3">
        <f t="shared" si="15"/>
        <v>71.05</v>
      </c>
      <c r="J102" s="7">
        <f t="shared" si="11"/>
        <v>7.9</v>
      </c>
      <c r="K102" s="7">
        <f>SUM(F100:F102)</f>
        <v>20.100000000000001</v>
      </c>
      <c r="L102" s="7">
        <f>SUM(H100:H102)</f>
        <v>0</v>
      </c>
      <c r="M102" s="7">
        <f>SUM(J100:J102)</f>
        <v>16.899999999999999</v>
      </c>
    </row>
    <row r="103" spans="1:13">
      <c r="A103">
        <f t="shared" si="14"/>
        <v>99100</v>
      </c>
      <c r="B103" s="3">
        <v>3.8536000000000001</v>
      </c>
      <c r="C103" s="3">
        <v>2.4400000000000002E-2</v>
      </c>
      <c r="D103" s="4">
        <f t="shared" si="12"/>
        <v>192.68</v>
      </c>
      <c r="E103" s="3">
        <v>1.246</v>
      </c>
      <c r="F103" s="3">
        <f t="shared" si="8"/>
        <v>7.1</v>
      </c>
      <c r="G103" s="1">
        <f t="shared" si="13"/>
        <v>1.22</v>
      </c>
      <c r="H103" s="3">
        <f t="shared" si="9"/>
        <v>0</v>
      </c>
      <c r="I103" s="3">
        <f t="shared" si="15"/>
        <v>62.3</v>
      </c>
      <c r="J103" s="7">
        <f t="shared" si="11"/>
        <v>6.9</v>
      </c>
    </row>
    <row r="104" spans="1:13">
      <c r="A104">
        <f t="shared" si="14"/>
        <v>99150</v>
      </c>
      <c r="B104" s="3">
        <v>4.7195999999999998</v>
      </c>
      <c r="C104" s="3">
        <v>0</v>
      </c>
      <c r="D104" s="4">
        <f t="shared" si="12"/>
        <v>235.98</v>
      </c>
      <c r="E104" s="3">
        <v>1.8145</v>
      </c>
      <c r="F104" s="3">
        <f t="shared" si="8"/>
        <v>8.6999999999999993</v>
      </c>
      <c r="G104" s="1">
        <f t="shared" si="13"/>
        <v>0</v>
      </c>
      <c r="H104" s="3">
        <f t="shared" si="9"/>
        <v>0</v>
      </c>
      <c r="I104" s="3">
        <f t="shared" si="15"/>
        <v>90.724999999999994</v>
      </c>
      <c r="J104" s="7">
        <f t="shared" si="11"/>
        <v>10.1</v>
      </c>
    </row>
    <row r="105" spans="1:13">
      <c r="A105">
        <f t="shared" si="14"/>
        <v>99200</v>
      </c>
      <c r="B105" s="3">
        <v>6.41</v>
      </c>
      <c r="C105" s="3">
        <v>0</v>
      </c>
      <c r="D105" s="4">
        <f t="shared" si="12"/>
        <v>320.5</v>
      </c>
      <c r="E105" s="3">
        <v>4.4631999999999996</v>
      </c>
      <c r="F105" s="3">
        <f t="shared" si="8"/>
        <v>11.9</v>
      </c>
      <c r="G105" s="1">
        <f t="shared" si="13"/>
        <v>0</v>
      </c>
      <c r="H105" s="3">
        <f t="shared" si="9"/>
        <v>0</v>
      </c>
      <c r="I105" s="3">
        <f t="shared" si="15"/>
        <v>223.15999999999997</v>
      </c>
      <c r="J105" s="7">
        <f t="shared" si="11"/>
        <v>24.8</v>
      </c>
      <c r="K105" s="7">
        <f>SUM(F103:F105)</f>
        <v>27.7</v>
      </c>
      <c r="L105" s="7">
        <f>SUM(H103:H105)</f>
        <v>0</v>
      </c>
      <c r="M105" s="7">
        <f>SUM(J103:J105)</f>
        <v>41.8</v>
      </c>
    </row>
    <row r="106" spans="1:13">
      <c r="A106">
        <f t="shared" si="14"/>
        <v>99250</v>
      </c>
      <c r="B106" s="3">
        <v>5.9882999999999997</v>
      </c>
      <c r="C106" s="3">
        <v>0</v>
      </c>
      <c r="D106" s="4">
        <f t="shared" si="12"/>
        <v>299.41499999999996</v>
      </c>
      <c r="E106" s="3">
        <v>3.9708000000000001</v>
      </c>
      <c r="F106" s="3">
        <f t="shared" si="8"/>
        <v>11.1</v>
      </c>
      <c r="G106" s="1">
        <f t="shared" si="13"/>
        <v>0</v>
      </c>
      <c r="H106" s="3">
        <f t="shared" si="9"/>
        <v>0</v>
      </c>
      <c r="I106" s="3">
        <f t="shared" si="15"/>
        <v>198.54</v>
      </c>
      <c r="J106" s="7">
        <f t="shared" si="11"/>
        <v>22.1</v>
      </c>
    </row>
    <row r="107" spans="1:13">
      <c r="A107">
        <f t="shared" si="14"/>
        <v>99300</v>
      </c>
      <c r="B107" s="3">
        <v>4.0317999999999996</v>
      </c>
      <c r="C107" s="3">
        <v>0.18970000000000001</v>
      </c>
      <c r="D107" s="4">
        <f t="shared" si="12"/>
        <v>201.58999999999997</v>
      </c>
      <c r="E107" s="3">
        <v>1.7875000000000001</v>
      </c>
      <c r="F107" s="3">
        <f t="shared" si="8"/>
        <v>7.5</v>
      </c>
      <c r="G107" s="1">
        <f t="shared" si="13"/>
        <v>9.4850000000000012</v>
      </c>
      <c r="H107" s="3">
        <f t="shared" si="9"/>
        <v>0.4</v>
      </c>
      <c r="I107" s="3">
        <f t="shared" si="15"/>
        <v>89.375</v>
      </c>
      <c r="J107" s="7">
        <f t="shared" si="11"/>
        <v>9.9</v>
      </c>
    </row>
    <row r="108" spans="1:13">
      <c r="A108">
        <f t="shared" si="14"/>
        <v>99350</v>
      </c>
      <c r="B108" s="3">
        <v>3.569</v>
      </c>
      <c r="C108" s="3">
        <v>0.19070000000000001</v>
      </c>
      <c r="D108" s="4">
        <f t="shared" si="12"/>
        <v>178.45</v>
      </c>
      <c r="E108" s="3">
        <v>1.6413</v>
      </c>
      <c r="F108" s="3">
        <f t="shared" si="8"/>
        <v>6.6</v>
      </c>
      <c r="G108" s="1">
        <f t="shared" si="13"/>
        <v>9.5350000000000001</v>
      </c>
      <c r="H108" s="3">
        <f t="shared" si="9"/>
        <v>0.4</v>
      </c>
      <c r="I108" s="3">
        <f t="shared" si="15"/>
        <v>82.064999999999998</v>
      </c>
      <c r="J108" s="7">
        <f t="shared" si="11"/>
        <v>9.1</v>
      </c>
      <c r="K108" s="7">
        <f>SUM(F106:F108)</f>
        <v>25.200000000000003</v>
      </c>
      <c r="L108" s="7">
        <f>SUM(H106:H108)</f>
        <v>0.8</v>
      </c>
      <c r="M108" s="7">
        <f>SUM(J106:J108)</f>
        <v>41.1</v>
      </c>
    </row>
    <row r="109" spans="1:13">
      <c r="A109">
        <f t="shared" si="14"/>
        <v>99400</v>
      </c>
      <c r="B109" s="3">
        <v>4.6748000000000003</v>
      </c>
      <c r="C109" s="3">
        <v>0</v>
      </c>
      <c r="D109" s="4">
        <f t="shared" si="12"/>
        <v>233.74</v>
      </c>
      <c r="E109" s="3">
        <v>1.4317</v>
      </c>
      <c r="F109" s="3">
        <f t="shared" si="8"/>
        <v>8.6999999999999993</v>
      </c>
      <c r="G109" s="1">
        <f t="shared" si="13"/>
        <v>0</v>
      </c>
      <c r="H109" s="3">
        <f t="shared" si="9"/>
        <v>0</v>
      </c>
      <c r="I109" s="3">
        <f t="shared" si="15"/>
        <v>71.584999999999994</v>
      </c>
      <c r="J109" s="7">
        <f t="shared" si="11"/>
        <v>8</v>
      </c>
    </row>
    <row r="110" spans="1:13">
      <c r="A110">
        <f t="shared" si="14"/>
        <v>99450</v>
      </c>
      <c r="B110" s="3">
        <v>6.3997999999999999</v>
      </c>
      <c r="C110" s="3">
        <v>0</v>
      </c>
      <c r="D110" s="4">
        <f t="shared" si="12"/>
        <v>319.99</v>
      </c>
      <c r="E110" s="3">
        <v>2.1576</v>
      </c>
      <c r="F110" s="3">
        <f t="shared" si="8"/>
        <v>11.9</v>
      </c>
      <c r="G110" s="1">
        <f t="shared" si="13"/>
        <v>0</v>
      </c>
      <c r="H110" s="3">
        <f t="shared" si="9"/>
        <v>0</v>
      </c>
      <c r="I110" s="3">
        <f t="shared" si="15"/>
        <v>107.88</v>
      </c>
      <c r="J110" s="7">
        <f t="shared" si="11"/>
        <v>12</v>
      </c>
    </row>
    <row r="111" spans="1:13">
      <c r="A111">
        <f t="shared" si="14"/>
        <v>99500</v>
      </c>
      <c r="B111" s="3">
        <v>0</v>
      </c>
      <c r="C111" s="3">
        <v>0</v>
      </c>
      <c r="D111" s="4">
        <f t="shared" si="12"/>
        <v>0</v>
      </c>
      <c r="E111" s="3">
        <v>0</v>
      </c>
      <c r="F111" s="3">
        <f t="shared" si="8"/>
        <v>0</v>
      </c>
      <c r="G111" s="1">
        <f t="shared" si="13"/>
        <v>0</v>
      </c>
      <c r="H111" s="3">
        <f t="shared" si="9"/>
        <v>0</v>
      </c>
      <c r="I111" s="3">
        <f t="shared" si="15"/>
        <v>0</v>
      </c>
      <c r="J111" s="7">
        <f t="shared" si="11"/>
        <v>0</v>
      </c>
      <c r="K111" s="7">
        <f>SUM(F109:F111)</f>
        <v>20.6</v>
      </c>
      <c r="L111" s="7">
        <f>SUM(H109:H111)</f>
        <v>0</v>
      </c>
      <c r="M111" s="7">
        <f>SUM(J109:J111)</f>
        <v>20</v>
      </c>
    </row>
    <row r="112" spans="1:13">
      <c r="A112">
        <f t="shared" si="14"/>
        <v>99550</v>
      </c>
      <c r="B112" s="3">
        <v>4.5018000000000002</v>
      </c>
      <c r="C112" s="3">
        <v>0</v>
      </c>
      <c r="D112" s="4">
        <f t="shared" si="12"/>
        <v>225.09</v>
      </c>
      <c r="E112" s="3">
        <f xml:space="preserve"> 1.4589+3.9864</f>
        <v>5.4453000000000005</v>
      </c>
      <c r="F112" s="3">
        <f t="shared" si="8"/>
        <v>8.3000000000000007</v>
      </c>
      <c r="G112" s="1">
        <f t="shared" si="13"/>
        <v>0</v>
      </c>
      <c r="H112" s="3">
        <f t="shared" si="9"/>
        <v>0</v>
      </c>
      <c r="I112" s="3">
        <f t="shared" si="15"/>
        <v>272.26500000000004</v>
      </c>
      <c r="J112" s="7">
        <f t="shared" si="11"/>
        <v>30.2</v>
      </c>
    </row>
    <row r="113" spans="1:13">
      <c r="A113">
        <f t="shared" si="14"/>
        <v>99600</v>
      </c>
      <c r="B113" s="3">
        <v>8.6501000000000001</v>
      </c>
      <c r="C113" s="3">
        <v>0</v>
      </c>
      <c r="D113" s="4">
        <f t="shared" si="12"/>
        <v>432.505</v>
      </c>
      <c r="E113" s="3">
        <f xml:space="preserve"> 4.2633+4.0259</f>
        <v>8.289200000000001</v>
      </c>
      <c r="F113" s="3">
        <f t="shared" si="8"/>
        <v>16</v>
      </c>
      <c r="G113" s="1">
        <f t="shared" si="13"/>
        <v>0</v>
      </c>
      <c r="H113" s="3">
        <f t="shared" si="9"/>
        <v>0</v>
      </c>
      <c r="I113" s="3">
        <f t="shared" si="15"/>
        <v>414.46000000000004</v>
      </c>
      <c r="J113" s="7">
        <f t="shared" si="11"/>
        <v>46</v>
      </c>
    </row>
    <row r="114" spans="1:13">
      <c r="A114">
        <f t="shared" si="14"/>
        <v>99650</v>
      </c>
      <c r="B114" s="3">
        <v>11.3878</v>
      </c>
      <c r="C114" s="3">
        <v>0</v>
      </c>
      <c r="D114" s="4">
        <f t="shared" si="12"/>
        <v>569.39</v>
      </c>
      <c r="E114" s="3">
        <f xml:space="preserve"> 5.18+4.0299</f>
        <v>9.2098999999999993</v>
      </c>
      <c r="F114" s="3">
        <f t="shared" si="8"/>
        <v>21.1</v>
      </c>
      <c r="G114" s="1">
        <f t="shared" si="13"/>
        <v>0</v>
      </c>
      <c r="H114" s="3">
        <f t="shared" si="9"/>
        <v>0</v>
      </c>
      <c r="I114" s="3">
        <f t="shared" si="15"/>
        <v>460.49499999999995</v>
      </c>
      <c r="J114" s="7">
        <f t="shared" si="11"/>
        <v>51.2</v>
      </c>
      <c r="K114" s="7">
        <f>SUM(F112:F114)</f>
        <v>45.400000000000006</v>
      </c>
      <c r="L114" s="7">
        <f>SUM(H112:H114)</f>
        <v>0</v>
      </c>
      <c r="M114" s="7">
        <f>SUM(J112:J114)</f>
        <v>127.4</v>
      </c>
    </row>
    <row r="115" spans="1:13">
      <c r="A115">
        <f t="shared" si="14"/>
        <v>99700</v>
      </c>
      <c r="B115" s="3">
        <v>12.3682</v>
      </c>
      <c r="C115" s="3">
        <v>0</v>
      </c>
      <c r="D115" s="4">
        <f t="shared" si="12"/>
        <v>618.41</v>
      </c>
      <c r="E115" s="3">
        <f>4.0548+5.5303</f>
        <v>9.5851000000000006</v>
      </c>
      <c r="F115" s="3">
        <f t="shared" si="8"/>
        <v>22.9</v>
      </c>
      <c r="G115" s="1">
        <f t="shared" si="13"/>
        <v>0</v>
      </c>
      <c r="H115" s="3">
        <f t="shared" si="9"/>
        <v>0</v>
      </c>
      <c r="I115" s="3">
        <f t="shared" si="15"/>
        <v>479.25500000000005</v>
      </c>
      <c r="J115" s="7">
        <f t="shared" si="11"/>
        <v>53.2</v>
      </c>
    </row>
    <row r="116" spans="1:13">
      <c r="A116">
        <f t="shared" si="14"/>
        <v>99750</v>
      </c>
      <c r="B116" s="3">
        <v>13.7784</v>
      </c>
      <c r="C116" s="3">
        <v>0</v>
      </c>
      <c r="D116" s="4">
        <f t="shared" si="12"/>
        <v>688.92</v>
      </c>
      <c r="E116" s="3">
        <f xml:space="preserve"> 6.1473+4.1066</f>
        <v>10.253900000000002</v>
      </c>
      <c r="F116" s="3">
        <f t="shared" si="8"/>
        <v>25.5</v>
      </c>
      <c r="G116" s="1">
        <f t="shared" si="13"/>
        <v>0</v>
      </c>
      <c r="H116" s="3">
        <f t="shared" si="9"/>
        <v>0</v>
      </c>
      <c r="I116" s="3">
        <f t="shared" si="15"/>
        <v>512.69500000000005</v>
      </c>
      <c r="J116" s="7">
        <f t="shared" si="11"/>
        <v>57</v>
      </c>
    </row>
    <row r="117" spans="1:13">
      <c r="A117">
        <f t="shared" si="14"/>
        <v>99800</v>
      </c>
      <c r="B117" s="3">
        <v>11.137700000000001</v>
      </c>
      <c r="C117" s="3">
        <v>0</v>
      </c>
      <c r="D117" s="4">
        <f t="shared" si="12"/>
        <v>556.88499999999999</v>
      </c>
      <c r="E117" s="3">
        <f>3.7166+3.9197</f>
        <v>7.6363000000000003</v>
      </c>
      <c r="F117" s="3">
        <f t="shared" si="8"/>
        <v>20.6</v>
      </c>
      <c r="G117" s="1">
        <f t="shared" si="13"/>
        <v>0</v>
      </c>
      <c r="H117" s="3">
        <f t="shared" si="9"/>
        <v>0</v>
      </c>
      <c r="I117" s="3">
        <f t="shared" si="15"/>
        <v>381.815</v>
      </c>
      <c r="J117" s="7">
        <f t="shared" si="11"/>
        <v>42.4</v>
      </c>
      <c r="K117" s="7">
        <f>SUM(F115:F117)</f>
        <v>69</v>
      </c>
      <c r="L117" s="7">
        <f>SUM(H115:H117)</f>
        <v>0</v>
      </c>
      <c r="M117" s="7">
        <f>SUM(J115:J117)</f>
        <v>152.6</v>
      </c>
    </row>
    <row r="118" spans="1:13">
      <c r="A118">
        <f t="shared" si="14"/>
        <v>99850</v>
      </c>
      <c r="B118" s="3">
        <v>0</v>
      </c>
      <c r="C118" s="3">
        <v>0</v>
      </c>
      <c r="D118" s="4">
        <f t="shared" si="12"/>
        <v>0</v>
      </c>
      <c r="E118" s="3">
        <v>0</v>
      </c>
      <c r="F118" s="3">
        <f t="shared" si="8"/>
        <v>0</v>
      </c>
      <c r="G118" s="1">
        <f t="shared" si="13"/>
        <v>0</v>
      </c>
      <c r="H118" s="3">
        <f t="shared" si="9"/>
        <v>0</v>
      </c>
      <c r="I118" s="3">
        <f t="shared" si="15"/>
        <v>0</v>
      </c>
      <c r="J118" s="7">
        <f t="shared" si="11"/>
        <v>0</v>
      </c>
    </row>
    <row r="119" spans="1:13">
      <c r="A119">
        <f t="shared" si="14"/>
        <v>99900</v>
      </c>
      <c r="B119" s="3">
        <v>0.89749999999999996</v>
      </c>
      <c r="C119" s="3">
        <f>1.4213+0.0393</f>
        <v>1.4605999999999999</v>
      </c>
      <c r="D119" s="4">
        <f t="shared" si="12"/>
        <v>44.875</v>
      </c>
      <c r="E119" s="3">
        <f>2.8746+1.6023</f>
        <v>4.4769000000000005</v>
      </c>
      <c r="F119" s="3">
        <f t="shared" si="8"/>
        <v>1.7</v>
      </c>
      <c r="G119" s="1">
        <f t="shared" si="13"/>
        <v>73.03</v>
      </c>
      <c r="H119" s="3">
        <f t="shared" si="9"/>
        <v>2.7</v>
      </c>
      <c r="I119" s="3">
        <f t="shared" si="15"/>
        <v>223.84500000000003</v>
      </c>
      <c r="J119" s="7">
        <f t="shared" si="11"/>
        <v>24.9</v>
      </c>
    </row>
    <row r="120" spans="1:13">
      <c r="A120">
        <f t="shared" si="14"/>
        <v>99950</v>
      </c>
      <c r="B120" s="3">
        <v>4.3354999999999997</v>
      </c>
      <c r="C120" s="3">
        <v>7.9179000000000004</v>
      </c>
      <c r="D120" s="4">
        <f t="shared" si="12"/>
        <v>216.77499999999998</v>
      </c>
      <c r="E120" s="3">
        <f>12.0925+3.6389</f>
        <v>15.731399999999999</v>
      </c>
      <c r="F120" s="3">
        <f t="shared" si="8"/>
        <v>8</v>
      </c>
      <c r="G120" s="1">
        <f t="shared" si="13"/>
        <v>395.89500000000004</v>
      </c>
      <c r="H120" s="3">
        <f t="shared" si="9"/>
        <v>14.7</v>
      </c>
      <c r="I120" s="3">
        <f t="shared" si="15"/>
        <v>786.56999999999994</v>
      </c>
      <c r="J120" s="7">
        <f t="shared" si="11"/>
        <v>87.4</v>
      </c>
      <c r="K120" s="7">
        <f>SUM(F118:F120)</f>
        <v>9.6999999999999993</v>
      </c>
      <c r="L120" s="7">
        <f>SUM(H118:H120)</f>
        <v>17.399999999999999</v>
      </c>
      <c r="M120" s="7">
        <f>SUM(J118:J120)</f>
        <v>112.30000000000001</v>
      </c>
    </row>
    <row r="121" spans="1:13">
      <c r="A121">
        <f t="shared" si="14"/>
        <v>100000</v>
      </c>
      <c r="B121" s="3">
        <v>3.7618</v>
      </c>
      <c r="C121" s="3">
        <v>3.9862000000000002</v>
      </c>
      <c r="D121" s="4">
        <f t="shared" si="12"/>
        <v>188.09</v>
      </c>
      <c r="E121" s="3">
        <f>3.6399+10.5838</f>
        <v>14.223700000000001</v>
      </c>
      <c r="F121" s="3">
        <f t="shared" si="8"/>
        <v>7</v>
      </c>
      <c r="G121" s="1">
        <f t="shared" si="13"/>
        <v>199.31</v>
      </c>
      <c r="H121" s="3">
        <f t="shared" si="9"/>
        <v>7.4</v>
      </c>
      <c r="I121" s="3">
        <f t="shared" si="15"/>
        <v>711.18500000000006</v>
      </c>
      <c r="J121" s="7">
        <f t="shared" si="11"/>
        <v>79</v>
      </c>
    </row>
    <row r="122" spans="1:13">
      <c r="A122">
        <f t="shared" si="14"/>
        <v>100050</v>
      </c>
      <c r="B122" s="3">
        <f>0.3457+3.1688</f>
        <v>3.5145</v>
      </c>
      <c r="C122" s="3">
        <f>1.0025</f>
        <v>1.0024999999999999</v>
      </c>
      <c r="D122" s="4">
        <f t="shared" si="12"/>
        <v>175.72499999999999</v>
      </c>
      <c r="E122" s="3">
        <f>8.6303+3.324</f>
        <v>11.9543</v>
      </c>
      <c r="F122" s="3">
        <f t="shared" si="8"/>
        <v>6.5</v>
      </c>
      <c r="G122" s="1">
        <f t="shared" si="13"/>
        <v>50.125</v>
      </c>
      <c r="H122" s="3">
        <f t="shared" si="9"/>
        <v>1.9</v>
      </c>
      <c r="I122" s="3">
        <f t="shared" si="15"/>
        <v>597.71500000000003</v>
      </c>
      <c r="J122" s="7">
        <f t="shared" si="11"/>
        <v>66.400000000000006</v>
      </c>
    </row>
    <row r="123" spans="1:13">
      <c r="A123">
        <f t="shared" si="14"/>
        <v>100100</v>
      </c>
      <c r="B123" s="3">
        <f>2.8863+0.3316</f>
        <v>3.2178999999999998</v>
      </c>
      <c r="C123" s="3">
        <v>1.1422000000000001</v>
      </c>
      <c r="D123" s="4">
        <f t="shared" si="12"/>
        <v>160.89499999999998</v>
      </c>
      <c r="E123" s="3">
        <f>4.0032+1.0002+2.1871+2.0019+3.0165</f>
        <v>12.2089</v>
      </c>
      <c r="F123" s="3">
        <f t="shared" si="8"/>
        <v>6</v>
      </c>
      <c r="G123" s="1">
        <f t="shared" si="13"/>
        <v>57.110000000000007</v>
      </c>
      <c r="H123" s="3">
        <f t="shared" si="9"/>
        <v>2.1</v>
      </c>
      <c r="I123" s="3">
        <f t="shared" si="15"/>
        <v>610.44499999999994</v>
      </c>
      <c r="J123" s="7">
        <f t="shared" si="11"/>
        <v>67.8</v>
      </c>
      <c r="K123" s="7">
        <f>SUM(F121:F123)</f>
        <v>19.5</v>
      </c>
      <c r="L123" s="7">
        <f>SUM(H121:H123)</f>
        <v>11.4</v>
      </c>
      <c r="M123" s="7">
        <f>SUM(J121:J123)</f>
        <v>213.2</v>
      </c>
    </row>
    <row r="124" spans="1:13">
      <c r="A124">
        <f t="shared" si="14"/>
        <v>100150</v>
      </c>
      <c r="B124" s="3">
        <v>3.427</v>
      </c>
      <c r="C124" s="3">
        <v>0</v>
      </c>
      <c r="D124" s="4">
        <f t="shared" si="12"/>
        <v>171.35</v>
      </c>
      <c r="E124" s="3">
        <f>0.4075+1.0002</f>
        <v>1.4077</v>
      </c>
      <c r="F124" s="3">
        <f t="shared" si="8"/>
        <v>6.3</v>
      </c>
      <c r="G124" s="1">
        <f t="shared" si="13"/>
        <v>0</v>
      </c>
      <c r="H124" s="3">
        <f t="shared" si="9"/>
        <v>0</v>
      </c>
      <c r="I124" s="3">
        <f t="shared" si="15"/>
        <v>70.384999999999991</v>
      </c>
      <c r="J124" s="7">
        <f t="shared" si="11"/>
        <v>7.8</v>
      </c>
    </row>
    <row r="125" spans="1:13">
      <c r="A125">
        <f t="shared" si="14"/>
        <v>100200</v>
      </c>
      <c r="B125" s="3">
        <v>3.1015999999999999</v>
      </c>
      <c r="C125" s="3">
        <v>0</v>
      </c>
      <c r="D125" s="4">
        <f t="shared" si="12"/>
        <v>155.07999999999998</v>
      </c>
      <c r="E125" s="3">
        <v>1.0860000000000001</v>
      </c>
      <c r="F125" s="3">
        <f t="shared" si="8"/>
        <v>5.7</v>
      </c>
      <c r="G125" s="1">
        <f t="shared" si="13"/>
        <v>0</v>
      </c>
      <c r="H125" s="3">
        <f t="shared" si="9"/>
        <v>0</v>
      </c>
      <c r="I125" s="3">
        <f t="shared" si="15"/>
        <v>54.300000000000004</v>
      </c>
      <c r="J125" s="7">
        <f t="shared" si="11"/>
        <v>6</v>
      </c>
    </row>
    <row r="126" spans="1:13">
      <c r="A126">
        <f t="shared" si="14"/>
        <v>100250</v>
      </c>
      <c r="B126" s="3">
        <v>0</v>
      </c>
      <c r="C126" s="3">
        <v>0</v>
      </c>
      <c r="D126" s="4">
        <f t="shared" si="12"/>
        <v>0</v>
      </c>
      <c r="E126" s="3">
        <v>0</v>
      </c>
      <c r="F126" s="3">
        <f t="shared" si="8"/>
        <v>0</v>
      </c>
      <c r="G126" s="1">
        <f t="shared" si="13"/>
        <v>0</v>
      </c>
      <c r="H126" s="3">
        <f t="shared" si="9"/>
        <v>0</v>
      </c>
      <c r="I126" s="3">
        <f t="shared" si="15"/>
        <v>0</v>
      </c>
      <c r="J126" s="7">
        <f t="shared" si="11"/>
        <v>0</v>
      </c>
      <c r="K126" s="7">
        <f>SUM(F124:F126)</f>
        <v>12</v>
      </c>
      <c r="L126" s="7">
        <f>SUM(H124:H126)</f>
        <v>0</v>
      </c>
      <c r="M126" s="7">
        <f>SUM(J124:J126)</f>
        <v>13.8</v>
      </c>
    </row>
    <row r="127" spans="1:13">
      <c r="A127">
        <f t="shared" si="14"/>
        <v>100300</v>
      </c>
      <c r="B127" s="1">
        <v>0</v>
      </c>
      <c r="C127" s="1">
        <v>0</v>
      </c>
      <c r="D127" s="4">
        <f t="shared" si="12"/>
        <v>0</v>
      </c>
      <c r="E127" s="1">
        <v>0</v>
      </c>
      <c r="F127" s="3">
        <f t="shared" si="8"/>
        <v>0</v>
      </c>
      <c r="G127" s="1">
        <f t="shared" si="13"/>
        <v>0</v>
      </c>
      <c r="H127" s="3">
        <f t="shared" si="9"/>
        <v>0</v>
      </c>
      <c r="I127" s="3">
        <f t="shared" si="15"/>
        <v>0</v>
      </c>
      <c r="J127" s="7">
        <f t="shared" si="11"/>
        <v>0</v>
      </c>
    </row>
    <row r="128" spans="1:13">
      <c r="A128">
        <f t="shared" si="14"/>
        <v>100350</v>
      </c>
      <c r="B128" s="3">
        <f>0.0092+0.1356</f>
        <v>0.14479999999999998</v>
      </c>
      <c r="C128" s="3">
        <f>3.4373+0.6622</f>
        <v>4.0994999999999999</v>
      </c>
      <c r="D128" s="4">
        <f t="shared" si="12"/>
        <v>7.2399999999999993</v>
      </c>
      <c r="E128" s="3">
        <f>5.7761+4.1475</f>
        <v>9.9236000000000004</v>
      </c>
      <c r="F128" s="3">
        <f t="shared" si="8"/>
        <v>0.3</v>
      </c>
      <c r="G128" s="1">
        <f t="shared" si="13"/>
        <v>204.97499999999999</v>
      </c>
      <c r="H128" s="3">
        <f t="shared" si="9"/>
        <v>7.6</v>
      </c>
      <c r="I128" s="3">
        <f t="shared" si="15"/>
        <v>496.18</v>
      </c>
      <c r="J128" s="7">
        <f t="shared" si="11"/>
        <v>55.1</v>
      </c>
    </row>
    <row r="129" spans="1:13">
      <c r="A129">
        <f t="shared" si="14"/>
        <v>100400</v>
      </c>
      <c r="B129" s="3">
        <f>0.0054+0.0057+5.6033</f>
        <v>5.6143999999999998</v>
      </c>
      <c r="C129" s="3">
        <f>0.3798+6.7313+0.8872</f>
        <v>7.9983000000000004</v>
      </c>
      <c r="D129" s="4">
        <f t="shared" si="12"/>
        <v>280.71999999999997</v>
      </c>
      <c r="E129" s="3">
        <f>8.3099+4.119+2.7608</f>
        <v>15.1897</v>
      </c>
      <c r="F129" s="3">
        <f t="shared" si="8"/>
        <v>10.4</v>
      </c>
      <c r="G129" s="1">
        <f t="shared" si="13"/>
        <v>399.91500000000002</v>
      </c>
      <c r="H129" s="3">
        <f t="shared" si="9"/>
        <v>14.8</v>
      </c>
      <c r="I129" s="3">
        <f t="shared" si="15"/>
        <v>759.48500000000001</v>
      </c>
      <c r="J129" s="7">
        <f t="shared" si="11"/>
        <v>84.4</v>
      </c>
      <c r="K129" s="7">
        <f>SUM(F127:F129)</f>
        <v>10.700000000000001</v>
      </c>
      <c r="L129" s="7">
        <f>SUM(H127:H129)</f>
        <v>22.4</v>
      </c>
      <c r="M129" s="7">
        <f>SUM(J127:J129)</f>
        <v>139.5</v>
      </c>
    </row>
    <row r="130" spans="1:13">
      <c r="A130">
        <f t="shared" si="14"/>
        <v>100450</v>
      </c>
      <c r="B130" s="3">
        <f>7.1609</f>
        <v>7.1608999999999998</v>
      </c>
      <c r="C130" s="3">
        <f>9.8395</f>
        <v>9.8394999999999992</v>
      </c>
      <c r="D130" s="4">
        <f t="shared" si="12"/>
        <v>358.04500000000002</v>
      </c>
      <c r="E130" s="3">
        <f>4.0916+9.1188</f>
        <v>13.2104</v>
      </c>
      <c r="F130" s="3">
        <f t="shared" si="8"/>
        <v>13.3</v>
      </c>
      <c r="G130" s="1">
        <f t="shared" si="13"/>
        <v>491.97499999999997</v>
      </c>
      <c r="H130" s="3">
        <f t="shared" si="9"/>
        <v>18.2</v>
      </c>
      <c r="I130" s="3">
        <f t="shared" si="15"/>
        <v>660.52</v>
      </c>
      <c r="J130" s="7">
        <f t="shared" si="11"/>
        <v>73.400000000000006</v>
      </c>
    </row>
    <row r="131" spans="1:13">
      <c r="A131">
        <f t="shared" si="14"/>
        <v>100500</v>
      </c>
      <c r="B131" s="1">
        <v>0</v>
      </c>
      <c r="C131" s="1">
        <v>13.9</v>
      </c>
      <c r="D131" s="4">
        <f t="shared" si="12"/>
        <v>0</v>
      </c>
      <c r="E131" s="1">
        <v>14.3</v>
      </c>
      <c r="F131" s="3">
        <f t="shared" ref="F131:F188" si="16">ROUND(D131/27,1)</f>
        <v>0</v>
      </c>
      <c r="G131" s="1">
        <f t="shared" si="13"/>
        <v>695</v>
      </c>
      <c r="H131" s="3">
        <f t="shared" ref="H131:H188" si="17">ROUND(G131/27,1)</f>
        <v>25.7</v>
      </c>
      <c r="I131" s="3">
        <f t="shared" si="15"/>
        <v>715</v>
      </c>
      <c r="J131" s="7">
        <f t="shared" ref="J131:J188" si="18">ROUND(I131*0.1111,1)</f>
        <v>79.400000000000006</v>
      </c>
    </row>
    <row r="132" spans="1:13">
      <c r="A132">
        <f t="shared" si="14"/>
        <v>100550</v>
      </c>
      <c r="B132" s="1">
        <v>0</v>
      </c>
      <c r="C132" s="1">
        <v>15.9</v>
      </c>
      <c r="D132" s="4">
        <f t="shared" ref="D132:D188" si="19">($B132*($A133-$A131))/2</f>
        <v>0</v>
      </c>
      <c r="E132" s="1">
        <v>15.4</v>
      </c>
      <c r="F132" s="3">
        <f t="shared" si="16"/>
        <v>0</v>
      </c>
      <c r="G132" s="1">
        <f t="shared" ref="G132:G188" si="20">($C132*($A133-$A131))/2</f>
        <v>795</v>
      </c>
      <c r="H132" s="3">
        <f t="shared" si="17"/>
        <v>29.4</v>
      </c>
      <c r="I132" s="3">
        <f t="shared" si="15"/>
        <v>770</v>
      </c>
      <c r="J132" s="7">
        <f t="shared" si="18"/>
        <v>85.5</v>
      </c>
      <c r="K132" s="7">
        <f>SUM(F130:F132)</f>
        <v>13.3</v>
      </c>
      <c r="L132" s="7">
        <f>SUM(H130:H132)</f>
        <v>73.3</v>
      </c>
      <c r="M132" s="7">
        <f>SUM(J130:J132)</f>
        <v>238.3</v>
      </c>
    </row>
    <row r="133" spans="1:13">
      <c r="A133">
        <f t="shared" si="14"/>
        <v>100600</v>
      </c>
      <c r="B133" s="1">
        <v>0</v>
      </c>
      <c r="C133" s="1">
        <v>16.899999999999999</v>
      </c>
      <c r="D133" s="4">
        <f t="shared" si="19"/>
        <v>0</v>
      </c>
      <c r="E133" s="1">
        <v>14.8</v>
      </c>
      <c r="F133" s="3">
        <f t="shared" si="16"/>
        <v>0</v>
      </c>
      <c r="G133" s="1">
        <f t="shared" si="20"/>
        <v>844.99999999999989</v>
      </c>
      <c r="H133" s="3">
        <f t="shared" si="17"/>
        <v>31.3</v>
      </c>
      <c r="I133" s="3">
        <f t="shared" si="15"/>
        <v>740</v>
      </c>
      <c r="J133" s="7">
        <f t="shared" si="18"/>
        <v>82.2</v>
      </c>
    </row>
    <row r="134" spans="1:13">
      <c r="A134">
        <f t="shared" si="14"/>
        <v>100650</v>
      </c>
      <c r="B134" s="1">
        <v>0.3</v>
      </c>
      <c r="C134" s="1">
        <v>5.9</v>
      </c>
      <c r="D134" s="4">
        <f>($B134*($A136-$A133))/2</f>
        <v>15</v>
      </c>
      <c r="E134" s="1">
        <v>11.1</v>
      </c>
      <c r="F134" s="3">
        <f t="shared" si="16"/>
        <v>0.6</v>
      </c>
      <c r="G134" s="1">
        <f>($C134*($A136-$A133))/2</f>
        <v>295</v>
      </c>
      <c r="H134" s="3">
        <f t="shared" si="17"/>
        <v>10.9</v>
      </c>
      <c r="I134" s="3">
        <f>($E134*($A136-$A133))/2</f>
        <v>555</v>
      </c>
      <c r="J134" s="7">
        <f t="shared" si="18"/>
        <v>61.7</v>
      </c>
    </row>
    <row r="135" spans="1:13">
      <c r="A135">
        <v>100673</v>
      </c>
      <c r="B135" s="1">
        <v>0</v>
      </c>
      <c r="C135" s="1">
        <v>0</v>
      </c>
      <c r="D135" s="4">
        <f>($B135*($A136-$A133))/2</f>
        <v>0</v>
      </c>
      <c r="E135" s="1">
        <v>0</v>
      </c>
      <c r="F135" s="3">
        <f t="shared" si="16"/>
        <v>0</v>
      </c>
      <c r="G135" s="1">
        <f>($C135*($A136-$A133))/2</f>
        <v>0</v>
      </c>
      <c r="H135" s="3">
        <f t="shared" si="17"/>
        <v>0</v>
      </c>
      <c r="I135" s="3">
        <f>($E135*($A136-$A133))/2</f>
        <v>0</v>
      </c>
      <c r="J135" s="7">
        <f t="shared" si="18"/>
        <v>0</v>
      </c>
      <c r="K135" s="7">
        <f>SUM(F133:F135)</f>
        <v>0.6</v>
      </c>
      <c r="L135" s="7">
        <f>SUM(H133:H135)</f>
        <v>42.2</v>
      </c>
      <c r="M135" s="7">
        <f>SUM(J133:J135)</f>
        <v>143.9</v>
      </c>
    </row>
    <row r="136" spans="1:13">
      <c r="A136">
        <f xml:space="preserve"> A134 + 50</f>
        <v>100700</v>
      </c>
      <c r="B136" s="1">
        <v>0.8</v>
      </c>
      <c r="C136" s="1">
        <v>3.1</v>
      </c>
      <c r="D136" s="4">
        <f>($B136*($A137-$A134))/2</f>
        <v>40</v>
      </c>
      <c r="E136" s="1">
        <v>9.6</v>
      </c>
      <c r="F136" s="3">
        <f t="shared" si="16"/>
        <v>1.5</v>
      </c>
      <c r="G136" s="1">
        <f>($C136*($A137-$A134))/2</f>
        <v>155</v>
      </c>
      <c r="H136" s="3">
        <f t="shared" si="17"/>
        <v>5.7</v>
      </c>
      <c r="I136" s="3">
        <f>($E136*($A137-$A134))/2</f>
        <v>480</v>
      </c>
      <c r="J136" s="7">
        <f t="shared" si="18"/>
        <v>53.3</v>
      </c>
    </row>
    <row r="137" spans="1:13">
      <c r="A137">
        <f t="shared" si="14"/>
        <v>100750</v>
      </c>
      <c r="B137" s="1">
        <v>5.7</v>
      </c>
      <c r="C137" s="1">
        <v>3.6</v>
      </c>
      <c r="D137" s="4">
        <f>($B137*($A138-$A135))/2</f>
        <v>361.95</v>
      </c>
      <c r="E137" s="1">
        <v>9.8000000000000007</v>
      </c>
      <c r="F137" s="3">
        <f t="shared" si="16"/>
        <v>13.4</v>
      </c>
      <c r="G137" s="1">
        <f t="shared" si="20"/>
        <v>180</v>
      </c>
      <c r="H137" s="3">
        <f t="shared" si="17"/>
        <v>6.7</v>
      </c>
      <c r="I137" s="3">
        <f>($E137*($A138-$A136))/2</f>
        <v>490.00000000000006</v>
      </c>
      <c r="J137" s="7">
        <f t="shared" si="18"/>
        <v>54.4</v>
      </c>
    </row>
    <row r="138" spans="1:13">
      <c r="A138">
        <f t="shared" si="14"/>
        <v>100800</v>
      </c>
      <c r="B138" s="1">
        <v>6</v>
      </c>
      <c r="C138" s="1">
        <v>5.0999999999999996</v>
      </c>
      <c r="D138" s="4">
        <f t="shared" si="19"/>
        <v>300</v>
      </c>
      <c r="E138" s="1">
        <v>16.399999999999999</v>
      </c>
      <c r="F138" s="3">
        <f t="shared" si="16"/>
        <v>11.1</v>
      </c>
      <c r="G138" s="1">
        <f t="shared" si="20"/>
        <v>254.99999999999997</v>
      </c>
      <c r="H138" s="3">
        <f t="shared" si="17"/>
        <v>9.4</v>
      </c>
      <c r="I138" s="3">
        <f>($E138*($A139-$A137))/2</f>
        <v>819.99999999999989</v>
      </c>
      <c r="J138" s="7">
        <f t="shared" si="18"/>
        <v>91.1</v>
      </c>
      <c r="K138" s="7">
        <f>SUM(F136:F138)</f>
        <v>26</v>
      </c>
      <c r="L138" s="7">
        <f>SUM(H136:H138)</f>
        <v>21.8</v>
      </c>
      <c r="M138" s="7">
        <f>SUM(J136:J138)</f>
        <v>198.79999999999998</v>
      </c>
    </row>
    <row r="139" spans="1:13">
      <c r="A139">
        <f t="shared" si="14"/>
        <v>100850</v>
      </c>
      <c r="B139" s="1">
        <v>0.4</v>
      </c>
      <c r="C139" s="1">
        <v>2.1</v>
      </c>
      <c r="D139" s="4">
        <f t="shared" si="19"/>
        <v>20</v>
      </c>
      <c r="E139" s="1">
        <v>7.9</v>
      </c>
      <c r="F139" s="3">
        <f t="shared" si="16"/>
        <v>0.7</v>
      </c>
      <c r="G139" s="1">
        <f t="shared" si="20"/>
        <v>105</v>
      </c>
      <c r="H139" s="3">
        <f t="shared" si="17"/>
        <v>3.9</v>
      </c>
      <c r="I139" s="3">
        <f>($E139*($A140-$A138))/2</f>
        <v>395</v>
      </c>
      <c r="J139" s="7">
        <f t="shared" si="18"/>
        <v>43.9</v>
      </c>
    </row>
    <row r="140" spans="1:13">
      <c r="A140">
        <f t="shared" si="14"/>
        <v>100900</v>
      </c>
      <c r="B140" s="1">
        <v>1.4</v>
      </c>
      <c r="C140" s="1">
        <v>1</v>
      </c>
      <c r="D140" s="4">
        <f t="shared" si="19"/>
        <v>70</v>
      </c>
      <c r="E140" s="1">
        <v>6.8</v>
      </c>
      <c r="F140" s="3">
        <f t="shared" si="16"/>
        <v>2.6</v>
      </c>
      <c r="G140" s="1">
        <f t="shared" si="20"/>
        <v>50</v>
      </c>
      <c r="H140" s="3">
        <f t="shared" si="17"/>
        <v>1.9</v>
      </c>
      <c r="I140" s="3">
        <f>($E140*($A141-$A139))/2</f>
        <v>340</v>
      </c>
      <c r="J140" s="7">
        <f t="shared" si="18"/>
        <v>37.799999999999997</v>
      </c>
    </row>
    <row r="141" spans="1:13">
      <c r="A141">
        <f t="shared" si="14"/>
        <v>100950</v>
      </c>
      <c r="B141" s="1">
        <v>1.9</v>
      </c>
      <c r="C141" s="1">
        <v>0.7</v>
      </c>
      <c r="D141" s="4">
        <f>($B141*($A143-$A140))/2</f>
        <v>95</v>
      </c>
      <c r="E141" s="1">
        <v>5.8</v>
      </c>
      <c r="F141" s="3">
        <f t="shared" si="16"/>
        <v>3.5</v>
      </c>
      <c r="G141" s="1">
        <f t="shared" si="20"/>
        <v>26.599999999999998</v>
      </c>
      <c r="H141" s="3">
        <f t="shared" si="17"/>
        <v>1</v>
      </c>
      <c r="I141" s="3">
        <f>($E141*($A142-$A139))/2</f>
        <v>365.4</v>
      </c>
      <c r="J141" s="7">
        <f t="shared" si="18"/>
        <v>40.6</v>
      </c>
      <c r="K141" s="7">
        <f>SUM(F139:F141)</f>
        <v>6.8</v>
      </c>
      <c r="L141" s="7">
        <f>SUM(H139:H141)</f>
        <v>6.8</v>
      </c>
      <c r="M141" s="7">
        <f>SUM(J139:J141)</f>
        <v>122.29999999999998</v>
      </c>
    </row>
    <row r="142" spans="1:13">
      <c r="A142">
        <v>100976</v>
      </c>
      <c r="B142" s="1">
        <v>0</v>
      </c>
      <c r="C142" s="1">
        <v>0</v>
      </c>
      <c r="D142" s="4">
        <f t="shared" si="19"/>
        <v>0</v>
      </c>
      <c r="E142" s="1">
        <v>0</v>
      </c>
      <c r="F142" s="3">
        <f t="shared" si="16"/>
        <v>0</v>
      </c>
      <c r="G142" s="1">
        <f t="shared" si="20"/>
        <v>0</v>
      </c>
      <c r="H142" s="3">
        <f t="shared" si="17"/>
        <v>0</v>
      </c>
      <c r="I142" s="3">
        <f>($E142*($A143-$A140))/2</f>
        <v>0</v>
      </c>
      <c r="J142" s="7">
        <f t="shared" si="18"/>
        <v>0</v>
      </c>
    </row>
    <row r="143" spans="1:13">
      <c r="A143">
        <f xml:space="preserve"> A141 + 50</f>
        <v>101000</v>
      </c>
      <c r="B143" s="1">
        <v>0.5</v>
      </c>
      <c r="C143" s="1">
        <v>0.7</v>
      </c>
      <c r="D143" s="4">
        <f t="shared" si="19"/>
        <v>18.5</v>
      </c>
      <c r="E143" s="1">
        <v>6</v>
      </c>
      <c r="F143" s="3">
        <f t="shared" si="16"/>
        <v>0.7</v>
      </c>
      <c r="G143" s="1">
        <f>($C143*($A144-$A141))/2</f>
        <v>35</v>
      </c>
      <c r="H143" s="3">
        <f t="shared" si="17"/>
        <v>1.3</v>
      </c>
      <c r="I143" s="3">
        <f>($E143*($A144-$A142))/2</f>
        <v>222</v>
      </c>
      <c r="J143" s="7">
        <f t="shared" si="18"/>
        <v>24.7</v>
      </c>
    </row>
    <row r="144" spans="1:13">
      <c r="A144">
        <f t="shared" si="14"/>
        <v>101050</v>
      </c>
      <c r="B144" s="1">
        <v>1.8</v>
      </c>
      <c r="C144" s="1">
        <v>0.6</v>
      </c>
      <c r="D144" s="4">
        <f t="shared" si="19"/>
        <v>90</v>
      </c>
      <c r="E144" s="1">
        <v>6.2</v>
      </c>
      <c r="F144" s="3">
        <f t="shared" si="16"/>
        <v>3.3</v>
      </c>
      <c r="G144" s="1">
        <f t="shared" si="20"/>
        <v>30</v>
      </c>
      <c r="H144" s="3">
        <f t="shared" si="17"/>
        <v>1.1000000000000001</v>
      </c>
      <c r="I144" s="3">
        <f>($E144*($A145-$A143))/2</f>
        <v>310</v>
      </c>
      <c r="J144" s="7">
        <f t="shared" si="18"/>
        <v>34.4</v>
      </c>
      <c r="K144" s="7">
        <f>SUM(F142:F144)</f>
        <v>4</v>
      </c>
      <c r="L144" s="7">
        <f>SUM(H142:H144)</f>
        <v>2.4000000000000004</v>
      </c>
      <c r="M144" s="7">
        <f>SUM(J142:J144)</f>
        <v>59.099999999999994</v>
      </c>
    </row>
    <row r="145" spans="1:13">
      <c r="A145">
        <f t="shared" si="14"/>
        <v>101100</v>
      </c>
      <c r="B145" s="1">
        <v>0.3</v>
      </c>
      <c r="C145" s="1">
        <v>1.8</v>
      </c>
      <c r="D145" s="4">
        <f t="shared" si="19"/>
        <v>15</v>
      </c>
      <c r="E145" s="1">
        <v>7</v>
      </c>
      <c r="F145" s="3">
        <f t="shared" si="16"/>
        <v>0.6</v>
      </c>
      <c r="G145" s="1">
        <f t="shared" si="20"/>
        <v>90</v>
      </c>
      <c r="H145" s="3">
        <f t="shared" si="17"/>
        <v>3.3</v>
      </c>
      <c r="I145" s="3">
        <f>($E145*($A146-$A144))/2</f>
        <v>350</v>
      </c>
      <c r="J145" s="7">
        <f t="shared" si="18"/>
        <v>38.9</v>
      </c>
    </row>
    <row r="146" spans="1:13">
      <c r="A146">
        <f t="shared" si="14"/>
        <v>101150</v>
      </c>
      <c r="B146" s="1">
        <v>0.2</v>
      </c>
      <c r="C146" s="1">
        <v>2.5</v>
      </c>
      <c r="D146" s="4">
        <f t="shared" si="19"/>
        <v>10</v>
      </c>
      <c r="E146" s="1">
        <v>7.9</v>
      </c>
      <c r="F146" s="3">
        <f t="shared" si="16"/>
        <v>0.4</v>
      </c>
      <c r="G146" s="1">
        <f t="shared" si="20"/>
        <v>125</v>
      </c>
      <c r="H146" s="3">
        <f t="shared" si="17"/>
        <v>4.5999999999999996</v>
      </c>
      <c r="I146" s="3">
        <f>($E146*($A147-$A145))/2</f>
        <v>395</v>
      </c>
      <c r="J146" s="7">
        <f t="shared" si="18"/>
        <v>43.9</v>
      </c>
    </row>
    <row r="147" spans="1:13">
      <c r="A147">
        <f t="shared" ref="A147:A188" si="21" xml:space="preserve"> A146 + 50</f>
        <v>101200</v>
      </c>
      <c r="B147" s="1">
        <v>0.1</v>
      </c>
      <c r="C147" s="1">
        <v>3.3</v>
      </c>
      <c r="D147" s="4">
        <f t="shared" si="19"/>
        <v>5</v>
      </c>
      <c r="E147" s="1">
        <v>9.1999999999999993</v>
      </c>
      <c r="F147" s="3">
        <f t="shared" si="16"/>
        <v>0.2</v>
      </c>
      <c r="G147" s="1">
        <f t="shared" si="20"/>
        <v>165</v>
      </c>
      <c r="H147" s="3">
        <f t="shared" si="17"/>
        <v>6.1</v>
      </c>
      <c r="I147" s="3">
        <f>($E147*($A148-$A145))/2</f>
        <v>690</v>
      </c>
      <c r="J147" s="7">
        <f t="shared" si="18"/>
        <v>76.7</v>
      </c>
      <c r="K147" s="7">
        <f>SUM(F145:F147)</f>
        <v>1.2</v>
      </c>
      <c r="L147" s="7">
        <f>SUM(H145:H147)</f>
        <v>14</v>
      </c>
      <c r="M147" s="7">
        <f>SUM(J145:J147)</f>
        <v>159.5</v>
      </c>
    </row>
    <row r="148" spans="1:13">
      <c r="A148">
        <f t="shared" si="21"/>
        <v>101250</v>
      </c>
      <c r="B148" s="1">
        <v>0</v>
      </c>
      <c r="C148" s="1">
        <v>6.8</v>
      </c>
      <c r="D148" s="4">
        <f t="shared" si="19"/>
        <v>0</v>
      </c>
      <c r="E148" s="1">
        <v>11.6</v>
      </c>
      <c r="F148" s="3">
        <f t="shared" si="16"/>
        <v>0</v>
      </c>
      <c r="G148" s="1">
        <f t="shared" si="20"/>
        <v>340</v>
      </c>
      <c r="H148" s="3">
        <f t="shared" si="17"/>
        <v>12.6</v>
      </c>
      <c r="I148" s="3">
        <f>($E148*($A149-$A147))/2</f>
        <v>580</v>
      </c>
      <c r="J148" s="7">
        <f t="shared" si="18"/>
        <v>64.400000000000006</v>
      </c>
    </row>
    <row r="149" spans="1:13">
      <c r="A149">
        <f t="shared" si="21"/>
        <v>101300</v>
      </c>
      <c r="B149" s="1">
        <v>8.9</v>
      </c>
      <c r="C149" s="1">
        <v>0</v>
      </c>
      <c r="D149" s="4">
        <f t="shared" si="19"/>
        <v>445</v>
      </c>
      <c r="E149" s="1">
        <v>0</v>
      </c>
      <c r="F149" s="3">
        <f t="shared" si="16"/>
        <v>16.5</v>
      </c>
      <c r="G149" s="1">
        <f t="shared" si="20"/>
        <v>0</v>
      </c>
      <c r="H149" s="3">
        <f t="shared" si="17"/>
        <v>0</v>
      </c>
      <c r="I149" s="3">
        <f>($E149*($A150-$A148))/2</f>
        <v>0</v>
      </c>
      <c r="J149" s="7">
        <f t="shared" si="18"/>
        <v>0</v>
      </c>
    </row>
    <row r="150" spans="1:13">
      <c r="A150">
        <f t="shared" si="21"/>
        <v>101350</v>
      </c>
      <c r="B150" s="1">
        <v>16.7</v>
      </c>
      <c r="C150" s="1">
        <v>34</v>
      </c>
      <c r="D150" s="4">
        <f t="shared" si="19"/>
        <v>835</v>
      </c>
      <c r="E150" s="1">
        <v>11.3</v>
      </c>
      <c r="F150" s="3">
        <f t="shared" si="16"/>
        <v>30.9</v>
      </c>
      <c r="G150" s="1">
        <f t="shared" si="20"/>
        <v>1700</v>
      </c>
      <c r="H150" s="3">
        <f t="shared" si="17"/>
        <v>63</v>
      </c>
      <c r="I150" s="3">
        <f>($E150*($A151-$A149))/2</f>
        <v>565</v>
      </c>
      <c r="J150" s="7">
        <f t="shared" si="18"/>
        <v>62.8</v>
      </c>
      <c r="K150" s="7">
        <f>SUM(F148:F150)</f>
        <v>47.4</v>
      </c>
      <c r="L150" s="7">
        <f>SUM(H148:H150)</f>
        <v>75.599999999999994</v>
      </c>
      <c r="M150" s="7">
        <f>SUM(J148:J150)</f>
        <v>127.2</v>
      </c>
    </row>
    <row r="151" spans="1:13">
      <c r="A151">
        <f t="shared" si="21"/>
        <v>101400</v>
      </c>
      <c r="B151" s="1">
        <v>67.3</v>
      </c>
      <c r="C151" s="1">
        <v>47.6</v>
      </c>
      <c r="D151" s="4">
        <f t="shared" si="19"/>
        <v>3365</v>
      </c>
      <c r="E151" s="1">
        <v>22.9</v>
      </c>
      <c r="F151" s="3">
        <f t="shared" si="16"/>
        <v>124.6</v>
      </c>
      <c r="G151" s="1">
        <f t="shared" si="20"/>
        <v>2380</v>
      </c>
      <c r="H151" s="3">
        <f t="shared" si="17"/>
        <v>88.1</v>
      </c>
      <c r="I151" s="3">
        <f>($E151*($A152-$A150))/2</f>
        <v>1145</v>
      </c>
      <c r="J151" s="7">
        <f t="shared" si="18"/>
        <v>127.2</v>
      </c>
    </row>
    <row r="152" spans="1:13">
      <c r="A152">
        <f t="shared" si="21"/>
        <v>101450</v>
      </c>
      <c r="B152" s="1">
        <v>85.2</v>
      </c>
      <c r="C152" s="1">
        <v>60.5</v>
      </c>
      <c r="D152" s="4">
        <f t="shared" si="19"/>
        <v>4260</v>
      </c>
      <c r="E152" s="1">
        <v>28.1</v>
      </c>
      <c r="F152" s="3">
        <f t="shared" si="16"/>
        <v>157.80000000000001</v>
      </c>
      <c r="G152" s="1">
        <f t="shared" si="20"/>
        <v>3025</v>
      </c>
      <c r="H152" s="3">
        <f t="shared" si="17"/>
        <v>112</v>
      </c>
      <c r="I152" s="3">
        <f>($E152*($A153-$A150))/2</f>
        <v>2107.5</v>
      </c>
      <c r="J152" s="7">
        <f t="shared" si="18"/>
        <v>234.1</v>
      </c>
      <c r="K152" s="7">
        <f>SUM(F151:F152)</f>
        <v>282.39999999999998</v>
      </c>
      <c r="L152" s="7">
        <f>SUM(H151:H152)</f>
        <v>200.1</v>
      </c>
      <c r="M152" s="7">
        <f>SUM(J151:J152)</f>
        <v>361.3</v>
      </c>
    </row>
    <row r="153" spans="1:13">
      <c r="A153">
        <f t="shared" si="21"/>
        <v>101500</v>
      </c>
      <c r="B153" s="1">
        <v>91.7</v>
      </c>
      <c r="C153" s="1">
        <v>60.6</v>
      </c>
      <c r="D153" s="4">
        <f t="shared" si="19"/>
        <v>4585</v>
      </c>
      <c r="E153" s="1">
        <v>22.1</v>
      </c>
      <c r="F153" s="3">
        <f t="shared" si="16"/>
        <v>169.8</v>
      </c>
      <c r="G153" s="1">
        <f t="shared" si="20"/>
        <v>3030</v>
      </c>
      <c r="H153" s="3">
        <f t="shared" si="17"/>
        <v>112.2</v>
      </c>
      <c r="I153" s="3">
        <f>($E153*($A154-$A152))/2</f>
        <v>1105</v>
      </c>
      <c r="J153" s="7">
        <f t="shared" si="18"/>
        <v>122.8</v>
      </c>
    </row>
    <row r="154" spans="1:13">
      <c r="A154">
        <f t="shared" si="21"/>
        <v>101550</v>
      </c>
      <c r="B154" s="1">
        <v>93</v>
      </c>
      <c r="C154" s="1">
        <v>36.5</v>
      </c>
      <c r="D154" s="4">
        <f t="shared" si="19"/>
        <v>4650</v>
      </c>
      <c r="E154" s="1">
        <v>11.6</v>
      </c>
      <c r="F154" s="3">
        <f t="shared" si="16"/>
        <v>172.2</v>
      </c>
      <c r="G154" s="1">
        <f t="shared" si="20"/>
        <v>1825</v>
      </c>
      <c r="H154" s="3">
        <f t="shared" si="17"/>
        <v>67.599999999999994</v>
      </c>
      <c r="I154" s="3">
        <f>($E154*($A155-$A153))/2</f>
        <v>580</v>
      </c>
      <c r="J154" s="7">
        <f t="shared" si="18"/>
        <v>64.400000000000006</v>
      </c>
      <c r="K154" s="7">
        <f>SUM(F153:F154)</f>
        <v>342</v>
      </c>
      <c r="L154" s="7">
        <f>SUM(H153:H154)</f>
        <v>179.8</v>
      </c>
      <c r="M154" s="7">
        <f>SUM(J153:J154)</f>
        <v>187.2</v>
      </c>
    </row>
    <row r="155" spans="1:13">
      <c r="A155">
        <f t="shared" si="21"/>
        <v>101600</v>
      </c>
      <c r="B155" s="1">
        <v>99.7</v>
      </c>
      <c r="C155" s="1">
        <v>19.600000000000001</v>
      </c>
      <c r="D155" s="4">
        <f t="shared" si="19"/>
        <v>4985</v>
      </c>
      <c r="E155" s="1">
        <v>12.6</v>
      </c>
      <c r="F155" s="3">
        <f t="shared" si="16"/>
        <v>184.6</v>
      </c>
      <c r="G155" s="1">
        <f t="shared" si="20"/>
        <v>980.00000000000011</v>
      </c>
      <c r="H155" s="3">
        <f t="shared" si="17"/>
        <v>36.299999999999997</v>
      </c>
      <c r="I155" s="3">
        <f>($E155*($A156-$A154))/2</f>
        <v>630</v>
      </c>
      <c r="J155" s="7">
        <f t="shared" si="18"/>
        <v>70</v>
      </c>
    </row>
    <row r="156" spans="1:13">
      <c r="A156">
        <f t="shared" si="21"/>
        <v>101650</v>
      </c>
      <c r="B156" s="1">
        <v>98.8</v>
      </c>
      <c r="C156" s="1">
        <v>10.199999999999999</v>
      </c>
      <c r="D156" s="4">
        <f t="shared" si="19"/>
        <v>4940</v>
      </c>
      <c r="E156" s="1">
        <v>6.1</v>
      </c>
      <c r="F156" s="3">
        <f t="shared" si="16"/>
        <v>183</v>
      </c>
      <c r="G156" s="1">
        <f t="shared" si="20"/>
        <v>509.99999999999994</v>
      </c>
      <c r="H156" s="3">
        <f t="shared" si="17"/>
        <v>18.899999999999999</v>
      </c>
      <c r="I156" s="3">
        <f>($E156*($A157-$A155))/2</f>
        <v>305</v>
      </c>
      <c r="J156" s="7">
        <f t="shared" si="18"/>
        <v>33.9</v>
      </c>
    </row>
    <row r="157" spans="1:13">
      <c r="A157">
        <f t="shared" si="21"/>
        <v>101700</v>
      </c>
      <c r="B157" s="1">
        <v>115.1</v>
      </c>
      <c r="C157" s="1">
        <v>0</v>
      </c>
      <c r="D157" s="4">
        <f t="shared" si="19"/>
        <v>5755</v>
      </c>
      <c r="E157" s="1">
        <v>0</v>
      </c>
      <c r="F157" s="3">
        <f t="shared" si="16"/>
        <v>213.1</v>
      </c>
      <c r="G157" s="1">
        <f t="shared" si="20"/>
        <v>0</v>
      </c>
      <c r="H157" s="3">
        <f t="shared" si="17"/>
        <v>0</v>
      </c>
      <c r="I157" s="3">
        <f>($E157*($A158-$A155))/2</f>
        <v>0</v>
      </c>
      <c r="J157" s="7">
        <f t="shared" si="18"/>
        <v>0</v>
      </c>
      <c r="K157" s="7">
        <f>SUM(F155:F157)</f>
        <v>580.70000000000005</v>
      </c>
      <c r="L157" s="7">
        <f>SUM(H155:H157)</f>
        <v>55.199999999999996</v>
      </c>
      <c r="M157" s="7">
        <f>SUM(J155:J157)</f>
        <v>103.9</v>
      </c>
    </row>
    <row r="158" spans="1:13">
      <c r="A158">
        <f t="shared" si="21"/>
        <v>101750</v>
      </c>
      <c r="B158" s="1">
        <v>101.2</v>
      </c>
      <c r="C158" s="1">
        <v>1.5</v>
      </c>
      <c r="D158" s="4">
        <f t="shared" si="19"/>
        <v>5060</v>
      </c>
      <c r="E158" s="1">
        <v>3</v>
      </c>
      <c r="F158" s="3">
        <f t="shared" si="16"/>
        <v>187.4</v>
      </c>
      <c r="G158" s="1">
        <f t="shared" si="20"/>
        <v>75</v>
      </c>
      <c r="H158" s="3">
        <f t="shared" si="17"/>
        <v>2.8</v>
      </c>
      <c r="I158" s="3">
        <f t="shared" ref="I158:I188" si="22">($E158*($A159-$A157))/2</f>
        <v>150</v>
      </c>
      <c r="J158" s="7">
        <f t="shared" si="18"/>
        <v>16.7</v>
      </c>
    </row>
    <row r="159" spans="1:13">
      <c r="A159">
        <f t="shared" si="21"/>
        <v>101800</v>
      </c>
      <c r="B159" s="1">
        <v>116</v>
      </c>
      <c r="C159" s="1">
        <v>4.3</v>
      </c>
      <c r="D159" s="4">
        <f t="shared" si="19"/>
        <v>5800</v>
      </c>
      <c r="E159" s="1">
        <v>12.6</v>
      </c>
      <c r="F159" s="3">
        <f t="shared" si="16"/>
        <v>214.8</v>
      </c>
      <c r="G159" s="1">
        <f t="shared" si="20"/>
        <v>215</v>
      </c>
      <c r="H159" s="3">
        <f t="shared" si="17"/>
        <v>8</v>
      </c>
      <c r="I159" s="3">
        <f t="shared" si="22"/>
        <v>630</v>
      </c>
      <c r="J159" s="7">
        <f t="shared" si="18"/>
        <v>70</v>
      </c>
    </row>
    <row r="160" spans="1:13">
      <c r="A160">
        <f t="shared" si="21"/>
        <v>101850</v>
      </c>
      <c r="B160" s="1">
        <v>57.3</v>
      </c>
      <c r="C160" s="1">
        <v>0.5</v>
      </c>
      <c r="D160" s="4">
        <f t="shared" si="19"/>
        <v>2865</v>
      </c>
      <c r="E160" s="1">
        <v>7.8</v>
      </c>
      <c r="F160" s="3">
        <f t="shared" si="16"/>
        <v>106.1</v>
      </c>
      <c r="G160" s="1">
        <f t="shared" si="20"/>
        <v>25</v>
      </c>
      <c r="H160" s="3">
        <f t="shared" si="17"/>
        <v>0.9</v>
      </c>
      <c r="I160" s="3">
        <f t="shared" si="22"/>
        <v>390</v>
      </c>
      <c r="J160" s="7">
        <f t="shared" si="18"/>
        <v>43.3</v>
      </c>
      <c r="K160" s="7">
        <f>SUM(F158:F160)</f>
        <v>508.30000000000007</v>
      </c>
      <c r="L160" s="7">
        <f>SUM(H158:H160)</f>
        <v>11.700000000000001</v>
      </c>
      <c r="M160" s="7">
        <f>SUM(J158:J160)</f>
        <v>130</v>
      </c>
    </row>
    <row r="161" spans="1:13">
      <c r="A161">
        <f t="shared" si="21"/>
        <v>101900</v>
      </c>
      <c r="B161" s="1">
        <v>0</v>
      </c>
      <c r="C161" s="1">
        <v>0</v>
      </c>
      <c r="D161" s="4">
        <f t="shared" si="19"/>
        <v>0</v>
      </c>
      <c r="E161" s="1">
        <v>0</v>
      </c>
      <c r="F161" s="3">
        <f t="shared" si="16"/>
        <v>0</v>
      </c>
      <c r="G161" s="1">
        <f t="shared" si="20"/>
        <v>0</v>
      </c>
      <c r="H161" s="3">
        <f t="shared" si="17"/>
        <v>0</v>
      </c>
      <c r="I161" s="3">
        <f t="shared" si="22"/>
        <v>0</v>
      </c>
      <c r="J161" s="7">
        <f t="shared" si="18"/>
        <v>0</v>
      </c>
    </row>
    <row r="162" spans="1:13">
      <c r="A162">
        <f t="shared" si="21"/>
        <v>101950</v>
      </c>
      <c r="B162" s="1">
        <v>22.5</v>
      </c>
      <c r="C162" s="1">
        <v>6.2</v>
      </c>
      <c r="D162" s="4">
        <f t="shared" si="19"/>
        <v>1125</v>
      </c>
      <c r="E162" s="1">
        <v>2.8</v>
      </c>
      <c r="F162" s="3">
        <f t="shared" si="16"/>
        <v>41.7</v>
      </c>
      <c r="G162" s="1">
        <f t="shared" si="20"/>
        <v>310</v>
      </c>
      <c r="H162" s="3">
        <f t="shared" si="17"/>
        <v>11.5</v>
      </c>
      <c r="I162" s="3">
        <f t="shared" si="22"/>
        <v>140</v>
      </c>
      <c r="J162" s="7">
        <f t="shared" si="18"/>
        <v>15.6</v>
      </c>
    </row>
    <row r="163" spans="1:13">
      <c r="A163">
        <f t="shared" si="21"/>
        <v>102000</v>
      </c>
      <c r="B163" s="1">
        <v>64.900000000000006</v>
      </c>
      <c r="C163" s="1">
        <v>0.6</v>
      </c>
      <c r="D163" s="4">
        <f t="shared" si="19"/>
        <v>3245.0000000000005</v>
      </c>
      <c r="E163" s="1">
        <v>10</v>
      </c>
      <c r="F163" s="3">
        <f t="shared" si="16"/>
        <v>120.2</v>
      </c>
      <c r="G163" s="1">
        <f t="shared" si="20"/>
        <v>30</v>
      </c>
      <c r="H163" s="3">
        <f t="shared" si="17"/>
        <v>1.1000000000000001</v>
      </c>
      <c r="I163" s="3">
        <f t="shared" si="22"/>
        <v>500</v>
      </c>
      <c r="J163" s="7">
        <f t="shared" si="18"/>
        <v>55.6</v>
      </c>
      <c r="K163" s="7">
        <f>SUM(F161:F163)</f>
        <v>161.9</v>
      </c>
      <c r="L163" s="7">
        <f>SUM(H161:H163)</f>
        <v>12.6</v>
      </c>
      <c r="M163" s="7">
        <f>SUM(J161:J163)</f>
        <v>71.2</v>
      </c>
    </row>
    <row r="164" spans="1:13">
      <c r="A164">
        <f t="shared" si="21"/>
        <v>102050</v>
      </c>
      <c r="B164" s="1">
        <v>71.099999999999994</v>
      </c>
      <c r="C164" s="1">
        <v>1</v>
      </c>
      <c r="D164" s="4">
        <f t="shared" si="19"/>
        <v>3554.9999999999995</v>
      </c>
      <c r="E164" s="1">
        <v>12.5</v>
      </c>
      <c r="F164" s="3">
        <f t="shared" si="16"/>
        <v>131.69999999999999</v>
      </c>
      <c r="G164" s="1">
        <f t="shared" si="20"/>
        <v>50</v>
      </c>
      <c r="H164" s="3">
        <f t="shared" si="17"/>
        <v>1.9</v>
      </c>
      <c r="I164" s="3">
        <f t="shared" si="22"/>
        <v>625</v>
      </c>
      <c r="J164" s="7">
        <f t="shared" si="18"/>
        <v>69.400000000000006</v>
      </c>
    </row>
    <row r="165" spans="1:13">
      <c r="A165">
        <f t="shared" si="21"/>
        <v>102100</v>
      </c>
      <c r="B165" s="1">
        <v>55.5</v>
      </c>
      <c r="C165" s="1">
        <v>1.2</v>
      </c>
      <c r="D165" s="4">
        <f t="shared" si="19"/>
        <v>2775</v>
      </c>
      <c r="E165" s="1">
        <v>9.4</v>
      </c>
      <c r="F165" s="3">
        <f t="shared" si="16"/>
        <v>102.8</v>
      </c>
      <c r="G165" s="1">
        <f t="shared" si="20"/>
        <v>60</v>
      </c>
      <c r="H165" s="3">
        <f t="shared" si="17"/>
        <v>2.2000000000000002</v>
      </c>
      <c r="I165" s="3">
        <f t="shared" si="22"/>
        <v>470</v>
      </c>
      <c r="J165" s="7">
        <f t="shared" si="18"/>
        <v>52.2</v>
      </c>
    </row>
    <row r="166" spans="1:13">
      <c r="A166">
        <f t="shared" si="21"/>
        <v>102150</v>
      </c>
      <c r="B166" s="1">
        <v>41.7</v>
      </c>
      <c r="C166" s="1">
        <v>0.9</v>
      </c>
      <c r="D166" s="4">
        <f t="shared" si="19"/>
        <v>2085</v>
      </c>
      <c r="E166" s="1">
        <v>4.9000000000000004</v>
      </c>
      <c r="F166" s="3">
        <f t="shared" si="16"/>
        <v>77.2</v>
      </c>
      <c r="G166" s="1">
        <f t="shared" si="20"/>
        <v>45</v>
      </c>
      <c r="H166" s="3">
        <f t="shared" si="17"/>
        <v>1.7</v>
      </c>
      <c r="I166" s="3">
        <f t="shared" si="22"/>
        <v>245.00000000000003</v>
      </c>
      <c r="J166" s="7">
        <f t="shared" si="18"/>
        <v>27.2</v>
      </c>
      <c r="K166" s="7">
        <f>SUM(F164:F166)</f>
        <v>311.7</v>
      </c>
      <c r="L166" s="7">
        <f>SUM(H164:H166)</f>
        <v>5.8</v>
      </c>
      <c r="M166" s="7">
        <f>SUM(J164:J166)</f>
        <v>148.80000000000001</v>
      </c>
    </row>
    <row r="167" spans="1:13">
      <c r="A167">
        <f t="shared" si="21"/>
        <v>102200</v>
      </c>
      <c r="B167" s="1">
        <v>25.4</v>
      </c>
      <c r="C167" s="1">
        <v>1.5</v>
      </c>
      <c r="D167" s="4">
        <f t="shared" si="19"/>
        <v>1270</v>
      </c>
      <c r="E167" s="1">
        <v>7.2</v>
      </c>
      <c r="F167" s="3">
        <f t="shared" si="16"/>
        <v>47</v>
      </c>
      <c r="G167" s="1">
        <f t="shared" si="20"/>
        <v>75</v>
      </c>
      <c r="H167" s="3">
        <f t="shared" si="17"/>
        <v>2.8</v>
      </c>
      <c r="I167" s="3">
        <f t="shared" si="22"/>
        <v>360</v>
      </c>
      <c r="J167" s="7">
        <f t="shared" si="18"/>
        <v>40</v>
      </c>
    </row>
    <row r="168" spans="1:13">
      <c r="A168">
        <f t="shared" si="21"/>
        <v>102250</v>
      </c>
      <c r="B168" s="1">
        <v>20.8</v>
      </c>
      <c r="C168" s="1">
        <v>10.8</v>
      </c>
      <c r="D168" s="4">
        <f t="shared" si="19"/>
        <v>1040</v>
      </c>
      <c r="E168" s="1">
        <v>12.6</v>
      </c>
      <c r="F168" s="3">
        <f t="shared" si="16"/>
        <v>38.5</v>
      </c>
      <c r="G168" s="1">
        <f t="shared" si="20"/>
        <v>540</v>
      </c>
      <c r="H168" s="3">
        <f t="shared" si="17"/>
        <v>20</v>
      </c>
      <c r="I168" s="3">
        <f t="shared" si="22"/>
        <v>630</v>
      </c>
      <c r="J168" s="7">
        <f t="shared" si="18"/>
        <v>70</v>
      </c>
    </row>
    <row r="169" spans="1:13">
      <c r="A169">
        <f t="shared" si="21"/>
        <v>102300</v>
      </c>
      <c r="B169" s="1">
        <v>23.2</v>
      </c>
      <c r="C169" s="1">
        <v>3.4</v>
      </c>
      <c r="D169" s="4">
        <f t="shared" si="19"/>
        <v>1160</v>
      </c>
      <c r="E169" s="1">
        <v>8.9</v>
      </c>
      <c r="F169" s="3">
        <f t="shared" si="16"/>
        <v>43</v>
      </c>
      <c r="G169" s="1">
        <f t="shared" si="20"/>
        <v>170</v>
      </c>
      <c r="H169" s="3">
        <f t="shared" si="17"/>
        <v>6.3</v>
      </c>
      <c r="I169" s="3">
        <f t="shared" si="22"/>
        <v>445</v>
      </c>
      <c r="J169" s="7">
        <f t="shared" si="18"/>
        <v>49.4</v>
      </c>
      <c r="K169" s="7">
        <f>SUM(F167:F169)</f>
        <v>128.5</v>
      </c>
      <c r="L169" s="7">
        <f>SUM(H167:H169)</f>
        <v>29.1</v>
      </c>
      <c r="M169" s="7">
        <f>SUM(J167:J169)</f>
        <v>159.4</v>
      </c>
    </row>
    <row r="170" spans="1:13">
      <c r="A170">
        <f t="shared" si="21"/>
        <v>102350</v>
      </c>
      <c r="B170" s="1">
        <v>19.7</v>
      </c>
      <c r="C170" s="1">
        <v>3.1</v>
      </c>
      <c r="D170" s="4">
        <f t="shared" si="19"/>
        <v>985</v>
      </c>
      <c r="E170" s="1">
        <v>9.1</v>
      </c>
      <c r="F170" s="3">
        <f t="shared" si="16"/>
        <v>36.5</v>
      </c>
      <c r="G170" s="1">
        <f t="shared" si="20"/>
        <v>155</v>
      </c>
      <c r="H170" s="3">
        <f t="shared" si="17"/>
        <v>5.7</v>
      </c>
      <c r="I170" s="3">
        <f t="shared" si="22"/>
        <v>455</v>
      </c>
      <c r="J170" s="7">
        <f t="shared" si="18"/>
        <v>50.6</v>
      </c>
    </row>
    <row r="171" spans="1:13">
      <c r="A171">
        <f t="shared" si="21"/>
        <v>102400</v>
      </c>
      <c r="B171" s="1">
        <v>0</v>
      </c>
      <c r="C171" s="1">
        <v>4.8</v>
      </c>
      <c r="D171" s="4">
        <f t="shared" si="19"/>
        <v>0</v>
      </c>
      <c r="E171" s="1">
        <v>9</v>
      </c>
      <c r="F171" s="3">
        <f t="shared" si="16"/>
        <v>0</v>
      </c>
      <c r="G171" s="1">
        <f t="shared" si="20"/>
        <v>240</v>
      </c>
      <c r="H171" s="3">
        <f t="shared" si="17"/>
        <v>8.9</v>
      </c>
      <c r="I171" s="3">
        <f t="shared" si="22"/>
        <v>450</v>
      </c>
      <c r="J171" s="7">
        <f t="shared" si="18"/>
        <v>50</v>
      </c>
    </row>
    <row r="172" spans="1:13">
      <c r="A172">
        <f t="shared" si="21"/>
        <v>102450</v>
      </c>
      <c r="B172" s="1">
        <v>0</v>
      </c>
      <c r="C172" s="1">
        <v>10.5</v>
      </c>
      <c r="D172" s="4">
        <f t="shared" si="19"/>
        <v>0</v>
      </c>
      <c r="E172" s="1">
        <v>12</v>
      </c>
      <c r="F172" s="3">
        <f t="shared" si="16"/>
        <v>0</v>
      </c>
      <c r="G172" s="1">
        <f t="shared" si="20"/>
        <v>525</v>
      </c>
      <c r="H172" s="3">
        <f t="shared" si="17"/>
        <v>19.399999999999999</v>
      </c>
      <c r="I172" s="3">
        <f t="shared" si="22"/>
        <v>600</v>
      </c>
      <c r="J172" s="7">
        <f t="shared" si="18"/>
        <v>66.7</v>
      </c>
      <c r="K172" s="7">
        <f>SUM(F170:F172)</f>
        <v>36.5</v>
      </c>
      <c r="L172" s="7">
        <f>SUM(H170:H172)</f>
        <v>34</v>
      </c>
      <c r="M172" s="7">
        <f>SUM(J170:J172)</f>
        <v>167.3</v>
      </c>
    </row>
    <row r="173" spans="1:13">
      <c r="A173">
        <f t="shared" si="21"/>
        <v>102500</v>
      </c>
      <c r="B173" s="1">
        <v>0.8</v>
      </c>
      <c r="C173" s="1">
        <v>0</v>
      </c>
      <c r="D173" s="4">
        <f t="shared" si="19"/>
        <v>40</v>
      </c>
      <c r="E173" s="1">
        <v>0</v>
      </c>
      <c r="F173" s="3">
        <f t="shared" si="16"/>
        <v>1.5</v>
      </c>
      <c r="G173" s="1">
        <f t="shared" si="20"/>
        <v>0</v>
      </c>
      <c r="H173" s="3">
        <f t="shared" si="17"/>
        <v>0</v>
      </c>
      <c r="I173" s="3">
        <f t="shared" si="22"/>
        <v>0</v>
      </c>
      <c r="J173" s="7">
        <f t="shared" si="18"/>
        <v>0</v>
      </c>
    </row>
    <row r="174" spans="1:13">
      <c r="A174">
        <f t="shared" si="21"/>
        <v>102550</v>
      </c>
      <c r="B174" s="1">
        <v>3.5</v>
      </c>
      <c r="C174" s="1">
        <v>0.6</v>
      </c>
      <c r="D174" s="4">
        <f t="shared" si="19"/>
        <v>175</v>
      </c>
      <c r="E174" s="1">
        <v>8.1999999999999993</v>
      </c>
      <c r="F174" s="3">
        <f t="shared" si="16"/>
        <v>6.5</v>
      </c>
      <c r="G174" s="1">
        <f t="shared" si="20"/>
        <v>30</v>
      </c>
      <c r="H174" s="3">
        <f t="shared" si="17"/>
        <v>1.1000000000000001</v>
      </c>
      <c r="I174" s="3">
        <f t="shared" si="22"/>
        <v>409.99999999999994</v>
      </c>
      <c r="J174" s="7">
        <f t="shared" si="18"/>
        <v>45.6</v>
      </c>
    </row>
    <row r="175" spans="1:13">
      <c r="A175">
        <f t="shared" si="21"/>
        <v>102600</v>
      </c>
      <c r="B175" s="1">
        <v>0.7</v>
      </c>
      <c r="C175" s="1">
        <v>1.8</v>
      </c>
      <c r="D175" s="4">
        <f t="shared" si="19"/>
        <v>35</v>
      </c>
      <c r="E175" s="1">
        <v>8.4</v>
      </c>
      <c r="F175" s="3">
        <f t="shared" si="16"/>
        <v>1.3</v>
      </c>
      <c r="G175" s="1">
        <f t="shared" si="20"/>
        <v>90</v>
      </c>
      <c r="H175" s="3">
        <f t="shared" si="17"/>
        <v>3.3</v>
      </c>
      <c r="I175" s="3">
        <f t="shared" si="22"/>
        <v>420</v>
      </c>
      <c r="J175" s="7">
        <f t="shared" si="18"/>
        <v>46.7</v>
      </c>
      <c r="K175" s="7">
        <f>SUM(F173:F175)</f>
        <v>9.3000000000000007</v>
      </c>
      <c r="L175" s="7">
        <f>SUM(H173:H175)</f>
        <v>4.4000000000000004</v>
      </c>
      <c r="M175" s="7">
        <f>SUM(J173:J175)</f>
        <v>92.300000000000011</v>
      </c>
    </row>
    <row r="176" spans="1:13">
      <c r="A176">
        <f t="shared" si="21"/>
        <v>102650</v>
      </c>
      <c r="B176" s="1">
        <v>0</v>
      </c>
      <c r="C176" s="1">
        <v>3.6</v>
      </c>
      <c r="D176" s="4">
        <f t="shared" si="19"/>
        <v>0</v>
      </c>
      <c r="E176" s="1">
        <v>9.5</v>
      </c>
      <c r="F176" s="3">
        <f t="shared" si="16"/>
        <v>0</v>
      </c>
      <c r="G176" s="1">
        <f t="shared" si="20"/>
        <v>180</v>
      </c>
      <c r="H176" s="3">
        <f t="shared" si="17"/>
        <v>6.7</v>
      </c>
      <c r="I176" s="3">
        <f t="shared" si="22"/>
        <v>475</v>
      </c>
      <c r="J176" s="7">
        <f t="shared" si="18"/>
        <v>52.8</v>
      </c>
    </row>
    <row r="177" spans="1:13">
      <c r="A177">
        <f t="shared" si="21"/>
        <v>102700</v>
      </c>
      <c r="B177" s="1">
        <v>0</v>
      </c>
      <c r="C177" s="1">
        <v>5</v>
      </c>
      <c r="D177" s="4">
        <f t="shared" si="19"/>
        <v>0</v>
      </c>
      <c r="E177" s="1">
        <v>9.8000000000000007</v>
      </c>
      <c r="F177" s="3">
        <f t="shared" si="16"/>
        <v>0</v>
      </c>
      <c r="G177" s="1">
        <f t="shared" si="20"/>
        <v>250</v>
      </c>
      <c r="H177" s="3">
        <f t="shared" si="17"/>
        <v>9.3000000000000007</v>
      </c>
      <c r="I177" s="3">
        <f t="shared" si="22"/>
        <v>490.00000000000006</v>
      </c>
      <c r="J177" s="7">
        <f t="shared" si="18"/>
        <v>54.4</v>
      </c>
    </row>
    <row r="178" spans="1:13">
      <c r="A178">
        <f t="shared" si="21"/>
        <v>102750</v>
      </c>
      <c r="B178" s="1">
        <v>0.1</v>
      </c>
      <c r="C178" s="1">
        <v>3.3</v>
      </c>
      <c r="D178" s="4">
        <f t="shared" si="19"/>
        <v>5</v>
      </c>
      <c r="E178" s="1">
        <v>9.6</v>
      </c>
      <c r="F178" s="3">
        <f t="shared" si="16"/>
        <v>0.2</v>
      </c>
      <c r="G178" s="1">
        <f t="shared" si="20"/>
        <v>165</v>
      </c>
      <c r="H178" s="3">
        <f t="shared" si="17"/>
        <v>6.1</v>
      </c>
      <c r="I178" s="3">
        <f t="shared" si="22"/>
        <v>480</v>
      </c>
      <c r="J178" s="7">
        <f t="shared" si="18"/>
        <v>53.3</v>
      </c>
      <c r="K178" s="7">
        <f>SUM(F176:F178)</f>
        <v>0.2</v>
      </c>
      <c r="L178" s="7">
        <f>SUM(H176:H178)</f>
        <v>22.1</v>
      </c>
      <c r="M178" s="7">
        <f>SUM(J176:J178)</f>
        <v>160.5</v>
      </c>
    </row>
    <row r="179" spans="1:13">
      <c r="A179">
        <f t="shared" si="21"/>
        <v>102800</v>
      </c>
      <c r="B179" s="1">
        <v>0</v>
      </c>
      <c r="C179" s="1">
        <v>6.2</v>
      </c>
      <c r="D179" s="4">
        <f t="shared" si="19"/>
        <v>0</v>
      </c>
      <c r="E179" s="1">
        <v>10.7</v>
      </c>
      <c r="F179" s="3">
        <f t="shared" si="16"/>
        <v>0</v>
      </c>
      <c r="G179" s="1">
        <f t="shared" si="20"/>
        <v>310</v>
      </c>
      <c r="H179" s="3">
        <f t="shared" si="17"/>
        <v>11.5</v>
      </c>
      <c r="I179" s="3">
        <f t="shared" si="22"/>
        <v>535</v>
      </c>
      <c r="J179" s="7">
        <f t="shared" si="18"/>
        <v>59.4</v>
      </c>
    </row>
    <row r="180" spans="1:13">
      <c r="A180">
        <f t="shared" si="21"/>
        <v>102850</v>
      </c>
      <c r="B180" s="1">
        <v>3</v>
      </c>
      <c r="C180" s="1">
        <v>2</v>
      </c>
      <c r="D180" s="4">
        <f t="shared" si="19"/>
        <v>150</v>
      </c>
      <c r="E180" s="1">
        <v>11.3</v>
      </c>
      <c r="F180" s="3">
        <f t="shared" si="16"/>
        <v>5.6</v>
      </c>
      <c r="G180" s="1">
        <f t="shared" si="20"/>
        <v>100</v>
      </c>
      <c r="H180" s="3">
        <f t="shared" si="17"/>
        <v>3.7</v>
      </c>
      <c r="I180" s="3">
        <f t="shared" si="22"/>
        <v>565</v>
      </c>
      <c r="J180" s="7">
        <f t="shared" si="18"/>
        <v>62.8</v>
      </c>
    </row>
    <row r="181" spans="1:13">
      <c r="A181">
        <f t="shared" si="21"/>
        <v>102900</v>
      </c>
      <c r="B181" s="1">
        <v>0</v>
      </c>
      <c r="C181" s="1">
        <v>0</v>
      </c>
      <c r="D181" s="4">
        <f t="shared" si="19"/>
        <v>0</v>
      </c>
      <c r="E181" s="1">
        <v>0</v>
      </c>
      <c r="F181" s="3">
        <f t="shared" si="16"/>
        <v>0</v>
      </c>
      <c r="G181" s="1">
        <f t="shared" si="20"/>
        <v>0</v>
      </c>
      <c r="H181" s="3">
        <f t="shared" si="17"/>
        <v>0</v>
      </c>
      <c r="I181" s="3">
        <f t="shared" si="22"/>
        <v>0</v>
      </c>
      <c r="J181" s="7">
        <f t="shared" si="18"/>
        <v>0</v>
      </c>
      <c r="K181" s="7">
        <f>SUM(F179:F181)</f>
        <v>5.6</v>
      </c>
      <c r="L181" s="7">
        <f>SUM(H179:H181)</f>
        <v>15.2</v>
      </c>
      <c r="M181" s="7">
        <f>SUM(J179:J181)</f>
        <v>122.19999999999999</v>
      </c>
    </row>
    <row r="182" spans="1:13">
      <c r="A182">
        <f t="shared" si="21"/>
        <v>102950</v>
      </c>
      <c r="B182" s="1">
        <v>0</v>
      </c>
      <c r="C182" s="1">
        <v>0</v>
      </c>
      <c r="D182" s="4">
        <f t="shared" si="19"/>
        <v>0</v>
      </c>
      <c r="E182" s="1">
        <v>0</v>
      </c>
      <c r="F182" s="3">
        <f t="shared" si="16"/>
        <v>0</v>
      </c>
      <c r="G182" s="1">
        <f t="shared" si="20"/>
        <v>0</v>
      </c>
      <c r="H182" s="3">
        <f t="shared" si="17"/>
        <v>0</v>
      </c>
      <c r="I182" s="3">
        <f t="shared" si="22"/>
        <v>0</v>
      </c>
      <c r="J182" s="7">
        <f t="shared" si="18"/>
        <v>0</v>
      </c>
    </row>
    <row r="183" spans="1:13">
      <c r="A183">
        <f t="shared" si="21"/>
        <v>103000</v>
      </c>
      <c r="B183" s="1">
        <v>0</v>
      </c>
      <c r="C183" s="1">
        <v>0</v>
      </c>
      <c r="D183" s="4">
        <f t="shared" si="19"/>
        <v>0</v>
      </c>
      <c r="E183" s="1">
        <v>0</v>
      </c>
      <c r="F183" s="3">
        <f t="shared" si="16"/>
        <v>0</v>
      </c>
      <c r="G183" s="1">
        <f t="shared" si="20"/>
        <v>0</v>
      </c>
      <c r="H183" s="3">
        <f t="shared" si="17"/>
        <v>0</v>
      </c>
      <c r="I183" s="3">
        <f t="shared" si="22"/>
        <v>0</v>
      </c>
      <c r="J183" s="7">
        <f t="shared" si="18"/>
        <v>0</v>
      </c>
    </row>
    <row r="184" spans="1:13">
      <c r="A184">
        <f t="shared" si="21"/>
        <v>103050</v>
      </c>
      <c r="B184" s="1">
        <v>0</v>
      </c>
      <c r="C184" s="1">
        <v>0</v>
      </c>
      <c r="D184" s="4">
        <f t="shared" si="19"/>
        <v>0</v>
      </c>
      <c r="E184" s="1">
        <v>0</v>
      </c>
      <c r="F184" s="3">
        <f t="shared" si="16"/>
        <v>0</v>
      </c>
      <c r="G184" s="1">
        <f t="shared" si="20"/>
        <v>0</v>
      </c>
      <c r="H184" s="3">
        <f t="shared" si="17"/>
        <v>0</v>
      </c>
      <c r="I184" s="3">
        <f t="shared" si="22"/>
        <v>0</v>
      </c>
      <c r="J184" s="7">
        <f t="shared" si="18"/>
        <v>0</v>
      </c>
      <c r="K184" s="7">
        <f>SUM(F182:F184)</f>
        <v>0</v>
      </c>
      <c r="L184" s="7">
        <f>SUM(H182:H184)</f>
        <v>0</v>
      </c>
      <c r="M184" s="7">
        <f>SUM(J182:J184)</f>
        <v>0</v>
      </c>
    </row>
    <row r="185" spans="1:13">
      <c r="A185">
        <f t="shared" si="21"/>
        <v>103100</v>
      </c>
      <c r="B185" s="1">
        <v>0</v>
      </c>
      <c r="C185" s="1">
        <v>0</v>
      </c>
      <c r="D185" s="4">
        <f t="shared" si="19"/>
        <v>0</v>
      </c>
      <c r="E185" s="1">
        <v>0</v>
      </c>
      <c r="F185" s="3">
        <f t="shared" si="16"/>
        <v>0</v>
      </c>
      <c r="G185" s="1">
        <f t="shared" si="20"/>
        <v>0</v>
      </c>
      <c r="H185" s="3">
        <f t="shared" si="17"/>
        <v>0</v>
      </c>
      <c r="I185" s="3">
        <f t="shared" si="22"/>
        <v>0</v>
      </c>
      <c r="J185" s="7">
        <f t="shared" si="18"/>
        <v>0</v>
      </c>
    </row>
    <row r="186" spans="1:13">
      <c r="A186">
        <f t="shared" si="21"/>
        <v>103150</v>
      </c>
      <c r="B186" s="1">
        <v>0</v>
      </c>
      <c r="C186" s="1">
        <v>0</v>
      </c>
      <c r="D186" s="4">
        <f t="shared" si="19"/>
        <v>0</v>
      </c>
      <c r="E186" s="1">
        <v>0</v>
      </c>
      <c r="F186" s="3">
        <f t="shared" si="16"/>
        <v>0</v>
      </c>
      <c r="G186" s="1">
        <f t="shared" si="20"/>
        <v>0</v>
      </c>
      <c r="H186" s="3">
        <f t="shared" si="17"/>
        <v>0</v>
      </c>
      <c r="I186" s="3">
        <f t="shared" si="22"/>
        <v>0</v>
      </c>
      <c r="J186" s="7">
        <f t="shared" si="18"/>
        <v>0</v>
      </c>
    </row>
    <row r="187" spans="1:13">
      <c r="A187">
        <f t="shared" si="21"/>
        <v>103200</v>
      </c>
      <c r="B187" s="1">
        <v>0</v>
      </c>
      <c r="C187" s="1">
        <v>0</v>
      </c>
      <c r="D187" s="4">
        <f t="shared" si="19"/>
        <v>0</v>
      </c>
      <c r="E187" s="1">
        <v>0</v>
      </c>
      <c r="F187" s="3">
        <f t="shared" si="16"/>
        <v>0</v>
      </c>
      <c r="G187" s="1">
        <f t="shared" si="20"/>
        <v>0</v>
      </c>
      <c r="H187" s="3">
        <f t="shared" si="17"/>
        <v>0</v>
      </c>
      <c r="I187" s="3">
        <f t="shared" si="22"/>
        <v>0</v>
      </c>
      <c r="J187" s="7">
        <f t="shared" si="18"/>
        <v>0</v>
      </c>
      <c r="K187" s="7">
        <f>SUM(F185:F187)</f>
        <v>0</v>
      </c>
      <c r="L187" s="7">
        <f>SUM(H185:H187)</f>
        <v>0</v>
      </c>
      <c r="M187" s="7">
        <f>SUM(J185:J187)</f>
        <v>0</v>
      </c>
    </row>
    <row r="188" spans="1:13">
      <c r="A188">
        <f t="shared" si="21"/>
        <v>103250</v>
      </c>
      <c r="B188" s="1">
        <v>0</v>
      </c>
      <c r="C188" s="1">
        <v>0</v>
      </c>
      <c r="D188" s="4">
        <f t="shared" si="19"/>
        <v>0</v>
      </c>
      <c r="E188" s="1">
        <v>0</v>
      </c>
      <c r="F188" s="3">
        <f t="shared" si="16"/>
        <v>0</v>
      </c>
      <c r="G188" s="1">
        <f t="shared" si="20"/>
        <v>0</v>
      </c>
      <c r="H188" s="3">
        <f t="shared" si="17"/>
        <v>0</v>
      </c>
      <c r="I188" s="3">
        <f t="shared" si="22"/>
        <v>0</v>
      </c>
      <c r="J188" s="7">
        <f t="shared" si="18"/>
        <v>0</v>
      </c>
      <c r="K188">
        <v>0</v>
      </c>
      <c r="L188">
        <v>0</v>
      </c>
      <c r="M188">
        <v>0</v>
      </c>
    </row>
    <row r="189" spans="1:13">
      <c r="D189" s="4"/>
      <c r="F189" s="3"/>
      <c r="H189" s="3"/>
      <c r="I189" s="3"/>
      <c r="J189" s="7"/>
      <c r="K189" s="7"/>
      <c r="L189" s="7"/>
      <c r="M189" s="7"/>
    </row>
    <row r="190" spans="1:13">
      <c r="D190" s="4"/>
      <c r="F190" s="3"/>
      <c r="H190" s="3"/>
      <c r="I190" s="3"/>
      <c r="J190" s="7"/>
      <c r="K190" s="7"/>
      <c r="L190" s="7"/>
      <c r="M190" s="7"/>
    </row>
    <row r="191" spans="1:13">
      <c r="D191" s="4"/>
      <c r="F191" s="3"/>
      <c r="H191" s="3"/>
      <c r="I191" s="3"/>
      <c r="J191" s="7"/>
    </row>
    <row r="192" spans="1:13">
      <c r="D192" s="4"/>
      <c r="F192" s="3"/>
      <c r="H192" s="3"/>
      <c r="I192" s="3"/>
      <c r="J192" s="7"/>
      <c r="K192" s="7"/>
      <c r="L192" s="7"/>
      <c r="M192" s="7"/>
    </row>
    <row r="193" spans="3:13">
      <c r="D193" s="4"/>
      <c r="F193" s="3"/>
      <c r="H193" s="3"/>
      <c r="I193" s="3"/>
      <c r="J193" s="7"/>
    </row>
    <row r="194" spans="3:13">
      <c r="D194" s="4"/>
      <c r="F194" s="3"/>
      <c r="H194" s="3"/>
      <c r="I194" s="3"/>
      <c r="J194" s="7"/>
    </row>
    <row r="195" spans="3:13">
      <c r="D195" s="4"/>
      <c r="F195" s="3"/>
      <c r="H195" s="3"/>
      <c r="I195" s="3"/>
      <c r="J195" s="7"/>
      <c r="K195" s="7"/>
      <c r="L195" s="7"/>
      <c r="M195" s="7"/>
    </row>
    <row r="196" spans="3:13">
      <c r="C196" s="5" t="s">
        <v>8</v>
      </c>
      <c r="D196" s="5"/>
      <c r="F196" s="6">
        <f>SUM(F2:F188)</f>
        <v>10583.200000000006</v>
      </c>
      <c r="G196" s="6" t="e">
        <f>SUM(#REF!)</f>
        <v>#REF!</v>
      </c>
      <c r="H196" s="6">
        <f t="shared" ref="H196:M196" si="23">SUM(H2:H188)</f>
        <v>1544.9</v>
      </c>
      <c r="I196" s="6">
        <f t="shared" si="23"/>
        <v>67440.782241000008</v>
      </c>
      <c r="J196" s="6">
        <f t="shared" si="23"/>
        <v>7492.3999999999933</v>
      </c>
      <c r="K196" s="6">
        <f t="shared" si="23"/>
        <v>10583.2</v>
      </c>
      <c r="L196" s="6">
        <f t="shared" si="23"/>
        <v>1544.8999999999999</v>
      </c>
      <c r="M196" s="6">
        <f t="shared" si="23"/>
        <v>7492.4000000000005</v>
      </c>
    </row>
    <row r="197" spans="3:13">
      <c r="D197" s="4"/>
      <c r="F197" s="3"/>
      <c r="H197" s="3"/>
      <c r="I197" s="3"/>
      <c r="J197" s="7"/>
    </row>
    <row r="198" spans="3:13">
      <c r="D198" s="4"/>
      <c r="F198" s="3"/>
      <c r="H198" s="3"/>
      <c r="I198" s="3"/>
      <c r="J198" s="7"/>
      <c r="K198" s="7"/>
      <c r="L198" s="7"/>
      <c r="M198" s="7"/>
    </row>
    <row r="199" spans="3:13">
      <c r="D199" s="4"/>
      <c r="F199" s="3"/>
      <c r="H199" s="3"/>
      <c r="I199" s="3"/>
      <c r="J199" s="7"/>
    </row>
    <row r="200" spans="3:13">
      <c r="D200" s="4"/>
      <c r="F200" s="3"/>
      <c r="H200" s="3"/>
      <c r="I200" s="3"/>
      <c r="J200" s="7"/>
    </row>
    <row r="201" spans="3:13">
      <c r="D201" s="4"/>
      <c r="F201" s="3"/>
      <c r="H201" s="3"/>
      <c r="I201" s="3"/>
      <c r="J201" s="7"/>
      <c r="K201" s="7"/>
      <c r="L201" s="7"/>
      <c r="M20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1B98-74D8-457B-BF1F-CF72E8384F19}">
  <dimension ref="A1:M156"/>
  <sheetViews>
    <sheetView workbookViewId="0">
      <selection activeCell="J45" sqref="J45"/>
    </sheetView>
  </sheetViews>
  <sheetFormatPr defaultRowHeight="14.25"/>
  <cols>
    <col min="2" max="2" width="18.5" customWidth="1"/>
    <col min="3" max="3" width="16.875" customWidth="1"/>
    <col min="4" max="4" width="0.375" customWidth="1"/>
    <col min="5" max="5" width="17.75" customWidth="1"/>
    <col min="6" max="6" width="10.5" customWidth="1"/>
    <col min="7" max="7" width="0.375" customWidth="1"/>
    <col min="8" max="8" width="10.5" customWidth="1"/>
    <col min="9" max="9" width="12.625" hidden="1" customWidth="1"/>
    <col min="10" max="10" width="8.25" customWidth="1"/>
  </cols>
  <sheetData>
    <row r="1" spans="1:13">
      <c r="A1" t="s">
        <v>0</v>
      </c>
      <c r="B1" s="1" t="s">
        <v>1</v>
      </c>
      <c r="C1" s="1" t="s">
        <v>2</v>
      </c>
      <c r="D1" s="2" t="s">
        <v>5</v>
      </c>
      <c r="E1" s="1" t="s">
        <v>4</v>
      </c>
      <c r="F1" s="2" t="s">
        <v>7</v>
      </c>
      <c r="G1" s="2" t="s">
        <v>3</v>
      </c>
      <c r="H1" s="2" t="s">
        <v>6</v>
      </c>
      <c r="I1" s="2" t="s">
        <v>9</v>
      </c>
      <c r="J1" s="2" t="s">
        <v>10</v>
      </c>
    </row>
    <row r="2" spans="1:13">
      <c r="A2">
        <v>5149</v>
      </c>
      <c r="B2" s="3">
        <f xml:space="preserve"> 4.5</f>
        <v>4.5</v>
      </c>
      <c r="C2" s="3">
        <f xml:space="preserve"> 0.4901</f>
        <v>0.49009999999999998</v>
      </c>
      <c r="D2" s="1">
        <f xml:space="preserve"> B2*25.5</f>
        <v>114.75</v>
      </c>
      <c r="E2" s="3">
        <f xml:space="preserve"> 1.6178</f>
        <v>1.6177999999999999</v>
      </c>
      <c r="F2" s="3">
        <f>ROUND(D2/27,1)</f>
        <v>4.3</v>
      </c>
      <c r="G2" s="1">
        <f xml:space="preserve"> B2*25.5</f>
        <v>114.75</v>
      </c>
      <c r="H2" s="3">
        <f>ROUND(G2/27,1)</f>
        <v>4.3</v>
      </c>
      <c r="I2" s="3">
        <f xml:space="preserve"> $E2 * 25.5</f>
        <v>41.253899999999994</v>
      </c>
      <c r="J2" s="7">
        <f>ROUND(I2*0.1111,1)</f>
        <v>4.5999999999999996</v>
      </c>
    </row>
    <row r="3" spans="1:13">
      <c r="A3">
        <v>5200</v>
      </c>
      <c r="B3" s="3">
        <f xml:space="preserve"> 6.2654</f>
        <v>6.2653999999999996</v>
      </c>
      <c r="C3" s="3">
        <f xml:space="preserve"> 0.0733</f>
        <v>7.3300000000000004E-2</v>
      </c>
      <c r="D3" s="4">
        <f>($B3*($A4-$A2))/2</f>
        <v>316.40269999999998</v>
      </c>
      <c r="E3" s="3">
        <v>1.2363999999999999</v>
      </c>
      <c r="F3" s="3">
        <f t="shared" ref="F3:F29" si="0">ROUND(D3/27,1)</f>
        <v>11.7</v>
      </c>
      <c r="G3" s="1">
        <f>($C3*($A4-$A2))/2</f>
        <v>3.7016500000000003</v>
      </c>
      <c r="H3" s="3">
        <f t="shared" ref="H3:H29" si="1">ROUND(G3/27,1)</f>
        <v>0.1</v>
      </c>
      <c r="I3" s="3">
        <f t="shared" ref="I3:I15" si="2">($E3*($A4-$A2))/2</f>
        <v>62.438199999999995</v>
      </c>
      <c r="J3" s="7">
        <f t="shared" ref="J3:J29" si="3">ROUND(I3*0.1111,1)</f>
        <v>6.9</v>
      </c>
    </row>
    <row r="4" spans="1:13">
      <c r="A4">
        <f>A3+50</f>
        <v>5250</v>
      </c>
      <c r="B4" s="3">
        <f>8.8334</f>
        <v>8.8333999999999993</v>
      </c>
      <c r="C4" s="3">
        <f xml:space="preserve"> 0.0795</f>
        <v>7.9500000000000001E-2</v>
      </c>
      <c r="D4" s="4">
        <f t="shared" ref="D4:D28" si="4">($B4*($A5-$A3))/2</f>
        <v>441.66999999999996</v>
      </c>
      <c r="E4" s="3">
        <f>1.1607</f>
        <v>1.1607000000000001</v>
      </c>
      <c r="F4" s="3">
        <f t="shared" si="0"/>
        <v>16.399999999999999</v>
      </c>
      <c r="G4" s="1">
        <f t="shared" ref="G4:G28" si="5">($C4*($A5-$A3))/2</f>
        <v>3.9750000000000001</v>
      </c>
      <c r="H4" s="3">
        <f t="shared" si="1"/>
        <v>0.1</v>
      </c>
      <c r="I4" s="3">
        <f t="shared" si="2"/>
        <v>58.035000000000004</v>
      </c>
      <c r="J4" s="7">
        <f t="shared" si="3"/>
        <v>6.4</v>
      </c>
      <c r="K4" s="7">
        <f>SUM(F2:F4)</f>
        <v>32.4</v>
      </c>
      <c r="L4" s="7">
        <f>SUM(H2:H4)</f>
        <v>4.4999999999999991</v>
      </c>
      <c r="M4" s="7">
        <f>SUM(J2:J4)</f>
        <v>17.899999999999999</v>
      </c>
    </row>
    <row r="5" spans="1:13">
      <c r="A5">
        <f t="shared" ref="A5:A29" si="6">A4+50</f>
        <v>5300</v>
      </c>
      <c r="B5" s="3">
        <v>13.1027</v>
      </c>
      <c r="C5" s="3">
        <v>0</v>
      </c>
      <c r="D5" s="4">
        <f t="shared" si="4"/>
        <v>655.13499999999999</v>
      </c>
      <c r="E5" s="3">
        <v>6.8587999999999996</v>
      </c>
      <c r="F5" s="3">
        <f t="shared" si="0"/>
        <v>24.3</v>
      </c>
      <c r="G5" s="1">
        <f t="shared" si="5"/>
        <v>0</v>
      </c>
      <c r="H5" s="3">
        <f t="shared" si="1"/>
        <v>0</v>
      </c>
      <c r="I5" s="3">
        <f t="shared" si="2"/>
        <v>342.94</v>
      </c>
      <c r="J5" s="7">
        <f t="shared" si="3"/>
        <v>38.1</v>
      </c>
    </row>
    <row r="6" spans="1:13">
      <c r="A6">
        <f t="shared" si="6"/>
        <v>5350</v>
      </c>
      <c r="B6" s="3">
        <v>10.2202</v>
      </c>
      <c r="C6" s="3">
        <v>0.2276</v>
      </c>
      <c r="D6" s="4">
        <f t="shared" si="4"/>
        <v>511.01</v>
      </c>
      <c r="E6" s="3">
        <v>1.514</v>
      </c>
      <c r="F6" s="3">
        <f t="shared" si="0"/>
        <v>18.899999999999999</v>
      </c>
      <c r="G6" s="1">
        <f t="shared" si="5"/>
        <v>11.379999999999999</v>
      </c>
      <c r="H6" s="3">
        <f t="shared" si="1"/>
        <v>0.4</v>
      </c>
      <c r="I6" s="3">
        <f t="shared" si="2"/>
        <v>75.7</v>
      </c>
      <c r="J6" s="7">
        <f t="shared" si="3"/>
        <v>8.4</v>
      </c>
    </row>
    <row r="7" spans="1:13">
      <c r="A7">
        <f t="shared" si="6"/>
        <v>5400</v>
      </c>
      <c r="B7" s="3">
        <v>9.5563000000000002</v>
      </c>
      <c r="C7" s="3">
        <v>0</v>
      </c>
      <c r="D7" s="4">
        <f t="shared" si="4"/>
        <v>477.815</v>
      </c>
      <c r="E7" s="3">
        <v>1.1724000000000001</v>
      </c>
      <c r="F7" s="3">
        <f t="shared" si="0"/>
        <v>17.7</v>
      </c>
      <c r="G7" s="1">
        <f t="shared" si="5"/>
        <v>0</v>
      </c>
      <c r="H7" s="3">
        <f t="shared" si="1"/>
        <v>0</v>
      </c>
      <c r="I7" s="3">
        <f t="shared" si="2"/>
        <v>58.620000000000005</v>
      </c>
      <c r="J7" s="7">
        <f t="shared" si="3"/>
        <v>6.5</v>
      </c>
      <c r="K7" s="7">
        <f t="shared" ref="K7" si="7">SUM(F5:F7)</f>
        <v>60.900000000000006</v>
      </c>
      <c r="L7" s="7">
        <f t="shared" ref="L7" si="8">SUM(H5:H7)</f>
        <v>0.4</v>
      </c>
      <c r="M7" s="7">
        <f t="shared" ref="M7" si="9">SUM(J5:J7)</f>
        <v>53</v>
      </c>
    </row>
    <row r="8" spans="1:13">
      <c r="A8">
        <f t="shared" si="6"/>
        <v>5450</v>
      </c>
      <c r="B8" s="3">
        <v>9.3492999999999995</v>
      </c>
      <c r="C8" s="3">
        <v>0</v>
      </c>
      <c r="D8" s="4">
        <f t="shared" si="4"/>
        <v>467.46499999999997</v>
      </c>
      <c r="E8" s="3">
        <v>1.2699</v>
      </c>
      <c r="F8" s="3">
        <f t="shared" si="0"/>
        <v>17.3</v>
      </c>
      <c r="G8" s="1">
        <f t="shared" si="5"/>
        <v>0</v>
      </c>
      <c r="H8" s="3">
        <f t="shared" si="1"/>
        <v>0</v>
      </c>
      <c r="I8" s="3">
        <f t="shared" si="2"/>
        <v>63.495000000000005</v>
      </c>
      <c r="J8" s="7">
        <f t="shared" si="3"/>
        <v>7.1</v>
      </c>
    </row>
    <row r="9" spans="1:13">
      <c r="A9">
        <f t="shared" si="6"/>
        <v>5500</v>
      </c>
      <c r="B9" s="3">
        <v>8.9346999999999994</v>
      </c>
      <c r="C9" s="3">
        <v>0</v>
      </c>
      <c r="D9" s="4">
        <f t="shared" si="4"/>
        <v>446.73499999999996</v>
      </c>
      <c r="E9" s="3">
        <v>1.194</v>
      </c>
      <c r="F9" s="3">
        <f t="shared" si="0"/>
        <v>16.5</v>
      </c>
      <c r="G9" s="1">
        <f t="shared" si="5"/>
        <v>0</v>
      </c>
      <c r="H9" s="3">
        <f t="shared" si="1"/>
        <v>0</v>
      </c>
      <c r="I9" s="3">
        <f t="shared" si="2"/>
        <v>59.699999999999996</v>
      </c>
      <c r="J9" s="7">
        <f t="shared" si="3"/>
        <v>6.6</v>
      </c>
    </row>
    <row r="10" spans="1:13">
      <c r="A10">
        <f t="shared" si="6"/>
        <v>5550</v>
      </c>
      <c r="B10" s="3">
        <v>10.2277</v>
      </c>
      <c r="C10" s="3">
        <v>0</v>
      </c>
      <c r="D10" s="4">
        <f t="shared" si="4"/>
        <v>511.38500000000005</v>
      </c>
      <c r="E10" s="3">
        <v>1.0271999999999999</v>
      </c>
      <c r="F10" s="3">
        <f t="shared" si="0"/>
        <v>18.899999999999999</v>
      </c>
      <c r="G10" s="1">
        <f t="shared" si="5"/>
        <v>0</v>
      </c>
      <c r="H10" s="3">
        <f t="shared" si="1"/>
        <v>0</v>
      </c>
      <c r="I10" s="3">
        <f t="shared" si="2"/>
        <v>51.359999999999992</v>
      </c>
      <c r="J10" s="7">
        <f t="shared" si="3"/>
        <v>5.7</v>
      </c>
      <c r="K10" s="7">
        <f t="shared" ref="K10" si="10">SUM(F8:F10)</f>
        <v>52.699999999999996</v>
      </c>
      <c r="L10" s="7">
        <f t="shared" ref="L10" si="11">SUM(H8:H10)</f>
        <v>0</v>
      </c>
      <c r="M10" s="7">
        <f t="shared" ref="M10" si="12">SUM(J8:J10)</f>
        <v>19.399999999999999</v>
      </c>
    </row>
    <row r="11" spans="1:13">
      <c r="A11">
        <f t="shared" si="6"/>
        <v>5600</v>
      </c>
      <c r="B11" s="3">
        <v>13.180099999999999</v>
      </c>
      <c r="C11" s="3">
        <v>0</v>
      </c>
      <c r="D11" s="4">
        <f t="shared" si="4"/>
        <v>591.45698749999997</v>
      </c>
      <c r="E11" s="3">
        <v>2.2492000000000001</v>
      </c>
      <c r="F11" s="3">
        <f t="shared" si="0"/>
        <v>21.9</v>
      </c>
      <c r="G11" s="1">
        <f t="shared" si="5"/>
        <v>0</v>
      </c>
      <c r="H11" s="3">
        <f t="shared" si="1"/>
        <v>0</v>
      </c>
      <c r="I11" s="3">
        <f t="shared" si="2"/>
        <v>100.93285</v>
      </c>
      <c r="J11" s="7">
        <f t="shared" si="3"/>
        <v>11.2</v>
      </c>
    </row>
    <row r="12" spans="1:13">
      <c r="A12">
        <f>5639.75</f>
        <v>5639.75</v>
      </c>
      <c r="B12" s="3">
        <v>17.7623</v>
      </c>
      <c r="C12" s="3">
        <v>0</v>
      </c>
      <c r="D12" s="4">
        <f t="shared" si="4"/>
        <v>888.11500000000001</v>
      </c>
      <c r="E12" s="3">
        <f>0</f>
        <v>0</v>
      </c>
      <c r="F12" s="3">
        <f t="shared" si="0"/>
        <v>32.9</v>
      </c>
      <c r="G12" s="1">
        <f t="shared" si="5"/>
        <v>0</v>
      </c>
      <c r="H12" s="3">
        <f t="shared" si="1"/>
        <v>0</v>
      </c>
      <c r="I12" s="3">
        <f t="shared" si="2"/>
        <v>0</v>
      </c>
      <c r="J12" s="7">
        <f t="shared" si="3"/>
        <v>0</v>
      </c>
    </row>
    <row r="13" spans="1:13">
      <c r="A13">
        <f>5700</f>
        <v>5700</v>
      </c>
      <c r="B13" s="3">
        <v>32.363399999999999</v>
      </c>
      <c r="C13" s="3">
        <v>0</v>
      </c>
      <c r="D13" s="4">
        <f t="shared" si="4"/>
        <v>1784.0324249999999</v>
      </c>
      <c r="E13" s="3">
        <v>4.2762000000000002</v>
      </c>
      <c r="F13" s="3">
        <f t="shared" si="0"/>
        <v>66.099999999999994</v>
      </c>
      <c r="G13" s="1">
        <f t="shared" si="5"/>
        <v>0</v>
      </c>
      <c r="H13" s="3">
        <f t="shared" si="1"/>
        <v>0</v>
      </c>
      <c r="I13" s="3">
        <f t="shared" si="2"/>
        <v>235.725525</v>
      </c>
      <c r="J13" s="7">
        <f t="shared" si="3"/>
        <v>26.2</v>
      </c>
      <c r="K13" s="7">
        <f t="shared" ref="K13" si="13">SUM(F11:F13)</f>
        <v>120.89999999999999</v>
      </c>
      <c r="L13" s="7">
        <f t="shared" ref="L13" si="14">SUM(H11:H13)</f>
        <v>0</v>
      </c>
      <c r="M13" s="7">
        <f t="shared" ref="M13" si="15">SUM(J11:J13)</f>
        <v>37.4</v>
      </c>
    </row>
    <row r="14" spans="1:13">
      <c r="A14">
        <f t="shared" si="6"/>
        <v>5750</v>
      </c>
      <c r="B14" s="3">
        <v>39.9283</v>
      </c>
      <c r="C14" s="3">
        <v>0</v>
      </c>
      <c r="D14" s="4">
        <f t="shared" si="4"/>
        <v>1996.415</v>
      </c>
      <c r="E14" s="3">
        <v>6.6586999999999996</v>
      </c>
      <c r="F14" s="3">
        <f t="shared" si="0"/>
        <v>73.900000000000006</v>
      </c>
      <c r="G14" s="1">
        <f t="shared" si="5"/>
        <v>0</v>
      </c>
      <c r="H14" s="3">
        <f t="shared" si="1"/>
        <v>0</v>
      </c>
      <c r="I14" s="3">
        <f t="shared" si="2"/>
        <v>332.935</v>
      </c>
      <c r="J14" s="7">
        <f t="shared" si="3"/>
        <v>37</v>
      </c>
    </row>
    <row r="15" spans="1:13">
      <c r="A15">
        <f t="shared" si="6"/>
        <v>5800</v>
      </c>
      <c r="B15" s="3">
        <v>33.440899999999999</v>
      </c>
      <c r="C15" s="3">
        <v>0</v>
      </c>
      <c r="D15" s="4">
        <f t="shared" si="4"/>
        <v>1672.0450000000001</v>
      </c>
      <c r="E15" s="3">
        <v>5.8304</v>
      </c>
      <c r="F15" s="3">
        <f t="shared" si="0"/>
        <v>61.9</v>
      </c>
      <c r="G15" s="1">
        <f t="shared" si="5"/>
        <v>0</v>
      </c>
      <c r="H15" s="3">
        <f t="shared" si="1"/>
        <v>0</v>
      </c>
      <c r="I15" s="3">
        <f t="shared" si="2"/>
        <v>291.52</v>
      </c>
      <c r="J15" s="7">
        <f t="shared" si="3"/>
        <v>32.4</v>
      </c>
    </row>
    <row r="16" spans="1:13">
      <c r="A16">
        <f t="shared" si="6"/>
        <v>5850</v>
      </c>
      <c r="B16" s="3">
        <v>39.0242</v>
      </c>
      <c r="C16" s="3">
        <f>0</f>
        <v>0</v>
      </c>
      <c r="D16" s="4">
        <f>($B16*($A16-$A15))/2</f>
        <v>975.60500000000002</v>
      </c>
      <c r="E16" s="3">
        <f>5.7852</f>
        <v>5.7851999999999997</v>
      </c>
      <c r="F16" s="3">
        <f t="shared" si="0"/>
        <v>36.1</v>
      </c>
      <c r="G16" s="1">
        <f>($C16*($A16-$A15))/2</f>
        <v>0</v>
      </c>
      <c r="H16" s="3">
        <f t="shared" si="1"/>
        <v>0</v>
      </c>
      <c r="I16" s="3">
        <f>($E16*($A16-$A15))/2</f>
        <v>144.63</v>
      </c>
      <c r="J16" s="7">
        <f t="shared" si="3"/>
        <v>16.100000000000001</v>
      </c>
      <c r="K16" s="7">
        <f t="shared" ref="K16" si="16">SUM(F14:F16)</f>
        <v>171.9</v>
      </c>
      <c r="L16" s="7">
        <f t="shared" ref="L16" si="17">SUM(H14:H16)</f>
        <v>0</v>
      </c>
      <c r="M16" s="7">
        <f t="shared" ref="M16" si="18">SUM(J14:J16)</f>
        <v>85.5</v>
      </c>
    </row>
    <row r="17" spans="1:13">
      <c r="A17">
        <f>6000</f>
        <v>6000</v>
      </c>
      <c r="B17" s="3">
        <f>29.0141+10.2875</f>
        <v>39.301600000000001</v>
      </c>
      <c r="C17" s="3">
        <v>4.6360000000000001</v>
      </c>
      <c r="D17" s="4">
        <f>($B17*($A18-$A17))/2</f>
        <v>982.54</v>
      </c>
      <c r="E17" s="3">
        <f>2.7293+10.2138</f>
        <v>12.943100000000001</v>
      </c>
      <c r="F17" s="3">
        <f t="shared" si="0"/>
        <v>36.4</v>
      </c>
      <c r="G17" s="1">
        <f>($C17*($A18-$A17))/2</f>
        <v>115.9</v>
      </c>
      <c r="H17" s="3">
        <f t="shared" si="1"/>
        <v>4.3</v>
      </c>
      <c r="I17" s="3">
        <f>($E17*($A18-$A17))/2</f>
        <v>323.57750000000004</v>
      </c>
      <c r="J17" s="7">
        <f t="shared" si="3"/>
        <v>35.9</v>
      </c>
    </row>
    <row r="18" spans="1:13">
      <c r="A18">
        <f t="shared" si="6"/>
        <v>6050</v>
      </c>
      <c r="B18" s="3">
        <f>35.962+9.2209</f>
        <v>45.182900000000004</v>
      </c>
      <c r="C18" s="3">
        <v>2.8795999999999999</v>
      </c>
      <c r="D18" s="4">
        <f t="shared" si="4"/>
        <v>2259.145</v>
      </c>
      <c r="E18" s="3">
        <f>2.2429+6.71</f>
        <v>8.9528999999999996</v>
      </c>
      <c r="F18" s="3">
        <f t="shared" si="0"/>
        <v>83.7</v>
      </c>
      <c r="G18" s="1">
        <f t="shared" si="5"/>
        <v>143.97999999999999</v>
      </c>
      <c r="H18" s="3">
        <f t="shared" si="1"/>
        <v>5.3</v>
      </c>
      <c r="I18" s="3">
        <f t="shared" ref="I18:I28" si="19">($E18*($A19-$A17))/2</f>
        <v>447.64499999999998</v>
      </c>
      <c r="J18" s="7">
        <f t="shared" si="3"/>
        <v>49.7</v>
      </c>
    </row>
    <row r="19" spans="1:13">
      <c r="A19">
        <f t="shared" si="6"/>
        <v>6100</v>
      </c>
      <c r="B19" s="3">
        <f>15.2504+35.4874</f>
        <v>50.7378</v>
      </c>
      <c r="C19" s="3">
        <v>3.1227999999999998</v>
      </c>
      <c r="D19" s="4">
        <f t="shared" si="4"/>
        <v>2536.89</v>
      </c>
      <c r="E19" s="3">
        <f>2.6999+6.7489</f>
        <v>9.4488000000000003</v>
      </c>
      <c r="F19" s="3">
        <f t="shared" si="0"/>
        <v>94</v>
      </c>
      <c r="G19" s="1">
        <f t="shared" si="5"/>
        <v>156.13999999999999</v>
      </c>
      <c r="H19" s="3">
        <f t="shared" si="1"/>
        <v>5.8</v>
      </c>
      <c r="I19" s="3">
        <f t="shared" si="19"/>
        <v>472.44</v>
      </c>
      <c r="J19" s="7">
        <f t="shared" si="3"/>
        <v>52.5</v>
      </c>
      <c r="K19" s="7">
        <f t="shared" ref="K19" si="20">SUM(F17:F19)</f>
        <v>214.1</v>
      </c>
      <c r="L19" s="7">
        <f t="shared" ref="L19" si="21">SUM(H17:H19)</f>
        <v>15.399999999999999</v>
      </c>
      <c r="M19" s="7">
        <f t="shared" ref="M19" si="22">SUM(J17:J19)</f>
        <v>138.1</v>
      </c>
    </row>
    <row r="20" spans="1:13">
      <c r="A20">
        <f t="shared" si="6"/>
        <v>6150</v>
      </c>
      <c r="B20" s="3">
        <f>39.5416+10.1275</f>
        <v>49.6691</v>
      </c>
      <c r="C20" s="3">
        <v>2.9714999999999998</v>
      </c>
      <c r="D20" s="4">
        <f t="shared" si="4"/>
        <v>2483.4549999999999</v>
      </c>
      <c r="E20" s="3">
        <f>6.269+6.7555</f>
        <v>13.0245</v>
      </c>
      <c r="F20" s="3">
        <f t="shared" si="0"/>
        <v>92</v>
      </c>
      <c r="G20" s="1">
        <f t="shared" si="5"/>
        <v>148.57499999999999</v>
      </c>
      <c r="H20" s="3">
        <f t="shared" si="1"/>
        <v>5.5</v>
      </c>
      <c r="I20" s="3">
        <f t="shared" si="19"/>
        <v>651.22500000000002</v>
      </c>
      <c r="J20" s="7">
        <f t="shared" si="3"/>
        <v>72.400000000000006</v>
      </c>
    </row>
    <row r="21" spans="1:13">
      <c r="A21">
        <f t="shared" si="6"/>
        <v>6200</v>
      </c>
      <c r="B21" s="3">
        <f>41.9842+8.905</f>
        <v>50.889200000000002</v>
      </c>
      <c r="C21" s="3">
        <v>0</v>
      </c>
      <c r="D21" s="4">
        <f t="shared" si="4"/>
        <v>3024.5996019999975</v>
      </c>
      <c r="E21" s="3">
        <v>8.3962000000000003</v>
      </c>
      <c r="F21" s="3">
        <f t="shared" si="0"/>
        <v>112</v>
      </c>
      <c r="G21" s="1">
        <f t="shared" si="5"/>
        <v>0</v>
      </c>
      <c r="H21" s="3">
        <f t="shared" si="1"/>
        <v>0</v>
      </c>
      <c r="I21" s="3">
        <f t="shared" si="19"/>
        <v>499.02814699999954</v>
      </c>
      <c r="J21" s="7">
        <f t="shared" si="3"/>
        <v>55.4</v>
      </c>
    </row>
    <row r="22" spans="1:13">
      <c r="A22">
        <v>6268.87</v>
      </c>
      <c r="B22" s="3">
        <f>25.4855+10.0753</f>
        <v>35.5608</v>
      </c>
      <c r="C22" s="3">
        <v>9.9199999999999997E-2</v>
      </c>
      <c r="D22" s="4">
        <f t="shared" si="4"/>
        <v>1778.04</v>
      </c>
      <c r="E22" s="3">
        <v>2.3039000000000001</v>
      </c>
      <c r="F22" s="3">
        <f t="shared" si="0"/>
        <v>65.900000000000006</v>
      </c>
      <c r="G22" s="1">
        <f t="shared" si="5"/>
        <v>4.96</v>
      </c>
      <c r="H22" s="3">
        <f t="shared" si="1"/>
        <v>0.2</v>
      </c>
      <c r="I22" s="3">
        <f t="shared" si="19"/>
        <v>115.19500000000001</v>
      </c>
      <c r="J22" s="7">
        <f t="shared" si="3"/>
        <v>12.8</v>
      </c>
      <c r="K22" s="7">
        <f t="shared" ref="K22" si="23">SUM(F20:F22)</f>
        <v>269.89999999999998</v>
      </c>
      <c r="L22" s="7">
        <f t="shared" ref="L22" si="24">SUM(H20:H22)</f>
        <v>5.7</v>
      </c>
      <c r="M22" s="7">
        <f t="shared" ref="M22" si="25">SUM(J20:J22)</f>
        <v>140.60000000000002</v>
      </c>
    </row>
    <row r="23" spans="1:13">
      <c r="A23">
        <v>6300</v>
      </c>
      <c r="B23" s="3">
        <f>31.0428+10.1037</f>
        <v>41.146500000000003</v>
      </c>
      <c r="C23" s="3">
        <v>1.2551000000000001</v>
      </c>
      <c r="D23" s="4">
        <f t="shared" si="4"/>
        <v>1669.1077725000023</v>
      </c>
      <c r="E23" s="3">
        <f>2.4525+3.8267</f>
        <v>6.2792000000000003</v>
      </c>
      <c r="F23" s="3">
        <f t="shared" si="0"/>
        <v>61.8</v>
      </c>
      <c r="G23" s="1">
        <f t="shared" si="5"/>
        <v>50.91313150000007</v>
      </c>
      <c r="H23" s="3">
        <f t="shared" si="1"/>
        <v>1.9</v>
      </c>
      <c r="I23" s="3">
        <f t="shared" si="19"/>
        <v>254.71574800000036</v>
      </c>
      <c r="J23" s="7">
        <f t="shared" si="3"/>
        <v>28.3</v>
      </c>
    </row>
    <row r="24" spans="1:13">
      <c r="A24">
        <f t="shared" si="6"/>
        <v>6350</v>
      </c>
      <c r="B24" s="3">
        <f>16.9584+4.8659</f>
        <v>21.824300000000001</v>
      </c>
      <c r="C24" s="3">
        <v>2.6997</v>
      </c>
      <c r="D24" s="4">
        <f t="shared" si="4"/>
        <v>1091.2150000000001</v>
      </c>
      <c r="E24" s="3">
        <f>6.4689+1.5425</f>
        <v>8.0114000000000001</v>
      </c>
      <c r="F24" s="3">
        <f t="shared" si="0"/>
        <v>40.4</v>
      </c>
      <c r="G24" s="1">
        <f t="shared" si="5"/>
        <v>134.98500000000001</v>
      </c>
      <c r="H24" s="3">
        <f t="shared" si="1"/>
        <v>5</v>
      </c>
      <c r="I24" s="3">
        <f t="shared" si="19"/>
        <v>400.57</v>
      </c>
      <c r="J24" s="7">
        <f t="shared" si="3"/>
        <v>44.5</v>
      </c>
      <c r="K24" s="7">
        <f>SUM(F23:F24)</f>
        <v>102.19999999999999</v>
      </c>
      <c r="L24" s="7">
        <f>SUM(H23:H24)</f>
        <v>6.9</v>
      </c>
      <c r="M24" s="7">
        <f>SUM(J23:J24)</f>
        <v>72.8</v>
      </c>
    </row>
    <row r="25" spans="1:13">
      <c r="A25">
        <f t="shared" si="6"/>
        <v>6400</v>
      </c>
      <c r="B25" s="3">
        <f>11.641+4.8917</f>
        <v>16.532699999999998</v>
      </c>
      <c r="C25" s="3">
        <f>2.0274+0.1594</f>
        <v>2.1867999999999999</v>
      </c>
      <c r="D25" s="4">
        <f t="shared" si="4"/>
        <v>826.63499999999988</v>
      </c>
      <c r="E25" s="3">
        <f>4.5578+1.3223</f>
        <v>5.8801000000000005</v>
      </c>
      <c r="F25" s="3">
        <f t="shared" si="0"/>
        <v>30.6</v>
      </c>
      <c r="G25" s="1">
        <f t="shared" si="5"/>
        <v>109.33999999999999</v>
      </c>
      <c r="H25" s="3">
        <f t="shared" si="1"/>
        <v>4</v>
      </c>
      <c r="I25" s="3">
        <f t="shared" si="19"/>
        <v>294.00500000000005</v>
      </c>
      <c r="J25" s="7">
        <f t="shared" si="3"/>
        <v>32.700000000000003</v>
      </c>
    </row>
    <row r="26" spans="1:13">
      <c r="A26">
        <f t="shared" si="6"/>
        <v>6450</v>
      </c>
      <c r="B26" s="3">
        <f>9.9503+4.8701</f>
        <v>14.820399999999999</v>
      </c>
      <c r="C26" s="3">
        <f>1.3247+0.0213</f>
        <v>1.3460000000000001</v>
      </c>
      <c r="D26" s="4">
        <f t="shared" si="4"/>
        <v>741.02</v>
      </c>
      <c r="E26" s="3">
        <f>3.7376+1.0831</f>
        <v>4.8207000000000004</v>
      </c>
      <c r="F26" s="3">
        <f t="shared" si="0"/>
        <v>27.4</v>
      </c>
      <c r="G26" s="1">
        <f t="shared" si="5"/>
        <v>67.300000000000011</v>
      </c>
      <c r="H26" s="3">
        <f t="shared" si="1"/>
        <v>2.5</v>
      </c>
      <c r="I26" s="3">
        <f t="shared" si="19"/>
        <v>241.03500000000003</v>
      </c>
      <c r="J26" s="7">
        <f t="shared" si="3"/>
        <v>26.8</v>
      </c>
      <c r="K26" s="7">
        <f>SUM(F25:F26)</f>
        <v>58</v>
      </c>
      <c r="L26" s="7">
        <f>SUM(H25:H26)</f>
        <v>6.5</v>
      </c>
      <c r="M26" s="7">
        <f>SUM(J25:J26)</f>
        <v>59.5</v>
      </c>
    </row>
    <row r="27" spans="1:13">
      <c r="A27">
        <f t="shared" si="6"/>
        <v>6500</v>
      </c>
      <c r="B27" s="3">
        <f xml:space="preserve"> 4.8737+3.7597</f>
        <v>8.6334</v>
      </c>
      <c r="C27" s="3">
        <f xml:space="preserve"> 0.5675+1.3058</f>
        <v>1.8733</v>
      </c>
      <c r="D27" s="4">
        <f t="shared" si="4"/>
        <v>431.67</v>
      </c>
      <c r="E27" s="3">
        <f xml:space="preserve"> 3.1639+3.915</f>
        <v>7.0789</v>
      </c>
      <c r="F27" s="3">
        <f t="shared" si="0"/>
        <v>16</v>
      </c>
      <c r="G27" s="1">
        <f t="shared" si="5"/>
        <v>93.664999999999992</v>
      </c>
      <c r="H27" s="3">
        <f t="shared" si="1"/>
        <v>3.5</v>
      </c>
      <c r="I27" s="3">
        <f t="shared" si="19"/>
        <v>353.94499999999999</v>
      </c>
      <c r="J27" s="7">
        <f t="shared" si="3"/>
        <v>39.299999999999997</v>
      </c>
    </row>
    <row r="28" spans="1:13">
      <c r="A28">
        <f t="shared" si="6"/>
        <v>6550</v>
      </c>
      <c r="B28" s="3">
        <v>0</v>
      </c>
      <c r="C28" s="3">
        <v>0</v>
      </c>
      <c r="D28" s="4">
        <f t="shared" si="4"/>
        <v>0</v>
      </c>
      <c r="E28" s="3">
        <v>0</v>
      </c>
      <c r="F28" s="3">
        <f t="shared" si="0"/>
        <v>0</v>
      </c>
      <c r="G28" s="1">
        <f t="shared" si="5"/>
        <v>0</v>
      </c>
      <c r="H28" s="3">
        <f t="shared" si="1"/>
        <v>0</v>
      </c>
      <c r="I28" s="3">
        <f t="shared" si="19"/>
        <v>0</v>
      </c>
      <c r="J28" s="7">
        <f t="shared" si="3"/>
        <v>0</v>
      </c>
    </row>
    <row r="29" spans="1:13">
      <c r="A29">
        <f t="shared" si="6"/>
        <v>6600</v>
      </c>
      <c r="B29" s="3">
        <v>0</v>
      </c>
      <c r="C29" s="3">
        <v>0</v>
      </c>
      <c r="D29" s="4">
        <f>($B29*($A29-$A28))/2</f>
        <v>0</v>
      </c>
      <c r="E29" s="3">
        <v>0</v>
      </c>
      <c r="F29" s="3">
        <f t="shared" si="0"/>
        <v>0</v>
      </c>
      <c r="G29" s="1">
        <f>($C29*($A29-$A28))/2</f>
        <v>0</v>
      </c>
      <c r="H29" s="3">
        <f t="shared" si="1"/>
        <v>0</v>
      </c>
      <c r="I29" s="3">
        <f>($E29*($A29-$A28))/2</f>
        <v>0</v>
      </c>
      <c r="J29" s="7">
        <f t="shared" si="3"/>
        <v>0</v>
      </c>
      <c r="K29" s="7">
        <f t="shared" ref="K29" si="26">SUM(F27:F29)</f>
        <v>16</v>
      </c>
      <c r="L29" s="7">
        <f t="shared" ref="L29" si="27">SUM(H27:H29)</f>
        <v>3.5</v>
      </c>
      <c r="M29" s="7">
        <f t="shared" ref="M29" si="28">SUM(J27:J29)</f>
        <v>39.299999999999997</v>
      </c>
    </row>
    <row r="30" spans="1:13">
      <c r="B30" s="3"/>
      <c r="C30" s="3"/>
      <c r="D30" s="4"/>
      <c r="E30" s="3"/>
      <c r="F30" s="3"/>
      <c r="G30" s="1"/>
      <c r="H30" s="3"/>
      <c r="I30" s="3"/>
    </row>
    <row r="31" spans="1:13">
      <c r="B31" s="3"/>
      <c r="C31" s="3"/>
      <c r="D31" s="4"/>
      <c r="E31" s="3"/>
      <c r="F31" s="3"/>
      <c r="G31" s="1"/>
      <c r="H31" s="3"/>
      <c r="I31" s="3"/>
    </row>
    <row r="32" spans="1:13">
      <c r="B32" s="3"/>
      <c r="C32" s="3"/>
      <c r="D32" s="4"/>
      <c r="E32" s="3"/>
      <c r="F32" s="3"/>
      <c r="G32" s="1"/>
      <c r="H32" s="3"/>
      <c r="I32" s="3"/>
    </row>
    <row r="33" spans="2:13">
      <c r="B33" s="3"/>
      <c r="C33" s="3"/>
      <c r="D33" s="4"/>
      <c r="E33" s="3"/>
      <c r="F33" s="3"/>
      <c r="G33" s="1"/>
      <c r="H33" s="3"/>
      <c r="I33" s="3"/>
    </row>
    <row r="34" spans="2:13">
      <c r="B34" s="3"/>
      <c r="C34" s="3"/>
      <c r="D34" s="4"/>
      <c r="E34" s="3"/>
      <c r="F34" s="3"/>
      <c r="G34" s="1"/>
      <c r="H34" s="3"/>
      <c r="I34" s="3"/>
    </row>
    <row r="35" spans="2:13">
      <c r="B35" s="3"/>
      <c r="C35" s="3"/>
      <c r="D35" s="4"/>
      <c r="E35" s="3"/>
      <c r="F35" s="3"/>
      <c r="G35" s="1"/>
      <c r="H35" s="3"/>
      <c r="I35" s="3"/>
    </row>
    <row r="36" spans="2:13">
      <c r="B36" s="3"/>
      <c r="C36" s="3"/>
      <c r="D36" s="4"/>
      <c r="E36" s="3"/>
      <c r="F36" s="3"/>
      <c r="G36" s="1"/>
      <c r="H36" s="3"/>
      <c r="I36" s="3"/>
    </row>
    <row r="37" spans="2:13">
      <c r="B37" s="3"/>
      <c r="C37" s="3"/>
      <c r="D37" s="4"/>
      <c r="E37" s="3"/>
      <c r="F37" s="3"/>
      <c r="G37" s="1"/>
      <c r="H37" s="3"/>
      <c r="I37" s="3"/>
    </row>
    <row r="38" spans="2:13">
      <c r="B38" s="3"/>
      <c r="C38" s="3"/>
      <c r="D38" s="4"/>
      <c r="E38" s="3"/>
      <c r="F38" s="3"/>
      <c r="G38" s="1"/>
      <c r="H38" s="3"/>
      <c r="I38" s="3"/>
    </row>
    <row r="39" spans="2:13">
      <c r="B39" s="3"/>
      <c r="C39" s="3"/>
      <c r="D39" s="4"/>
      <c r="E39" s="3"/>
      <c r="F39" s="3"/>
      <c r="G39" s="1"/>
      <c r="H39" s="3"/>
      <c r="I39" s="3"/>
    </row>
    <row r="40" spans="2:13">
      <c r="B40" s="3"/>
      <c r="C40" s="3"/>
      <c r="D40" s="4"/>
      <c r="E40" s="3"/>
      <c r="F40" s="3"/>
      <c r="G40" s="1"/>
      <c r="H40" s="3"/>
      <c r="I40" s="3"/>
    </row>
    <row r="41" spans="2:13">
      <c r="B41" s="3"/>
      <c r="C41" s="3"/>
      <c r="D41" s="4"/>
      <c r="E41" s="3"/>
      <c r="F41" s="3"/>
      <c r="G41" s="1"/>
      <c r="H41" s="3"/>
      <c r="I41" s="3"/>
    </row>
    <row r="42" spans="2:13">
      <c r="B42" s="3"/>
      <c r="C42" s="3"/>
      <c r="D42" s="4"/>
      <c r="E42" s="3"/>
      <c r="F42" s="3"/>
      <c r="G42" s="1"/>
      <c r="H42" s="3"/>
      <c r="I42" s="3"/>
    </row>
    <row r="43" spans="2:13">
      <c r="B43" s="3"/>
      <c r="C43" s="3"/>
      <c r="D43" s="4"/>
      <c r="E43" s="3"/>
      <c r="F43" s="3"/>
      <c r="G43" s="1"/>
      <c r="H43" s="3"/>
      <c r="I43" s="3"/>
    </row>
    <row r="44" spans="2:13">
      <c r="B44" s="3"/>
      <c r="C44" s="3"/>
      <c r="D44" s="4"/>
      <c r="E44" s="3"/>
      <c r="F44" s="3"/>
      <c r="G44" s="1"/>
      <c r="H44" s="3"/>
      <c r="I44" s="3"/>
    </row>
    <row r="45" spans="2:13">
      <c r="B45" s="3"/>
      <c r="C45" s="5" t="s">
        <v>8</v>
      </c>
      <c r="D45" s="5"/>
      <c r="E45" s="1"/>
      <c r="F45" s="6">
        <f>SUM(F2:F29)</f>
        <v>1099</v>
      </c>
      <c r="G45" s="6" t="e">
        <f>SUM(#REF!)</f>
        <v>#REF!</v>
      </c>
      <c r="H45" s="6">
        <f>SUM(H2:H29)</f>
        <v>42.9</v>
      </c>
      <c r="I45" s="6">
        <f>SUM(I2:I29)</f>
        <v>5972.6668699999991</v>
      </c>
      <c r="J45" s="6">
        <f>SUM(J2:J29)</f>
        <v>663.5</v>
      </c>
      <c r="K45" s="7">
        <f>SUM(K4:K29)</f>
        <v>1099</v>
      </c>
      <c r="L45" s="7">
        <f t="shared" ref="L45:M45" si="29">SUM(L4:L29)</f>
        <v>42.9</v>
      </c>
      <c r="M45" s="7">
        <f t="shared" si="29"/>
        <v>663.5</v>
      </c>
    </row>
    <row r="46" spans="2:13">
      <c r="B46" s="3"/>
      <c r="C46" s="3"/>
      <c r="D46" s="4"/>
      <c r="E46" s="3"/>
      <c r="F46" s="3"/>
      <c r="G46" s="1"/>
      <c r="H46" s="3"/>
      <c r="I46" s="3"/>
    </row>
    <row r="47" spans="2:13">
      <c r="B47" s="3"/>
      <c r="C47" s="3"/>
      <c r="D47" s="4"/>
      <c r="E47" s="3"/>
      <c r="F47" s="3"/>
      <c r="G47" s="1"/>
      <c r="H47" s="3"/>
      <c r="I47" s="3"/>
    </row>
    <row r="48" spans="2:13">
      <c r="B48" s="3"/>
      <c r="C48" s="3"/>
      <c r="D48" s="4"/>
      <c r="E48" s="3"/>
      <c r="F48" s="3"/>
      <c r="G48" s="1"/>
      <c r="H48" s="3"/>
      <c r="I48" s="3"/>
    </row>
    <row r="49" spans="2:9">
      <c r="B49" s="3"/>
      <c r="C49" s="3"/>
      <c r="D49" s="4"/>
      <c r="E49" s="3"/>
      <c r="F49" s="3"/>
      <c r="G49" s="1"/>
      <c r="H49" s="3"/>
      <c r="I49" s="3"/>
    </row>
    <row r="50" spans="2:9">
      <c r="B50" s="3"/>
      <c r="C50" s="3"/>
      <c r="D50" s="4"/>
      <c r="E50" s="3"/>
      <c r="F50" s="3"/>
      <c r="G50" s="1"/>
      <c r="H50" s="3"/>
      <c r="I50" s="3"/>
    </row>
    <row r="51" spans="2:9">
      <c r="B51" s="3"/>
      <c r="C51" s="3"/>
      <c r="D51" s="4"/>
      <c r="E51" s="3"/>
      <c r="F51" s="3"/>
      <c r="G51" s="1"/>
      <c r="H51" s="3"/>
      <c r="I51" s="3"/>
    </row>
    <row r="52" spans="2:9">
      <c r="B52" s="3"/>
      <c r="C52" s="3"/>
      <c r="D52" s="4"/>
      <c r="E52" s="3"/>
      <c r="F52" s="3"/>
      <c r="G52" s="1"/>
      <c r="H52" s="3"/>
      <c r="I52" s="3"/>
    </row>
    <row r="53" spans="2:9">
      <c r="B53" s="3"/>
      <c r="C53" s="3"/>
      <c r="D53" s="4"/>
      <c r="E53" s="3"/>
      <c r="F53" s="3"/>
      <c r="G53" s="1"/>
      <c r="H53" s="3"/>
      <c r="I53" s="3"/>
    </row>
    <row r="54" spans="2:9">
      <c r="B54" s="3"/>
      <c r="C54" s="3"/>
      <c r="D54" s="4"/>
      <c r="E54" s="3"/>
      <c r="F54" s="3"/>
      <c r="G54" s="1"/>
      <c r="H54" s="3"/>
      <c r="I54" s="3"/>
    </row>
    <row r="55" spans="2:9">
      <c r="B55" s="3"/>
      <c r="C55" s="3"/>
      <c r="D55" s="4"/>
      <c r="E55" s="3"/>
      <c r="F55" s="3"/>
      <c r="G55" s="1"/>
      <c r="H55" s="3"/>
      <c r="I55" s="3"/>
    </row>
    <row r="56" spans="2:9">
      <c r="B56" s="3"/>
      <c r="C56" s="3"/>
      <c r="D56" s="4"/>
      <c r="E56" s="3"/>
      <c r="F56" s="3"/>
      <c r="G56" s="1"/>
      <c r="H56" s="3"/>
      <c r="I56" s="3"/>
    </row>
    <row r="57" spans="2:9">
      <c r="B57" s="3"/>
      <c r="C57" s="3"/>
      <c r="D57" s="4"/>
      <c r="E57" s="3"/>
      <c r="F57" s="3"/>
      <c r="G57" s="1"/>
      <c r="H57" s="3"/>
      <c r="I57" s="3"/>
    </row>
    <row r="58" spans="2:9">
      <c r="B58" s="3"/>
      <c r="C58" s="3"/>
      <c r="D58" s="4"/>
      <c r="E58" s="3"/>
      <c r="F58" s="3"/>
      <c r="G58" s="1"/>
      <c r="H58" s="3"/>
      <c r="I58" s="3"/>
    </row>
    <row r="59" spans="2:9">
      <c r="B59" s="3"/>
      <c r="C59" s="3"/>
      <c r="D59" s="4"/>
      <c r="E59" s="3"/>
      <c r="F59" s="3"/>
      <c r="G59" s="1"/>
      <c r="H59" s="3"/>
      <c r="I59" s="3"/>
    </row>
    <row r="60" spans="2:9">
      <c r="B60" s="3"/>
      <c r="C60" s="3"/>
      <c r="D60" s="4"/>
      <c r="E60" s="3"/>
      <c r="F60" s="3"/>
      <c r="G60" s="1"/>
      <c r="H60" s="3"/>
      <c r="I60" s="3"/>
    </row>
    <row r="61" spans="2:9">
      <c r="B61" s="3"/>
      <c r="C61" s="3"/>
      <c r="D61" s="4"/>
      <c r="E61" s="3"/>
      <c r="F61" s="3"/>
      <c r="G61" s="1"/>
      <c r="H61" s="3"/>
      <c r="I61" s="3"/>
    </row>
    <row r="62" spans="2:9">
      <c r="B62" s="3"/>
      <c r="C62" s="3"/>
      <c r="D62" s="4"/>
      <c r="E62" s="3"/>
      <c r="F62" s="3"/>
      <c r="G62" s="1"/>
      <c r="H62" s="3"/>
      <c r="I62" s="3"/>
    </row>
    <row r="63" spans="2:9">
      <c r="B63" s="3"/>
      <c r="C63" s="3"/>
      <c r="D63" s="4"/>
      <c r="E63" s="3"/>
      <c r="F63" s="3"/>
      <c r="G63" s="1"/>
      <c r="H63" s="3"/>
      <c r="I63" s="3"/>
    </row>
    <row r="64" spans="2:9">
      <c r="B64" s="3"/>
      <c r="C64" s="3"/>
      <c r="D64" s="4"/>
      <c r="E64" s="3"/>
      <c r="F64" s="3"/>
      <c r="G64" s="1"/>
      <c r="H64" s="3"/>
      <c r="I64" s="3"/>
    </row>
    <row r="65" spans="2:9">
      <c r="B65" s="3"/>
      <c r="C65" s="3"/>
      <c r="D65" s="4"/>
      <c r="E65" s="3"/>
      <c r="F65" s="3"/>
      <c r="G65" s="1"/>
      <c r="H65" s="3"/>
      <c r="I65" s="3"/>
    </row>
    <row r="66" spans="2:9">
      <c r="B66" s="3"/>
      <c r="C66" s="3"/>
      <c r="D66" s="4"/>
      <c r="E66" s="3"/>
      <c r="F66" s="3"/>
      <c r="G66" s="1"/>
      <c r="H66" s="3"/>
      <c r="I66" s="3"/>
    </row>
    <row r="67" spans="2:9">
      <c r="B67" s="3"/>
      <c r="C67" s="3"/>
      <c r="D67" s="4"/>
      <c r="E67" s="3"/>
      <c r="F67" s="3"/>
      <c r="G67" s="1"/>
      <c r="H67" s="3"/>
      <c r="I67" s="3"/>
    </row>
    <row r="68" spans="2:9">
      <c r="B68" s="3"/>
      <c r="C68" s="3"/>
      <c r="D68" s="4"/>
      <c r="E68" s="3"/>
      <c r="F68" s="3"/>
      <c r="G68" s="1"/>
      <c r="H68" s="3"/>
      <c r="I68" s="3"/>
    </row>
    <row r="69" spans="2:9">
      <c r="B69" s="3"/>
      <c r="C69" s="3"/>
      <c r="D69" s="4"/>
      <c r="E69" s="3"/>
      <c r="F69" s="3"/>
      <c r="G69" s="1"/>
      <c r="H69" s="3"/>
      <c r="I69" s="3"/>
    </row>
    <row r="70" spans="2:9">
      <c r="B70" s="3"/>
      <c r="C70" s="3"/>
      <c r="D70" s="4"/>
      <c r="E70" s="3"/>
      <c r="F70" s="3"/>
      <c r="G70" s="1"/>
      <c r="H70" s="3"/>
      <c r="I70" s="3"/>
    </row>
    <row r="71" spans="2:9">
      <c r="B71" s="3"/>
      <c r="C71" s="3"/>
      <c r="D71" s="4"/>
      <c r="E71" s="3"/>
      <c r="F71" s="3"/>
      <c r="G71" s="1"/>
      <c r="H71" s="3"/>
      <c r="I71" s="3"/>
    </row>
    <row r="72" spans="2:9">
      <c r="B72" s="3"/>
      <c r="C72" s="3"/>
      <c r="D72" s="4"/>
      <c r="E72" s="3"/>
      <c r="F72" s="3"/>
      <c r="G72" s="1"/>
      <c r="H72" s="3"/>
      <c r="I72" s="3"/>
    </row>
    <row r="73" spans="2:9">
      <c r="B73" s="3"/>
      <c r="C73" s="3"/>
      <c r="D73" s="4"/>
      <c r="E73" s="3"/>
      <c r="F73" s="3"/>
      <c r="G73" s="1"/>
      <c r="H73" s="3"/>
      <c r="I73" s="3"/>
    </row>
    <row r="74" spans="2:9">
      <c r="B74" s="3"/>
      <c r="C74" s="3"/>
      <c r="D74" s="4"/>
      <c r="E74" s="3"/>
      <c r="F74" s="3"/>
      <c r="G74" s="1"/>
      <c r="H74" s="3"/>
      <c r="I74" s="3"/>
    </row>
    <row r="75" spans="2:9">
      <c r="B75" s="3"/>
      <c r="C75" s="3"/>
      <c r="D75" s="4"/>
      <c r="E75" s="3"/>
      <c r="F75" s="3"/>
      <c r="G75" s="1"/>
      <c r="H75" s="3"/>
      <c r="I75" s="3"/>
    </row>
    <row r="76" spans="2:9">
      <c r="B76" s="3"/>
      <c r="C76" s="3"/>
      <c r="D76" s="4"/>
      <c r="E76" s="3"/>
      <c r="F76" s="3"/>
      <c r="G76" s="1"/>
      <c r="H76" s="3"/>
      <c r="I76" s="3"/>
    </row>
    <row r="77" spans="2:9">
      <c r="B77" s="3"/>
      <c r="C77" s="3"/>
      <c r="D77" s="4"/>
      <c r="E77" s="3"/>
      <c r="F77" s="3"/>
      <c r="G77" s="1"/>
      <c r="H77" s="3"/>
      <c r="I77" s="3"/>
    </row>
    <row r="78" spans="2:9">
      <c r="B78" s="3"/>
      <c r="C78" s="3"/>
      <c r="D78" s="4"/>
      <c r="E78" s="3"/>
      <c r="F78" s="3"/>
      <c r="G78" s="1"/>
      <c r="H78" s="3"/>
      <c r="I78" s="3"/>
    </row>
    <row r="79" spans="2:9">
      <c r="B79" s="3"/>
      <c r="C79" s="3"/>
      <c r="D79" s="4"/>
      <c r="E79" s="3"/>
      <c r="F79" s="3"/>
      <c r="G79" s="1"/>
      <c r="H79" s="3"/>
      <c r="I79" s="3"/>
    </row>
    <row r="80" spans="2:9">
      <c r="B80" s="3"/>
      <c r="C80" s="3"/>
      <c r="D80" s="4"/>
      <c r="E80" s="3"/>
      <c r="F80" s="3"/>
      <c r="G80" s="1"/>
      <c r="H80" s="3"/>
      <c r="I80" s="3"/>
    </row>
    <row r="81" spans="2:9">
      <c r="B81" s="3"/>
      <c r="C81" s="3"/>
      <c r="D81" s="4"/>
      <c r="E81" s="3"/>
      <c r="F81" s="3"/>
      <c r="G81" s="1"/>
      <c r="H81" s="3"/>
      <c r="I81" s="3"/>
    </row>
    <row r="82" spans="2:9">
      <c r="B82" s="3"/>
      <c r="C82" s="3"/>
      <c r="D82" s="4"/>
      <c r="E82" s="3"/>
      <c r="F82" s="3"/>
      <c r="G82" s="1"/>
      <c r="H82" s="3"/>
      <c r="I82" s="3"/>
    </row>
    <row r="83" spans="2:9">
      <c r="B83" s="3"/>
      <c r="C83" s="3"/>
      <c r="D83" s="4"/>
      <c r="E83" s="3"/>
      <c r="F83" s="3"/>
      <c r="G83" s="1"/>
      <c r="H83" s="3"/>
      <c r="I83" s="3"/>
    </row>
    <row r="84" spans="2:9">
      <c r="B84" s="3"/>
      <c r="C84" s="3"/>
      <c r="D84" s="4"/>
      <c r="E84" s="3"/>
      <c r="F84" s="3"/>
      <c r="G84" s="1"/>
      <c r="H84" s="3"/>
      <c r="I84" s="3"/>
    </row>
    <row r="85" spans="2:9">
      <c r="B85" s="3"/>
      <c r="C85" s="3"/>
      <c r="D85" s="4"/>
      <c r="E85" s="3"/>
      <c r="F85" s="3"/>
      <c r="G85" s="1"/>
      <c r="H85" s="3"/>
      <c r="I85" s="3"/>
    </row>
    <row r="86" spans="2:9">
      <c r="B86" s="3"/>
      <c r="C86" s="3"/>
      <c r="D86" s="4"/>
      <c r="E86" s="3"/>
      <c r="F86" s="3"/>
      <c r="G86" s="1"/>
      <c r="H86" s="3"/>
      <c r="I86" s="3"/>
    </row>
    <row r="87" spans="2:9">
      <c r="B87" s="3"/>
      <c r="C87" s="3"/>
      <c r="D87" s="4"/>
      <c r="E87" s="3"/>
      <c r="F87" s="3"/>
      <c r="G87" s="1"/>
      <c r="H87" s="3"/>
      <c r="I87" s="3"/>
    </row>
    <row r="88" spans="2:9">
      <c r="B88" s="3"/>
      <c r="C88" s="3"/>
      <c r="D88" s="4"/>
      <c r="E88" s="3"/>
      <c r="F88" s="3"/>
      <c r="G88" s="1"/>
      <c r="H88" s="3"/>
      <c r="I88" s="3"/>
    </row>
    <row r="89" spans="2:9">
      <c r="B89" s="3"/>
      <c r="C89" s="3"/>
      <c r="D89" s="4"/>
      <c r="E89" s="3"/>
      <c r="F89" s="3"/>
      <c r="G89" s="1"/>
      <c r="H89" s="3"/>
      <c r="I89" s="3"/>
    </row>
    <row r="90" spans="2:9">
      <c r="B90" s="3"/>
      <c r="C90" s="3"/>
      <c r="D90" s="4"/>
      <c r="E90" s="3"/>
      <c r="F90" s="3"/>
      <c r="G90" s="1"/>
      <c r="H90" s="3"/>
      <c r="I90" s="3"/>
    </row>
    <row r="91" spans="2:9">
      <c r="B91" s="3"/>
      <c r="C91" s="3"/>
      <c r="D91" s="4"/>
      <c r="E91" s="3"/>
      <c r="F91" s="3"/>
      <c r="G91" s="1"/>
      <c r="H91" s="3"/>
      <c r="I91" s="3"/>
    </row>
    <row r="92" spans="2:9">
      <c r="B92" s="1"/>
      <c r="C92" s="5" t="s">
        <v>8</v>
      </c>
      <c r="D92" s="5"/>
      <c r="E92" s="1"/>
      <c r="F92" s="6">
        <f>SUM(F2:F75)</f>
        <v>2198</v>
      </c>
      <c r="G92" s="6" t="e">
        <f>SUM(#REF!)</f>
        <v>#REF!</v>
      </c>
      <c r="H92" s="6">
        <f>SUM(H2:H75)</f>
        <v>85.8</v>
      </c>
      <c r="I92" s="6">
        <f>SUM(I2:I75)</f>
        <v>11945.333739999998</v>
      </c>
    </row>
    <row r="93" spans="2:9">
      <c r="B93" s="3"/>
      <c r="C93" s="3"/>
      <c r="D93" s="4"/>
      <c r="E93" s="3"/>
      <c r="F93" s="3"/>
      <c r="G93" s="1"/>
      <c r="H93" s="3"/>
      <c r="I93" s="3"/>
    </row>
    <row r="94" spans="2:9">
      <c r="B94" s="3"/>
      <c r="C94" s="3"/>
      <c r="D94" s="4"/>
      <c r="E94" s="3"/>
      <c r="F94" s="3"/>
      <c r="G94" s="1"/>
      <c r="H94" s="3"/>
      <c r="I94" s="3"/>
    </row>
    <row r="95" spans="2:9">
      <c r="B95" s="3"/>
      <c r="C95" s="3"/>
      <c r="D95" s="4"/>
      <c r="E95" s="3"/>
      <c r="F95" s="3"/>
      <c r="G95" s="1"/>
      <c r="H95" s="3"/>
      <c r="I95" s="3"/>
    </row>
    <row r="96" spans="2:9">
      <c r="B96" s="3"/>
      <c r="C96" s="3"/>
      <c r="D96" s="4"/>
      <c r="E96" s="3"/>
      <c r="F96" s="3"/>
      <c r="G96" s="1"/>
      <c r="H96" s="3"/>
      <c r="I96" s="3"/>
    </row>
    <row r="97" spans="2:9">
      <c r="B97" s="3"/>
      <c r="C97" s="3"/>
      <c r="D97" s="4"/>
      <c r="E97" s="3"/>
      <c r="F97" s="3"/>
      <c r="G97" s="1"/>
      <c r="H97" s="3"/>
      <c r="I97" s="3"/>
    </row>
    <row r="98" spans="2:9">
      <c r="B98" s="3"/>
      <c r="C98" s="3"/>
      <c r="D98" s="4"/>
      <c r="E98" s="3"/>
      <c r="F98" s="3"/>
      <c r="G98" s="1"/>
      <c r="H98" s="3"/>
      <c r="I98" s="3"/>
    </row>
    <row r="99" spans="2:9">
      <c r="B99" s="3"/>
      <c r="C99" s="3"/>
      <c r="D99" s="4"/>
      <c r="E99" s="3"/>
      <c r="F99" s="3"/>
      <c r="G99" s="1"/>
      <c r="H99" s="3"/>
      <c r="I99" s="3"/>
    </row>
    <row r="100" spans="2:9">
      <c r="B100" s="3"/>
      <c r="C100" s="3"/>
      <c r="D100" s="4"/>
      <c r="E100" s="3"/>
      <c r="F100" s="3"/>
      <c r="G100" s="1"/>
      <c r="H100" s="3"/>
      <c r="I100" s="3"/>
    </row>
    <row r="101" spans="2:9">
      <c r="B101" s="3"/>
      <c r="C101" s="3"/>
      <c r="D101" s="4"/>
      <c r="E101" s="3"/>
      <c r="F101" s="3"/>
      <c r="G101" s="1"/>
      <c r="H101" s="3"/>
      <c r="I101" s="3"/>
    </row>
    <row r="102" spans="2:9">
      <c r="B102" s="3"/>
      <c r="C102" s="3"/>
      <c r="D102" s="4"/>
      <c r="E102" s="3"/>
      <c r="F102" s="3"/>
      <c r="G102" s="1"/>
      <c r="H102" s="3"/>
      <c r="I102" s="3"/>
    </row>
    <row r="103" spans="2:9">
      <c r="B103" s="3"/>
      <c r="C103" s="3"/>
      <c r="D103" s="4"/>
      <c r="E103" s="3"/>
      <c r="F103" s="3"/>
      <c r="G103" s="1"/>
      <c r="H103" s="3"/>
      <c r="I103" s="3"/>
    </row>
    <row r="104" spans="2:9">
      <c r="B104" s="3"/>
      <c r="C104" s="3"/>
      <c r="D104" s="4"/>
      <c r="E104" s="3"/>
      <c r="F104" s="3"/>
      <c r="G104" s="1"/>
      <c r="H104" s="3"/>
      <c r="I104" s="3"/>
    </row>
    <row r="105" spans="2:9">
      <c r="B105" s="3"/>
      <c r="C105" s="3"/>
      <c r="D105" s="4"/>
      <c r="E105" s="3"/>
      <c r="F105" s="3"/>
      <c r="G105" s="1"/>
      <c r="H105" s="3"/>
      <c r="I105" s="3"/>
    </row>
    <row r="106" spans="2:9">
      <c r="B106" s="3"/>
      <c r="C106" s="3"/>
      <c r="D106" s="4"/>
      <c r="E106" s="3"/>
      <c r="F106" s="3"/>
      <c r="G106" s="1"/>
      <c r="H106" s="3"/>
      <c r="I106" s="3"/>
    </row>
    <row r="107" spans="2:9">
      <c r="B107" s="3"/>
      <c r="C107" s="3"/>
      <c r="D107" s="4"/>
      <c r="E107" s="3"/>
      <c r="F107" s="3"/>
      <c r="G107" s="1"/>
      <c r="H107" s="3"/>
      <c r="I107" s="3"/>
    </row>
    <row r="108" spans="2:9">
      <c r="B108" s="3"/>
      <c r="C108" s="3"/>
      <c r="D108" s="4"/>
      <c r="E108" s="3"/>
      <c r="F108" s="3"/>
      <c r="G108" s="1"/>
      <c r="H108" s="3"/>
      <c r="I108" s="3"/>
    </row>
    <row r="109" spans="2:9">
      <c r="B109" s="3"/>
      <c r="C109" s="3"/>
      <c r="D109" s="4"/>
      <c r="E109" s="3"/>
      <c r="F109" s="3"/>
      <c r="G109" s="1"/>
      <c r="H109" s="3"/>
      <c r="I109" s="3"/>
    </row>
    <row r="110" spans="2:9">
      <c r="B110" s="3"/>
      <c r="C110" s="3"/>
      <c r="D110" s="4"/>
      <c r="E110" s="3"/>
      <c r="F110" s="3"/>
      <c r="G110" s="1"/>
      <c r="H110" s="3"/>
      <c r="I110" s="3"/>
    </row>
    <row r="111" spans="2:9">
      <c r="B111" s="3"/>
      <c r="C111" s="3"/>
      <c r="D111" s="4"/>
      <c r="E111" s="3"/>
      <c r="F111" s="3"/>
      <c r="G111" s="1"/>
      <c r="H111" s="3"/>
      <c r="I111" s="3"/>
    </row>
    <row r="112" spans="2:9">
      <c r="B112" s="3"/>
      <c r="C112" s="3"/>
      <c r="D112" s="4"/>
      <c r="E112" s="3"/>
      <c r="F112" s="3"/>
      <c r="G112" s="1"/>
      <c r="H112" s="3"/>
      <c r="I112" s="3"/>
    </row>
    <row r="113" spans="2:9">
      <c r="B113" s="3"/>
      <c r="C113" s="3"/>
      <c r="D113" s="4"/>
      <c r="E113" s="3"/>
      <c r="F113" s="3"/>
      <c r="G113" s="1"/>
      <c r="H113" s="3"/>
      <c r="I113" s="3"/>
    </row>
    <row r="114" spans="2:9">
      <c r="B114" s="3"/>
      <c r="C114" s="3"/>
      <c r="D114" s="4"/>
      <c r="E114" s="3"/>
      <c r="F114" s="3"/>
      <c r="G114" s="1"/>
      <c r="H114" s="3"/>
      <c r="I114" s="3"/>
    </row>
    <row r="115" spans="2:9">
      <c r="B115" s="3"/>
      <c r="C115" s="3"/>
      <c r="D115" s="4"/>
      <c r="E115" s="3"/>
      <c r="F115" s="3"/>
      <c r="G115" s="1"/>
      <c r="H115" s="3"/>
      <c r="I115" s="3"/>
    </row>
    <row r="116" spans="2:9">
      <c r="B116" s="3"/>
      <c r="C116" s="3"/>
      <c r="D116" s="4"/>
      <c r="E116" s="3"/>
      <c r="F116" s="3"/>
      <c r="G116" s="1"/>
      <c r="H116" s="3"/>
      <c r="I116" s="3"/>
    </row>
    <row r="117" spans="2:9">
      <c r="B117" s="3"/>
      <c r="C117" s="3"/>
      <c r="D117" s="4"/>
      <c r="E117" s="3"/>
      <c r="F117" s="3"/>
      <c r="G117" s="1"/>
      <c r="H117" s="3"/>
      <c r="I117" s="3"/>
    </row>
    <row r="118" spans="2:9">
      <c r="B118" s="3"/>
      <c r="C118" s="3"/>
      <c r="D118" s="4"/>
      <c r="E118" s="3"/>
      <c r="F118" s="3"/>
      <c r="G118" s="1"/>
      <c r="H118" s="3"/>
      <c r="I118" s="3"/>
    </row>
    <row r="119" spans="2:9">
      <c r="B119" s="3"/>
      <c r="C119" s="3"/>
      <c r="D119" s="4"/>
      <c r="E119" s="3"/>
      <c r="F119" s="3"/>
      <c r="G119" s="1"/>
      <c r="H119" s="3"/>
      <c r="I119" s="3"/>
    </row>
    <row r="120" spans="2:9">
      <c r="B120" s="3"/>
      <c r="C120" s="3"/>
      <c r="D120" s="4"/>
      <c r="E120" s="3"/>
      <c r="F120" s="3"/>
      <c r="G120" s="1"/>
      <c r="H120" s="3"/>
      <c r="I120" s="3"/>
    </row>
    <row r="121" spans="2:9">
      <c r="B121" s="3"/>
      <c r="C121" s="3"/>
      <c r="D121" s="4"/>
      <c r="E121" s="3"/>
      <c r="F121" s="3"/>
      <c r="G121" s="1"/>
      <c r="H121" s="3"/>
      <c r="I121" s="3"/>
    </row>
    <row r="122" spans="2:9">
      <c r="B122" s="3"/>
      <c r="C122" s="3"/>
      <c r="D122" s="4"/>
      <c r="E122" s="3"/>
      <c r="F122" s="3"/>
      <c r="G122" s="1"/>
      <c r="H122" s="3"/>
      <c r="I122" s="3"/>
    </row>
    <row r="123" spans="2:9">
      <c r="B123" s="3"/>
      <c r="C123" s="3"/>
      <c r="D123" s="4"/>
      <c r="E123" s="3"/>
      <c r="F123" s="3"/>
      <c r="G123" s="1"/>
      <c r="H123" s="3"/>
      <c r="I123" s="3"/>
    </row>
    <row r="124" spans="2:9">
      <c r="B124" s="3"/>
      <c r="C124" s="3"/>
      <c r="D124" s="4"/>
      <c r="E124" s="3"/>
      <c r="F124" s="3"/>
      <c r="G124" s="1"/>
      <c r="H124" s="3"/>
      <c r="I124" s="3"/>
    </row>
    <row r="125" spans="2:9">
      <c r="B125" s="3"/>
      <c r="C125" s="3"/>
      <c r="D125" s="4"/>
      <c r="E125" s="3"/>
      <c r="F125" s="3"/>
      <c r="G125" s="1"/>
      <c r="H125" s="3"/>
      <c r="I125" s="3"/>
    </row>
    <row r="126" spans="2:9">
      <c r="B126" s="3"/>
      <c r="C126" s="3"/>
      <c r="D126" s="4"/>
      <c r="E126" s="3"/>
      <c r="F126" s="3"/>
      <c r="G126" s="1"/>
      <c r="H126" s="3"/>
      <c r="I126" s="3"/>
    </row>
    <row r="127" spans="2:9">
      <c r="B127" s="1"/>
      <c r="C127" s="1"/>
      <c r="D127" s="4"/>
      <c r="E127" s="1"/>
      <c r="F127" s="3"/>
      <c r="G127" s="1"/>
      <c r="H127" s="3"/>
      <c r="I127" s="3"/>
    </row>
    <row r="128" spans="2:9">
      <c r="B128" s="3"/>
      <c r="C128" s="3"/>
      <c r="D128" s="4"/>
      <c r="E128" s="3"/>
      <c r="F128" s="3"/>
      <c r="G128" s="1"/>
      <c r="H128" s="3"/>
      <c r="I128" s="3"/>
    </row>
    <row r="129" spans="2:9">
      <c r="B129" s="3"/>
      <c r="C129" s="3"/>
      <c r="D129" s="4"/>
      <c r="E129" s="3"/>
      <c r="F129" s="3"/>
      <c r="G129" s="1"/>
      <c r="H129" s="3"/>
      <c r="I129" s="3"/>
    </row>
    <row r="130" spans="2:9">
      <c r="B130" s="3"/>
      <c r="C130" s="3"/>
      <c r="D130" s="4"/>
      <c r="E130" s="3"/>
      <c r="F130" s="3"/>
      <c r="G130" s="1"/>
      <c r="H130" s="3"/>
      <c r="I130" s="3"/>
    </row>
    <row r="131" spans="2:9">
      <c r="B131" s="1"/>
      <c r="C131" s="1"/>
      <c r="D131" s="4"/>
      <c r="E131" s="1"/>
      <c r="F131" s="3"/>
      <c r="G131" s="1"/>
      <c r="H131" s="3"/>
      <c r="I131" s="3"/>
    </row>
    <row r="132" spans="2:9">
      <c r="B132" s="1"/>
      <c r="C132" s="1"/>
      <c r="D132" s="4"/>
      <c r="E132" s="1"/>
      <c r="F132" s="3"/>
      <c r="G132" s="1"/>
      <c r="H132" s="3"/>
      <c r="I132" s="3"/>
    </row>
    <row r="133" spans="2:9">
      <c r="B133" s="1"/>
      <c r="C133" s="1"/>
      <c r="D133" s="4"/>
      <c r="E133" s="1"/>
      <c r="F133" s="3"/>
      <c r="G133" s="1"/>
      <c r="H133" s="3"/>
      <c r="I133" s="3"/>
    </row>
    <row r="134" spans="2:9">
      <c r="B134" s="1"/>
      <c r="C134" s="1"/>
      <c r="D134" s="4"/>
      <c r="E134" s="1"/>
      <c r="F134" s="3"/>
      <c r="G134" s="1"/>
      <c r="H134" s="3"/>
      <c r="I134" s="3"/>
    </row>
    <row r="135" spans="2:9">
      <c r="B135" s="1"/>
      <c r="C135" s="1"/>
      <c r="D135" s="4"/>
      <c r="E135" s="1"/>
      <c r="F135" s="3"/>
      <c r="G135" s="1"/>
      <c r="H135" s="3"/>
      <c r="I135" s="3"/>
    </row>
    <row r="136" spans="2:9">
      <c r="B136" s="1"/>
      <c r="C136" s="1"/>
      <c r="D136" s="4"/>
      <c r="E136" s="1"/>
      <c r="F136" s="3"/>
      <c r="G136" s="1"/>
      <c r="H136" s="3"/>
      <c r="I136" s="3"/>
    </row>
    <row r="137" spans="2:9">
      <c r="B137" s="1"/>
      <c r="C137" s="1"/>
      <c r="D137" s="4"/>
      <c r="E137" s="1"/>
      <c r="F137" s="3"/>
      <c r="G137" s="1"/>
      <c r="H137" s="3"/>
      <c r="I137" s="3"/>
    </row>
    <row r="138" spans="2:9">
      <c r="B138" s="1"/>
      <c r="C138" s="1"/>
      <c r="D138" s="4"/>
      <c r="E138" s="1"/>
      <c r="F138" s="3"/>
      <c r="G138" s="1"/>
      <c r="H138" s="3"/>
      <c r="I138" s="3"/>
    </row>
    <row r="139" spans="2:9">
      <c r="B139" s="1"/>
      <c r="C139" s="1"/>
      <c r="D139" s="4"/>
      <c r="E139" s="1"/>
      <c r="F139" s="3"/>
      <c r="G139" s="1"/>
      <c r="H139" s="3"/>
      <c r="I139" s="3"/>
    </row>
    <row r="140" spans="2:9">
      <c r="B140" s="1"/>
      <c r="C140" s="1"/>
      <c r="D140" s="1"/>
      <c r="E140" s="1"/>
      <c r="F140" s="1"/>
      <c r="G140" s="1"/>
      <c r="H140" s="1"/>
      <c r="I140" s="1"/>
    </row>
    <row r="141" spans="2:9">
      <c r="B141" s="1"/>
      <c r="C141" s="1"/>
      <c r="D141" s="1"/>
      <c r="E141" s="1"/>
      <c r="F141" s="1"/>
      <c r="G141" s="1"/>
      <c r="H141" s="1"/>
      <c r="I141" s="1"/>
    </row>
    <row r="142" spans="2:9">
      <c r="B142" s="1"/>
      <c r="C142" s="1"/>
      <c r="D142" s="1"/>
      <c r="E142" s="1"/>
      <c r="F142" s="1"/>
      <c r="G142" s="1"/>
      <c r="H142" s="1"/>
      <c r="I142" s="1"/>
    </row>
    <row r="143" spans="2:9">
      <c r="B143" s="1"/>
      <c r="C143" s="1"/>
      <c r="D143" s="1"/>
      <c r="E143" s="1"/>
      <c r="F143" s="1"/>
      <c r="G143" s="1"/>
      <c r="H143" s="1"/>
      <c r="I143" s="1"/>
    </row>
    <row r="144" spans="2:9">
      <c r="B144" s="1"/>
      <c r="C144" s="1"/>
      <c r="D144" s="1"/>
      <c r="E144" s="1"/>
      <c r="F144" s="1"/>
      <c r="G144" s="1"/>
      <c r="H144" s="1"/>
      <c r="I144" s="1"/>
    </row>
    <row r="145" spans="2:9">
      <c r="B145" s="1"/>
      <c r="C145" s="1"/>
      <c r="D145" s="1"/>
      <c r="E145" s="1"/>
      <c r="F145" s="1"/>
      <c r="G145" s="1"/>
      <c r="H145" s="1"/>
      <c r="I145" s="1"/>
    </row>
    <row r="146" spans="2:9">
      <c r="B146" s="1"/>
      <c r="C146" s="1"/>
      <c r="D146" s="1"/>
      <c r="E146" s="1"/>
      <c r="F146" s="1"/>
      <c r="G146" s="1"/>
      <c r="H146" s="1"/>
      <c r="I146" s="1"/>
    </row>
    <row r="147" spans="2:9">
      <c r="B147" s="1"/>
      <c r="C147" s="1"/>
      <c r="D147" s="1"/>
      <c r="E147" s="1"/>
      <c r="F147" s="1"/>
      <c r="G147" s="1"/>
      <c r="H147" s="1"/>
      <c r="I147" s="1"/>
    </row>
    <row r="148" spans="2:9">
      <c r="B148" s="1"/>
      <c r="C148" s="1"/>
      <c r="D148" s="1"/>
      <c r="E148" s="1"/>
      <c r="F148" s="1"/>
      <c r="G148" s="1"/>
      <c r="H148" s="1"/>
      <c r="I148" s="1"/>
    </row>
    <row r="149" spans="2:9">
      <c r="B149" s="1"/>
      <c r="C149" s="1"/>
      <c r="D149" s="1"/>
      <c r="E149" s="1"/>
      <c r="F149" s="1"/>
      <c r="G149" s="1"/>
      <c r="H149" s="1"/>
      <c r="I149" s="1"/>
    </row>
    <row r="150" spans="2:9">
      <c r="B150" s="1"/>
      <c r="C150" s="1"/>
      <c r="D150" s="1"/>
      <c r="E150" s="1"/>
      <c r="F150" s="1"/>
      <c r="G150" s="1"/>
      <c r="H150" s="1"/>
      <c r="I150" s="1"/>
    </row>
    <row r="151" spans="2:9">
      <c r="B151" s="1"/>
      <c r="C151" s="1"/>
      <c r="D151" s="1"/>
      <c r="E151" s="1"/>
      <c r="F151" s="1"/>
      <c r="G151" s="1"/>
      <c r="H151" s="1"/>
      <c r="I151" s="1"/>
    </row>
    <row r="152" spans="2:9">
      <c r="B152" s="1"/>
      <c r="C152" s="1"/>
      <c r="D152" s="1"/>
      <c r="E152" s="1"/>
      <c r="F152" s="1"/>
      <c r="G152" s="1"/>
      <c r="H152" s="1"/>
      <c r="I152" s="1"/>
    </row>
    <row r="153" spans="2:9">
      <c r="B153" s="1"/>
      <c r="C153" s="1"/>
      <c r="D153" s="1"/>
      <c r="E153" s="1"/>
      <c r="F153" s="1"/>
      <c r="G153" s="1"/>
      <c r="H153" s="1"/>
      <c r="I153" s="1"/>
    </row>
    <row r="154" spans="2:9">
      <c r="B154" s="1"/>
      <c r="C154" s="1"/>
      <c r="D154" s="1"/>
      <c r="E154" s="1"/>
      <c r="F154" s="1"/>
      <c r="G154" s="1"/>
      <c r="H154" s="1"/>
      <c r="I154" s="1"/>
    </row>
    <row r="155" spans="2:9">
      <c r="B155" s="1"/>
      <c r="C155" s="1"/>
      <c r="D155" s="1"/>
      <c r="E155" s="1"/>
      <c r="F155" s="1"/>
      <c r="G155" s="1"/>
      <c r="H155" s="1"/>
      <c r="I155" s="1"/>
    </row>
    <row r="156" spans="2:9">
      <c r="B156" s="1"/>
      <c r="C156" s="5" t="s">
        <v>8</v>
      </c>
      <c r="D156" s="5"/>
      <c r="E156" s="1"/>
      <c r="F156" s="6">
        <f>SUM(F1:F155)</f>
        <v>4396</v>
      </c>
      <c r="G156" s="6" t="e">
        <f>SUM(G31:G155)</f>
        <v>#REF!</v>
      </c>
      <c r="H156" s="6">
        <f>SUM(H1:H155)</f>
        <v>171.6</v>
      </c>
      <c r="I156" s="6">
        <f>SUM(I1:I155)</f>
        <v>23890.667479999996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851D-9258-4727-A400-5EF0E4D94DBA}">
  <dimension ref="A1:M92"/>
  <sheetViews>
    <sheetView workbookViewId="0">
      <selection activeCell="K4" sqref="K4:M4"/>
    </sheetView>
  </sheetViews>
  <sheetFormatPr defaultRowHeight="14.25"/>
  <cols>
    <col min="2" max="2" width="19.125" customWidth="1"/>
    <col min="3" max="3" width="17.125" customWidth="1"/>
    <col min="4" max="4" width="0.125" customWidth="1"/>
    <col min="5" max="5" width="10.875" customWidth="1"/>
    <col min="6" max="6" width="12.125" customWidth="1"/>
    <col min="7" max="7" width="6.75" hidden="1" customWidth="1"/>
    <col min="8" max="8" width="9.625" customWidth="1"/>
    <col min="9" max="9" width="0.125" customWidth="1"/>
    <col min="10" max="10" width="11" customWidth="1"/>
  </cols>
  <sheetData>
    <row r="1" spans="1:13">
      <c r="A1" t="s">
        <v>0</v>
      </c>
      <c r="B1" s="1" t="s">
        <v>1</v>
      </c>
      <c r="C1" s="1" t="s">
        <v>2</v>
      </c>
      <c r="D1" s="2" t="s">
        <v>5</v>
      </c>
      <c r="E1" s="1" t="s">
        <v>4</v>
      </c>
      <c r="F1" s="2" t="s">
        <v>7</v>
      </c>
      <c r="G1" s="2" t="s">
        <v>3</v>
      </c>
      <c r="H1" s="2" t="s">
        <v>6</v>
      </c>
      <c r="I1" s="2" t="s">
        <v>9</v>
      </c>
      <c r="J1" s="2" t="s">
        <v>10</v>
      </c>
    </row>
    <row r="2" spans="1:13">
      <c r="A2">
        <v>20550</v>
      </c>
      <c r="B2" s="3">
        <f>0</f>
        <v>0</v>
      </c>
      <c r="C2" s="3">
        <f xml:space="preserve"> 0</f>
        <v>0</v>
      </c>
      <c r="D2" s="1">
        <f xml:space="preserve"> B2*25</f>
        <v>0</v>
      </c>
      <c r="E2" s="3">
        <f xml:space="preserve"> 0</f>
        <v>0</v>
      </c>
      <c r="F2" s="3">
        <f>ROUND(D2/27,1)</f>
        <v>0</v>
      </c>
      <c r="G2" s="1">
        <f xml:space="preserve"> B2*25</f>
        <v>0</v>
      </c>
      <c r="H2" s="3">
        <f>ROUND(G2/27,1)</f>
        <v>0</v>
      </c>
      <c r="I2" s="3">
        <f xml:space="preserve"> $E2 * 25</f>
        <v>0</v>
      </c>
      <c r="J2" s="7">
        <f>ROUND(I2*0.1111,1)</f>
        <v>0</v>
      </c>
    </row>
    <row r="3" spans="1:13">
      <c r="A3">
        <f t="shared" ref="A3:A9" si="0">A2+50</f>
        <v>20600</v>
      </c>
      <c r="B3" s="3">
        <f xml:space="preserve"> 14.6674</f>
        <v>14.667400000000001</v>
      </c>
      <c r="C3" s="3">
        <f xml:space="preserve"> 0.3192</f>
        <v>0.31919999999999998</v>
      </c>
      <c r="D3" s="4">
        <f t="shared" ref="D3:D8" si="1">($B3*($A4-$A2))/2</f>
        <v>733.37</v>
      </c>
      <c r="E3" s="3">
        <v>2.121</v>
      </c>
      <c r="F3" s="3">
        <f t="shared" ref="F3:F11" si="2">ROUND(D3/27,1)</f>
        <v>27.2</v>
      </c>
      <c r="G3" s="1">
        <f t="shared" ref="G3:G8" si="3">($C3*($A4-$A2))/2</f>
        <v>15.959999999999999</v>
      </c>
      <c r="H3" s="3">
        <f t="shared" ref="H3:H11" si="4">ROUND(G3/27,1)</f>
        <v>0.6</v>
      </c>
      <c r="I3" s="3">
        <f t="shared" ref="I3:I8" si="5">($E3*($A4-$A2))/2</f>
        <v>106.05</v>
      </c>
      <c r="J3" s="7">
        <f t="shared" ref="J3:J11" si="6">ROUND(I3*0.1111,1)</f>
        <v>11.8</v>
      </c>
    </row>
    <row r="4" spans="1:13">
      <c r="A4">
        <f t="shared" si="0"/>
        <v>20650</v>
      </c>
      <c r="B4" s="3">
        <f>19.8218</f>
        <v>19.8218</v>
      </c>
      <c r="C4" s="3">
        <f xml:space="preserve"> 0.7529</f>
        <v>0.75290000000000001</v>
      </c>
      <c r="D4" s="4">
        <f t="shared" si="1"/>
        <v>991.09</v>
      </c>
      <c r="E4" s="3">
        <f>3.8966</f>
        <v>3.8965999999999998</v>
      </c>
      <c r="F4" s="3">
        <f t="shared" si="2"/>
        <v>36.700000000000003</v>
      </c>
      <c r="G4" s="1">
        <f t="shared" si="3"/>
        <v>37.645000000000003</v>
      </c>
      <c r="H4" s="3">
        <f t="shared" si="4"/>
        <v>1.4</v>
      </c>
      <c r="I4" s="3">
        <f t="shared" si="5"/>
        <v>194.82999999999998</v>
      </c>
      <c r="J4" s="7">
        <f t="shared" si="6"/>
        <v>21.6</v>
      </c>
      <c r="K4" s="7">
        <f>SUM(F2:F4)</f>
        <v>63.900000000000006</v>
      </c>
      <c r="L4" s="7">
        <f>SUM(H2:H4)</f>
        <v>2</v>
      </c>
      <c r="M4" s="7">
        <f>SUM(J2:J4)</f>
        <v>33.400000000000006</v>
      </c>
    </row>
    <row r="5" spans="1:13">
      <c r="A5">
        <f t="shared" si="0"/>
        <v>20700</v>
      </c>
      <c r="B5" s="3">
        <v>20.772200000000002</v>
      </c>
      <c r="C5" s="3">
        <v>0.52200000000000002</v>
      </c>
      <c r="D5" s="4">
        <f t="shared" si="1"/>
        <v>1038.6100000000001</v>
      </c>
      <c r="E5" s="3">
        <v>2.5362</v>
      </c>
      <c r="F5" s="3">
        <f t="shared" si="2"/>
        <v>38.5</v>
      </c>
      <c r="G5" s="1">
        <f t="shared" si="3"/>
        <v>26.1</v>
      </c>
      <c r="H5" s="3">
        <f t="shared" si="4"/>
        <v>1</v>
      </c>
      <c r="I5" s="3">
        <f t="shared" si="5"/>
        <v>126.81</v>
      </c>
      <c r="J5" s="7">
        <f t="shared" si="6"/>
        <v>14.1</v>
      </c>
    </row>
    <row r="6" spans="1:13">
      <c r="A6">
        <f t="shared" si="0"/>
        <v>20750</v>
      </c>
      <c r="B6" s="3">
        <v>19.7789</v>
      </c>
      <c r="C6" s="3">
        <v>0</v>
      </c>
      <c r="D6" s="4">
        <f t="shared" si="1"/>
        <v>988.94500000000005</v>
      </c>
      <c r="E6" s="3">
        <v>1.7096</v>
      </c>
      <c r="F6" s="3">
        <f t="shared" si="2"/>
        <v>36.6</v>
      </c>
      <c r="G6" s="1">
        <f t="shared" si="3"/>
        <v>0</v>
      </c>
      <c r="H6" s="3">
        <f t="shared" si="4"/>
        <v>0</v>
      </c>
      <c r="I6" s="3">
        <f t="shared" si="5"/>
        <v>85.48</v>
      </c>
      <c r="J6" s="7">
        <f t="shared" si="6"/>
        <v>9.5</v>
      </c>
    </row>
    <row r="7" spans="1:13">
      <c r="A7">
        <f t="shared" si="0"/>
        <v>20800</v>
      </c>
      <c r="B7" s="3">
        <v>18.363099999999999</v>
      </c>
      <c r="C7" s="3">
        <v>9.5603999999999996</v>
      </c>
      <c r="D7" s="4">
        <f t="shared" si="1"/>
        <v>918.15499999999997</v>
      </c>
      <c r="E7" s="3">
        <v>4.5696000000000003</v>
      </c>
      <c r="F7" s="3">
        <f t="shared" si="2"/>
        <v>34</v>
      </c>
      <c r="G7" s="1">
        <f t="shared" si="3"/>
        <v>478.02</v>
      </c>
      <c r="H7" s="3">
        <f t="shared" si="4"/>
        <v>17.7</v>
      </c>
      <c r="I7" s="3">
        <f t="shared" si="5"/>
        <v>228.48000000000002</v>
      </c>
      <c r="J7" s="7">
        <f t="shared" si="6"/>
        <v>25.4</v>
      </c>
      <c r="K7" s="7">
        <f>SUM(F5:F7)</f>
        <v>109.1</v>
      </c>
      <c r="L7" s="7">
        <f>SUM(H5:H7)</f>
        <v>18.7</v>
      </c>
      <c r="M7" s="7">
        <f>SUM(J5:J7)</f>
        <v>49</v>
      </c>
    </row>
    <row r="8" spans="1:13">
      <c r="A8">
        <f t="shared" si="0"/>
        <v>20850</v>
      </c>
      <c r="B8" s="3">
        <v>18.351500000000001</v>
      </c>
      <c r="C8" s="3">
        <v>4.8212999999999999</v>
      </c>
      <c r="D8" s="4">
        <f t="shared" si="1"/>
        <v>917.57500000000005</v>
      </c>
      <c r="E8" s="3">
        <v>7.4375</v>
      </c>
      <c r="F8" s="3">
        <f t="shared" si="2"/>
        <v>34</v>
      </c>
      <c r="G8" s="1">
        <f t="shared" si="3"/>
        <v>241.065</v>
      </c>
      <c r="H8" s="3">
        <f t="shared" si="4"/>
        <v>8.9</v>
      </c>
      <c r="I8" s="3">
        <f t="shared" si="5"/>
        <v>371.875</v>
      </c>
      <c r="J8" s="7">
        <f t="shared" si="6"/>
        <v>41.3</v>
      </c>
    </row>
    <row r="9" spans="1:13">
      <c r="A9">
        <f t="shared" si="0"/>
        <v>20900</v>
      </c>
      <c r="B9" s="3">
        <f>22.4175+8.4185</f>
        <v>30.835999999999999</v>
      </c>
      <c r="C9" s="3">
        <v>5.0900000000000001E-2</v>
      </c>
      <c r="D9" s="4">
        <f>($B9*($A9-$A8))/2</f>
        <v>770.9</v>
      </c>
      <c r="E9" s="3">
        <f>0.7044+1.8142</f>
        <v>2.5186000000000002</v>
      </c>
      <c r="F9" s="3">
        <f t="shared" si="2"/>
        <v>28.6</v>
      </c>
      <c r="G9" s="1">
        <f>($C9*($A9-$A8))/2</f>
        <v>1.2725</v>
      </c>
      <c r="H9" s="3">
        <f>G9/27</f>
        <v>4.7129629629629625E-2</v>
      </c>
      <c r="I9" s="3">
        <f>($E9*($A9-$A8))/2</f>
        <v>62.965000000000003</v>
      </c>
      <c r="J9" s="7">
        <f t="shared" si="6"/>
        <v>7</v>
      </c>
    </row>
    <row r="10" spans="1:13">
      <c r="A10">
        <f>21100</f>
        <v>21100</v>
      </c>
      <c r="B10" s="3">
        <f>5.5073+4.6737</f>
        <v>10.181000000000001</v>
      </c>
      <c r="C10" s="3">
        <f>0.1163</f>
        <v>0.1163</v>
      </c>
      <c r="D10" s="4">
        <f>($B10*($A11-$A10))/2</f>
        <v>254.52500000000003</v>
      </c>
      <c r="E10" s="3">
        <f>4.4287+1.7456</f>
        <v>6.1743000000000006</v>
      </c>
      <c r="F10" s="3">
        <f t="shared" si="2"/>
        <v>9.4</v>
      </c>
      <c r="G10" s="1">
        <f>($C10*($A11-$A10))/2</f>
        <v>2.9075000000000002</v>
      </c>
      <c r="H10" s="3">
        <f t="shared" si="4"/>
        <v>0.1</v>
      </c>
      <c r="I10" s="3">
        <f>($E10*($A11-$A10))/2</f>
        <v>154.35750000000002</v>
      </c>
      <c r="J10" s="7">
        <f t="shared" si="6"/>
        <v>17.100000000000001</v>
      </c>
      <c r="K10" s="7">
        <f>SUM(F8:F10)</f>
        <v>72</v>
      </c>
      <c r="L10" s="7">
        <f>SUM(H8:H10)</f>
        <v>9.0471296296296302</v>
      </c>
      <c r="M10" s="7">
        <f>SUM(J8:J10)</f>
        <v>65.400000000000006</v>
      </c>
    </row>
    <row r="11" spans="1:13">
      <c r="A11">
        <f>A10+50</f>
        <v>21150</v>
      </c>
      <c r="B11" s="3">
        <v>0</v>
      </c>
      <c r="C11" s="3">
        <v>0</v>
      </c>
      <c r="D11" s="4">
        <f>($B11*($A11-$A10))/2</f>
        <v>0</v>
      </c>
      <c r="E11" s="3">
        <v>0</v>
      </c>
      <c r="F11" s="3">
        <f t="shared" si="2"/>
        <v>0</v>
      </c>
      <c r="G11" s="1">
        <f>($C11*($A11-$A10))/2</f>
        <v>0</v>
      </c>
      <c r="H11" s="3">
        <f t="shared" si="4"/>
        <v>0</v>
      </c>
      <c r="I11" s="3">
        <f>($E11*($A11-$A10))/2</f>
        <v>0</v>
      </c>
      <c r="J11" s="7">
        <f t="shared" si="6"/>
        <v>0</v>
      </c>
    </row>
    <row r="12" spans="1:13">
      <c r="B12" s="3"/>
      <c r="C12" s="3"/>
      <c r="D12" s="4"/>
      <c r="E12" s="3"/>
      <c r="F12" s="3"/>
      <c r="G12" s="1"/>
      <c r="H12" s="3"/>
      <c r="I12" s="3"/>
    </row>
    <row r="13" spans="1:13">
      <c r="B13" s="3"/>
      <c r="C13" s="3"/>
      <c r="D13" s="4"/>
      <c r="E13" s="3"/>
      <c r="F13" s="3"/>
      <c r="G13" s="1"/>
      <c r="H13" s="3"/>
      <c r="I13" s="3"/>
    </row>
    <row r="14" spans="1:13">
      <c r="B14" s="3"/>
      <c r="C14" s="3"/>
      <c r="D14" s="4"/>
      <c r="E14" s="3"/>
      <c r="F14" s="3"/>
      <c r="G14" s="1"/>
      <c r="H14" s="3"/>
      <c r="I14" s="3"/>
    </row>
    <row r="15" spans="1:13">
      <c r="B15" s="3"/>
      <c r="C15" s="3"/>
      <c r="D15" s="4"/>
      <c r="E15" s="3"/>
      <c r="F15" s="3"/>
      <c r="G15" s="1"/>
      <c r="H15" s="3"/>
      <c r="I15" s="3"/>
    </row>
    <row r="16" spans="1:13">
      <c r="B16" s="3"/>
      <c r="C16" s="3"/>
      <c r="D16" s="4"/>
      <c r="E16" s="3"/>
      <c r="F16" s="3"/>
      <c r="G16" s="1"/>
      <c r="H16" s="3"/>
      <c r="I16" s="3"/>
    </row>
    <row r="17" spans="2:10">
      <c r="B17" s="3"/>
      <c r="C17" s="3"/>
      <c r="D17" s="4"/>
      <c r="E17" s="3"/>
      <c r="F17" s="3"/>
      <c r="G17" s="1"/>
      <c r="H17" s="3"/>
      <c r="I17" s="3"/>
    </row>
    <row r="18" spans="2:10">
      <c r="B18" s="3"/>
      <c r="C18" s="3"/>
      <c r="D18" s="4"/>
      <c r="E18" s="3"/>
      <c r="F18" s="3"/>
      <c r="G18" s="1"/>
      <c r="H18" s="3"/>
      <c r="I18" s="3"/>
    </row>
    <row r="19" spans="2:10">
      <c r="B19" s="3"/>
      <c r="C19" s="3"/>
      <c r="D19" s="4"/>
      <c r="E19" s="3"/>
      <c r="F19" s="3"/>
      <c r="G19" s="1"/>
      <c r="H19" s="3"/>
      <c r="I19" s="3"/>
    </row>
    <row r="20" spans="2:10">
      <c r="B20" s="3"/>
      <c r="C20" s="3"/>
      <c r="D20" s="4"/>
      <c r="E20" s="3"/>
      <c r="F20" s="3"/>
      <c r="G20" s="1"/>
      <c r="H20" s="3"/>
      <c r="I20" s="3"/>
    </row>
    <row r="21" spans="2:10">
      <c r="B21" s="3"/>
      <c r="C21" s="3"/>
      <c r="D21" s="4"/>
      <c r="E21" s="3"/>
      <c r="F21" s="3"/>
      <c r="G21" s="1"/>
      <c r="H21" s="3"/>
      <c r="I21" s="3"/>
    </row>
    <row r="22" spans="2:10">
      <c r="B22" s="3"/>
      <c r="C22" s="3"/>
      <c r="D22" s="4"/>
      <c r="E22" s="3"/>
      <c r="F22" s="3"/>
      <c r="G22" s="1"/>
      <c r="H22" s="3"/>
      <c r="I22" s="3"/>
    </row>
    <row r="23" spans="2:10">
      <c r="B23" s="3"/>
      <c r="C23" s="3"/>
      <c r="D23" s="4"/>
      <c r="E23" s="3"/>
      <c r="F23" s="3"/>
      <c r="G23" s="1"/>
      <c r="H23" s="3"/>
      <c r="I23" s="3"/>
    </row>
    <row r="24" spans="2:10">
      <c r="B24" s="3"/>
      <c r="C24" s="3"/>
      <c r="D24" s="4"/>
      <c r="E24" s="3"/>
      <c r="F24" s="3"/>
      <c r="G24" s="1"/>
      <c r="H24" s="3"/>
      <c r="I24" s="3"/>
    </row>
    <row r="25" spans="2:10">
      <c r="B25" s="3"/>
      <c r="C25" s="3"/>
      <c r="D25" s="4"/>
      <c r="E25" s="3"/>
      <c r="F25" s="3"/>
      <c r="G25" s="1"/>
      <c r="H25" s="3"/>
      <c r="I25" s="3"/>
    </row>
    <row r="26" spans="2:10">
      <c r="B26" s="3"/>
      <c r="C26" s="3"/>
      <c r="D26" s="4"/>
      <c r="E26" s="3"/>
      <c r="F26" s="3"/>
      <c r="G26" s="1"/>
      <c r="H26" s="3"/>
      <c r="I26" s="3"/>
    </row>
    <row r="27" spans="2:10">
      <c r="B27" s="3"/>
      <c r="C27" s="5" t="s">
        <v>8</v>
      </c>
      <c r="D27" s="5"/>
      <c r="E27" s="1"/>
      <c r="F27" s="6">
        <f>SUM(F2:F11)</f>
        <v>245</v>
      </c>
      <c r="G27" s="6">
        <f>SUM(G2:G11)</f>
        <v>802.97</v>
      </c>
      <c r="H27" s="6">
        <f>SUM(H2:H11)</f>
        <v>29.747129629629633</v>
      </c>
      <c r="I27" s="6">
        <f>SUM(I2:I11)</f>
        <v>1330.8475000000001</v>
      </c>
      <c r="J27" s="6">
        <f>SUM(J2:J11)</f>
        <v>147.79999999999998</v>
      </c>
    </row>
    <row r="28" spans="2:10">
      <c r="B28" s="3"/>
      <c r="C28" s="3"/>
      <c r="D28" s="4"/>
      <c r="E28" s="3"/>
      <c r="F28" s="3"/>
      <c r="G28" s="1"/>
      <c r="H28" s="3"/>
      <c r="I28" s="3"/>
    </row>
    <row r="29" spans="2:10">
      <c r="B29" s="3"/>
      <c r="C29" s="3"/>
      <c r="D29" s="4"/>
      <c r="E29" s="3"/>
      <c r="F29" s="3"/>
      <c r="G29" s="1"/>
      <c r="H29" s="3"/>
      <c r="I29" s="3"/>
    </row>
    <row r="30" spans="2:10">
      <c r="B30" s="3"/>
      <c r="C30" s="3"/>
      <c r="D30" s="4"/>
      <c r="E30" s="3"/>
      <c r="F30" s="3"/>
      <c r="G30" s="1"/>
      <c r="H30" s="3"/>
      <c r="I30" s="3"/>
    </row>
    <row r="31" spans="2:10">
      <c r="B31" s="3"/>
      <c r="C31" s="3"/>
      <c r="D31" s="4"/>
      <c r="E31" s="3"/>
      <c r="F31" s="3"/>
      <c r="G31" s="1"/>
      <c r="H31" s="3"/>
      <c r="I31" s="3"/>
    </row>
    <row r="32" spans="2:10">
      <c r="B32" s="3"/>
      <c r="C32" s="3"/>
      <c r="D32" s="4"/>
      <c r="E32" s="3"/>
      <c r="F32" s="3"/>
      <c r="G32" s="1"/>
      <c r="H32" s="3"/>
      <c r="I32" s="3"/>
    </row>
    <row r="33" spans="2:9">
      <c r="B33" s="3"/>
      <c r="C33" s="3"/>
      <c r="D33" s="4"/>
      <c r="E33" s="3"/>
      <c r="F33" s="3"/>
      <c r="G33" s="1"/>
      <c r="H33" s="3"/>
      <c r="I33" s="3"/>
    </row>
    <row r="34" spans="2:9">
      <c r="B34" s="3"/>
      <c r="C34" s="3"/>
      <c r="D34" s="4"/>
      <c r="E34" s="3"/>
      <c r="F34" s="3"/>
      <c r="G34" s="1"/>
      <c r="H34" s="3"/>
      <c r="I34" s="3"/>
    </row>
    <row r="35" spans="2:9">
      <c r="B35" s="3"/>
      <c r="C35" s="3"/>
      <c r="D35" s="4"/>
      <c r="E35" s="3"/>
      <c r="F35" s="3"/>
      <c r="G35" s="1"/>
      <c r="H35" s="3"/>
      <c r="I35" s="3"/>
    </row>
    <row r="36" spans="2:9">
      <c r="B36" s="3"/>
      <c r="C36" s="3"/>
      <c r="D36" s="4"/>
      <c r="E36" s="3"/>
      <c r="F36" s="3"/>
      <c r="G36" s="1"/>
      <c r="H36" s="3"/>
      <c r="I36" s="3"/>
    </row>
    <row r="37" spans="2:9">
      <c r="B37" s="3"/>
      <c r="C37" s="3"/>
      <c r="D37" s="4"/>
      <c r="E37" s="3"/>
      <c r="F37" s="3"/>
      <c r="G37" s="1"/>
      <c r="H37" s="3"/>
      <c r="I37" s="3"/>
    </row>
    <row r="38" spans="2:9">
      <c r="B38" s="3"/>
      <c r="C38" s="3"/>
      <c r="D38" s="4"/>
      <c r="E38" s="3"/>
      <c r="F38" s="3"/>
      <c r="G38" s="1"/>
      <c r="H38" s="3"/>
      <c r="I38" s="3"/>
    </row>
    <row r="39" spans="2:9">
      <c r="B39" s="3"/>
      <c r="C39" s="3"/>
      <c r="D39" s="4"/>
      <c r="E39" s="3"/>
      <c r="F39" s="3"/>
      <c r="G39" s="1"/>
      <c r="H39" s="3"/>
      <c r="I39" s="3"/>
    </row>
    <row r="40" spans="2:9">
      <c r="B40" s="3"/>
      <c r="C40" s="3"/>
      <c r="D40" s="4"/>
      <c r="E40" s="3"/>
      <c r="F40" s="3"/>
      <c r="G40" s="1"/>
      <c r="H40" s="3"/>
      <c r="I40" s="3"/>
    </row>
    <row r="41" spans="2:9">
      <c r="B41" s="3"/>
      <c r="C41" s="3"/>
      <c r="D41" s="4"/>
      <c r="E41" s="3"/>
      <c r="F41" s="3"/>
      <c r="G41" s="1"/>
      <c r="H41" s="3"/>
      <c r="I41" s="3"/>
    </row>
    <row r="42" spans="2:9">
      <c r="B42" s="3"/>
      <c r="C42" s="3"/>
      <c r="D42" s="4"/>
      <c r="E42" s="3"/>
      <c r="F42" s="3"/>
      <c r="G42" s="1"/>
      <c r="H42" s="3"/>
      <c r="I42" s="3"/>
    </row>
    <row r="43" spans="2:9">
      <c r="B43" s="3"/>
      <c r="C43" s="3"/>
      <c r="D43" s="4"/>
      <c r="E43" s="3"/>
      <c r="F43" s="3"/>
      <c r="G43" s="1"/>
      <c r="H43" s="3"/>
      <c r="I43" s="3"/>
    </row>
    <row r="44" spans="2:9">
      <c r="B44" s="3"/>
      <c r="C44" s="3"/>
      <c r="D44" s="4"/>
      <c r="E44" s="3"/>
      <c r="F44" s="3"/>
      <c r="G44" s="1"/>
      <c r="H44" s="3"/>
      <c r="I44" s="3"/>
    </row>
    <row r="45" spans="2:9">
      <c r="B45" s="3"/>
      <c r="C45" s="5" t="s">
        <v>8</v>
      </c>
      <c r="D45" s="5"/>
      <c r="E45" s="1"/>
      <c r="F45" s="6">
        <f>SUM(F2:F29)</f>
        <v>490</v>
      </c>
      <c r="G45" s="6" t="e">
        <f>SUM(#REF!)</f>
        <v>#REF!</v>
      </c>
      <c r="H45" s="6">
        <f>SUM(H2:H29)</f>
        <v>59.494259259259266</v>
      </c>
      <c r="I45" s="6">
        <f>SUM(I2:I29)</f>
        <v>2661.6950000000002</v>
      </c>
    </row>
    <row r="46" spans="2:9">
      <c r="B46" s="3"/>
      <c r="C46" s="3"/>
      <c r="D46" s="4"/>
      <c r="E46" s="3"/>
      <c r="F46" s="3"/>
      <c r="G46" s="1"/>
      <c r="H46" s="3"/>
      <c r="I46" s="3"/>
    </row>
    <row r="47" spans="2:9">
      <c r="B47" s="3"/>
      <c r="C47" s="3"/>
      <c r="D47" s="4"/>
      <c r="E47" s="3"/>
      <c r="F47" s="3"/>
      <c r="G47" s="1"/>
      <c r="H47" s="3"/>
      <c r="I47" s="3"/>
    </row>
    <row r="48" spans="2:9">
      <c r="B48" s="3"/>
      <c r="C48" s="3"/>
      <c r="D48" s="4"/>
      <c r="E48" s="3"/>
      <c r="F48" s="3"/>
      <c r="G48" s="1"/>
      <c r="H48" s="3"/>
      <c r="I48" s="3"/>
    </row>
    <row r="49" spans="2:9">
      <c r="B49" s="3"/>
      <c r="C49" s="3"/>
      <c r="D49" s="4"/>
      <c r="E49" s="3"/>
      <c r="F49" s="3"/>
      <c r="G49" s="1"/>
      <c r="H49" s="3"/>
      <c r="I49" s="3"/>
    </row>
    <row r="50" spans="2:9">
      <c r="B50" s="3"/>
      <c r="C50" s="3"/>
      <c r="D50" s="4"/>
      <c r="E50" s="3"/>
      <c r="F50" s="3"/>
      <c r="G50" s="1"/>
      <c r="H50" s="3"/>
      <c r="I50" s="3"/>
    </row>
    <row r="51" spans="2:9">
      <c r="B51" s="3"/>
      <c r="C51" s="3"/>
      <c r="D51" s="4"/>
      <c r="E51" s="3"/>
      <c r="F51" s="3"/>
      <c r="G51" s="1"/>
      <c r="H51" s="3"/>
      <c r="I51" s="3"/>
    </row>
    <row r="52" spans="2:9">
      <c r="B52" s="3"/>
      <c r="C52" s="3"/>
      <c r="D52" s="4"/>
      <c r="E52" s="3"/>
      <c r="F52" s="3"/>
      <c r="G52" s="1"/>
      <c r="H52" s="3"/>
      <c r="I52" s="3"/>
    </row>
    <row r="53" spans="2:9">
      <c r="B53" s="3"/>
      <c r="C53" s="3"/>
      <c r="D53" s="4"/>
      <c r="E53" s="3"/>
      <c r="F53" s="3"/>
      <c r="G53" s="1"/>
      <c r="H53" s="3"/>
      <c r="I53" s="3"/>
    </row>
    <row r="54" spans="2:9">
      <c r="B54" s="3"/>
      <c r="C54" s="3"/>
      <c r="D54" s="4"/>
      <c r="E54" s="3"/>
      <c r="F54" s="3"/>
      <c r="G54" s="1"/>
      <c r="H54" s="3"/>
      <c r="I54" s="3"/>
    </row>
    <row r="55" spans="2:9">
      <c r="B55" s="3"/>
      <c r="C55" s="3"/>
      <c r="D55" s="4"/>
      <c r="E55" s="3"/>
      <c r="F55" s="3"/>
      <c r="G55" s="1"/>
      <c r="H55" s="3"/>
      <c r="I55" s="3"/>
    </row>
    <row r="56" spans="2:9">
      <c r="B56" s="3"/>
      <c r="C56" s="3"/>
      <c r="D56" s="4"/>
      <c r="E56" s="3"/>
      <c r="F56" s="3"/>
      <c r="G56" s="1"/>
      <c r="H56" s="3"/>
      <c r="I56" s="3"/>
    </row>
    <row r="57" spans="2:9">
      <c r="B57" s="3"/>
      <c r="C57" s="3"/>
      <c r="D57" s="4"/>
      <c r="E57" s="3"/>
      <c r="F57" s="3"/>
      <c r="G57" s="1"/>
      <c r="H57" s="3"/>
      <c r="I57" s="3"/>
    </row>
    <row r="58" spans="2:9">
      <c r="B58" s="3"/>
      <c r="C58" s="3"/>
      <c r="D58" s="4"/>
      <c r="E58" s="3"/>
      <c r="F58" s="3"/>
      <c r="G58" s="1"/>
      <c r="H58" s="3"/>
      <c r="I58" s="3"/>
    </row>
    <row r="59" spans="2:9">
      <c r="B59" s="3"/>
      <c r="C59" s="3"/>
      <c r="D59" s="4"/>
      <c r="E59" s="3"/>
      <c r="F59" s="3"/>
      <c r="G59" s="1"/>
      <c r="H59" s="3"/>
      <c r="I59" s="3"/>
    </row>
    <row r="60" spans="2:9">
      <c r="B60" s="3"/>
      <c r="C60" s="3"/>
      <c r="D60" s="4"/>
      <c r="E60" s="3"/>
      <c r="F60" s="3"/>
      <c r="G60" s="1"/>
      <c r="H60" s="3"/>
      <c r="I60" s="3"/>
    </row>
    <row r="61" spans="2:9">
      <c r="B61" s="3"/>
      <c r="C61" s="3"/>
      <c r="D61" s="4"/>
      <c r="E61" s="3"/>
      <c r="F61" s="3"/>
      <c r="G61" s="1"/>
      <c r="H61" s="3"/>
      <c r="I61" s="3"/>
    </row>
    <row r="62" spans="2:9">
      <c r="B62" s="3"/>
      <c r="C62" s="3"/>
      <c r="D62" s="4"/>
      <c r="E62" s="3"/>
      <c r="F62" s="3"/>
      <c r="G62" s="1"/>
      <c r="H62" s="3"/>
      <c r="I62" s="3"/>
    </row>
    <row r="63" spans="2:9">
      <c r="B63" s="3"/>
      <c r="C63" s="3"/>
      <c r="D63" s="4"/>
      <c r="E63" s="3"/>
      <c r="F63" s="3"/>
      <c r="G63" s="1"/>
      <c r="H63" s="3"/>
      <c r="I63" s="3"/>
    </row>
    <row r="64" spans="2:9">
      <c r="B64" s="3"/>
      <c r="C64" s="3"/>
      <c r="D64" s="4"/>
      <c r="E64" s="3"/>
      <c r="F64" s="3"/>
      <c r="G64" s="1"/>
      <c r="H64" s="3"/>
      <c r="I64" s="3"/>
    </row>
    <row r="65" spans="2:9">
      <c r="B65" s="3"/>
      <c r="C65" s="3"/>
      <c r="D65" s="4"/>
      <c r="E65" s="3"/>
      <c r="F65" s="3"/>
      <c r="G65" s="1"/>
      <c r="H65" s="3"/>
      <c r="I65" s="3"/>
    </row>
    <row r="66" spans="2:9">
      <c r="B66" s="3"/>
      <c r="C66" s="3"/>
      <c r="D66" s="4"/>
      <c r="E66" s="3"/>
      <c r="F66" s="3"/>
      <c r="G66" s="1"/>
      <c r="H66" s="3"/>
      <c r="I66" s="3"/>
    </row>
    <row r="67" spans="2:9">
      <c r="B67" s="3"/>
      <c r="C67" s="3"/>
      <c r="D67" s="4"/>
      <c r="E67" s="3"/>
      <c r="F67" s="3"/>
      <c r="G67" s="1"/>
      <c r="H67" s="3"/>
      <c r="I67" s="3"/>
    </row>
    <row r="68" spans="2:9">
      <c r="B68" s="3"/>
      <c r="C68" s="3"/>
      <c r="D68" s="4"/>
      <c r="E68" s="3"/>
      <c r="F68" s="3"/>
      <c r="G68" s="1"/>
      <c r="H68" s="3"/>
      <c r="I68" s="3"/>
    </row>
    <row r="69" spans="2:9">
      <c r="B69" s="3"/>
      <c r="C69" s="3"/>
      <c r="D69" s="4"/>
      <c r="E69" s="3"/>
      <c r="F69" s="3"/>
      <c r="G69" s="1"/>
      <c r="H69" s="3"/>
      <c r="I69" s="3"/>
    </row>
    <row r="70" spans="2:9">
      <c r="B70" s="3"/>
      <c r="C70" s="3"/>
      <c r="D70" s="4"/>
      <c r="E70" s="3"/>
      <c r="F70" s="3"/>
      <c r="G70" s="1"/>
      <c r="H70" s="3"/>
      <c r="I70" s="3"/>
    </row>
    <row r="71" spans="2:9">
      <c r="B71" s="3"/>
      <c r="C71" s="3"/>
      <c r="D71" s="4"/>
      <c r="E71" s="3"/>
      <c r="F71" s="3"/>
      <c r="G71" s="1"/>
      <c r="H71" s="3"/>
      <c r="I71" s="3"/>
    </row>
    <row r="72" spans="2:9">
      <c r="B72" s="3"/>
      <c r="C72" s="3"/>
      <c r="D72" s="4"/>
      <c r="E72" s="3"/>
      <c r="F72" s="3"/>
      <c r="G72" s="1"/>
      <c r="H72" s="3"/>
      <c r="I72" s="3"/>
    </row>
    <row r="73" spans="2:9">
      <c r="B73" s="3"/>
      <c r="C73" s="3"/>
      <c r="D73" s="4"/>
      <c r="E73" s="3"/>
      <c r="F73" s="3"/>
      <c r="G73" s="1"/>
      <c r="H73" s="3"/>
      <c r="I73" s="3"/>
    </row>
    <row r="74" spans="2:9">
      <c r="B74" s="3"/>
      <c r="C74" s="3"/>
      <c r="D74" s="4"/>
      <c r="E74" s="3"/>
      <c r="F74" s="3"/>
      <c r="G74" s="1"/>
      <c r="H74" s="3"/>
      <c r="I74" s="3"/>
    </row>
    <row r="75" spans="2:9">
      <c r="B75" s="3"/>
      <c r="C75" s="3"/>
      <c r="D75" s="4"/>
      <c r="E75" s="3"/>
      <c r="F75" s="3"/>
      <c r="G75" s="1"/>
      <c r="H75" s="3"/>
      <c r="I75" s="3"/>
    </row>
    <row r="76" spans="2:9">
      <c r="B76" s="3"/>
      <c r="C76" s="3"/>
      <c r="D76" s="4"/>
      <c r="E76" s="3"/>
      <c r="F76" s="3"/>
      <c r="G76" s="1"/>
      <c r="H76" s="3"/>
      <c r="I76" s="3"/>
    </row>
    <row r="77" spans="2:9">
      <c r="B77" s="3"/>
      <c r="C77" s="3"/>
      <c r="D77" s="4"/>
      <c r="E77" s="3"/>
      <c r="F77" s="3"/>
      <c r="G77" s="1"/>
      <c r="H77" s="3"/>
      <c r="I77" s="3"/>
    </row>
    <row r="78" spans="2:9">
      <c r="B78" s="3"/>
      <c r="C78" s="3"/>
      <c r="D78" s="4"/>
      <c r="E78" s="3"/>
      <c r="F78" s="3"/>
      <c r="G78" s="1"/>
      <c r="H78" s="3"/>
      <c r="I78" s="3"/>
    </row>
    <row r="79" spans="2:9">
      <c r="B79" s="3"/>
      <c r="C79" s="3"/>
      <c r="D79" s="4"/>
      <c r="E79" s="3"/>
      <c r="F79" s="3"/>
      <c r="G79" s="1"/>
      <c r="H79" s="3"/>
      <c r="I79" s="3"/>
    </row>
    <row r="80" spans="2:9">
      <c r="B80" s="3"/>
      <c r="C80" s="3"/>
      <c r="D80" s="4"/>
      <c r="E80" s="3"/>
      <c r="F80" s="3"/>
      <c r="G80" s="1"/>
      <c r="H80" s="3"/>
      <c r="I80" s="3"/>
    </row>
    <row r="81" spans="2:9">
      <c r="B81" s="3"/>
      <c r="C81" s="3"/>
      <c r="D81" s="4"/>
      <c r="E81" s="3"/>
      <c r="F81" s="3"/>
      <c r="G81" s="1"/>
      <c r="H81" s="3"/>
      <c r="I81" s="3"/>
    </row>
    <row r="82" spans="2:9">
      <c r="B82" s="3"/>
      <c r="C82" s="3"/>
      <c r="D82" s="4"/>
      <c r="E82" s="3"/>
      <c r="F82" s="3"/>
      <c r="G82" s="1"/>
      <c r="H82" s="3"/>
      <c r="I82" s="3"/>
    </row>
    <row r="83" spans="2:9">
      <c r="B83" s="3"/>
      <c r="C83" s="3"/>
      <c r="D83" s="4"/>
      <c r="E83" s="3"/>
      <c r="F83" s="3"/>
      <c r="G83" s="1"/>
      <c r="H83" s="3"/>
      <c r="I83" s="3"/>
    </row>
    <row r="84" spans="2:9">
      <c r="B84" s="3"/>
      <c r="C84" s="3"/>
      <c r="D84" s="4"/>
      <c r="E84" s="3"/>
      <c r="F84" s="3"/>
      <c r="G84" s="1"/>
      <c r="H84" s="3"/>
      <c r="I84" s="3"/>
    </row>
    <row r="85" spans="2:9">
      <c r="B85" s="3"/>
      <c r="C85" s="3"/>
      <c r="D85" s="4"/>
      <c r="E85" s="3"/>
      <c r="F85" s="3"/>
      <c r="G85" s="1"/>
      <c r="H85" s="3"/>
      <c r="I85" s="3"/>
    </row>
    <row r="86" spans="2:9">
      <c r="B86" s="3"/>
      <c r="C86" s="3"/>
      <c r="D86" s="4"/>
      <c r="E86" s="3"/>
      <c r="F86" s="3"/>
      <c r="G86" s="1"/>
      <c r="H86" s="3"/>
      <c r="I86" s="3"/>
    </row>
    <row r="87" spans="2:9">
      <c r="B87" s="3"/>
      <c r="C87" s="3"/>
      <c r="D87" s="4"/>
      <c r="E87" s="3"/>
      <c r="F87" s="3"/>
      <c r="G87" s="1"/>
      <c r="H87" s="3"/>
      <c r="I87" s="3"/>
    </row>
    <row r="88" spans="2:9">
      <c r="B88" s="3"/>
      <c r="C88" s="3"/>
      <c r="D88" s="4"/>
      <c r="E88" s="3"/>
      <c r="F88" s="3"/>
      <c r="G88" s="1"/>
      <c r="H88" s="3"/>
      <c r="I88" s="3"/>
    </row>
    <row r="89" spans="2:9">
      <c r="B89" s="3"/>
      <c r="C89" s="3"/>
      <c r="D89" s="4"/>
      <c r="E89" s="3"/>
      <c r="F89" s="3"/>
      <c r="G89" s="1"/>
      <c r="H89" s="3"/>
      <c r="I89" s="3"/>
    </row>
    <row r="90" spans="2:9">
      <c r="B90" s="3"/>
      <c r="C90" s="3"/>
      <c r="D90" s="4"/>
      <c r="E90" s="3"/>
      <c r="F90" s="3"/>
      <c r="G90" s="1"/>
      <c r="H90" s="3"/>
      <c r="I90" s="3"/>
    </row>
    <row r="91" spans="2:9">
      <c r="B91" s="3"/>
      <c r="C91" s="3"/>
      <c r="D91" s="4"/>
      <c r="E91" s="3"/>
      <c r="F91" s="3"/>
      <c r="G91" s="1"/>
      <c r="H91" s="3"/>
      <c r="I91" s="3"/>
    </row>
    <row r="92" spans="2:9">
      <c r="B92" s="1"/>
      <c r="C92" s="5" t="s">
        <v>8</v>
      </c>
      <c r="D92" s="5"/>
      <c r="E92" s="1"/>
      <c r="F92" s="6">
        <f>SUM(F2:F75)</f>
        <v>980</v>
      </c>
      <c r="G92" s="6" t="e">
        <f>SUM(#REF!)</f>
        <v>#REF!</v>
      </c>
      <c r="H92" s="6">
        <f>SUM(H2:H75)</f>
        <v>118.98851851851853</v>
      </c>
      <c r="I92" s="6">
        <f>SUM(I2:I75)</f>
        <v>5323.39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C028-4C6B-41CB-9135-192A73A43D29}">
  <dimension ref="A1:J19"/>
  <sheetViews>
    <sheetView workbookViewId="0">
      <selection activeCell="M9" sqref="M9"/>
    </sheetView>
  </sheetViews>
  <sheetFormatPr defaultRowHeight="14.25"/>
  <cols>
    <col min="2" max="2" width="17.5" customWidth="1"/>
    <col min="3" max="3" width="17.625" customWidth="1"/>
    <col min="4" max="4" width="0.5" customWidth="1"/>
    <col min="5" max="5" width="10.5" customWidth="1"/>
    <col min="6" max="6" width="0.375" hidden="1" customWidth="1"/>
    <col min="7" max="7" width="9.5" customWidth="1"/>
    <col min="8" max="8" width="10.125" customWidth="1"/>
    <col min="9" max="9" width="12.125" hidden="1" customWidth="1"/>
  </cols>
  <sheetData>
    <row r="1" spans="1:10">
      <c r="A1" t="s">
        <v>0</v>
      </c>
      <c r="B1" s="1" t="s">
        <v>1</v>
      </c>
      <c r="C1" s="1" t="s">
        <v>2</v>
      </c>
      <c r="D1" s="2" t="s">
        <v>5</v>
      </c>
      <c r="E1" s="2" t="s">
        <v>7</v>
      </c>
      <c r="F1" s="2" t="s">
        <v>3</v>
      </c>
      <c r="G1" s="2" t="s">
        <v>6</v>
      </c>
      <c r="H1" s="1" t="s">
        <v>4</v>
      </c>
      <c r="I1" s="2" t="s">
        <v>9</v>
      </c>
      <c r="J1" s="2" t="s">
        <v>10</v>
      </c>
    </row>
    <row r="2" spans="1:10">
      <c r="A2">
        <v>856</v>
      </c>
      <c r="B2" s="3">
        <f>4.9577+5.7922</f>
        <v>10.7499</v>
      </c>
      <c r="C2" s="3">
        <f>0.0752+0.1721</f>
        <v>0.24730000000000002</v>
      </c>
      <c r="D2" s="4">
        <f>($B2*($A3-$A2))/2</f>
        <v>236.49780000000001</v>
      </c>
      <c r="E2" s="3">
        <f>D2/27</f>
        <v>8.7591777777777775</v>
      </c>
      <c r="F2" s="1">
        <f>($C2*($A3-$A2))/2</f>
        <v>5.4406000000000008</v>
      </c>
      <c r="G2" s="3">
        <f>F2/27</f>
        <v>0.20150370370370374</v>
      </c>
      <c r="H2" s="3">
        <f>1.8329+3.1888</f>
        <v>5.0217000000000001</v>
      </c>
      <c r="I2" s="3">
        <f>($H2*($A3-$A2))/2</f>
        <v>110.4774</v>
      </c>
      <c r="J2" s="7">
        <f>ROUND(I2*0.1111,1)</f>
        <v>12.3</v>
      </c>
    </row>
    <row r="3" spans="1:10">
      <c r="A3">
        <v>900</v>
      </c>
      <c r="B3" s="3">
        <f>5.2546+4.6464</f>
        <v>9.9009999999999998</v>
      </c>
      <c r="C3" s="3">
        <f>0.557+0.7675</f>
        <v>1.3245</v>
      </c>
      <c r="D3" s="4">
        <f>($B3*($A3-$A2))/2</f>
        <v>217.822</v>
      </c>
      <c r="E3" s="3">
        <f>D3/27</f>
        <v>8.0674814814814813</v>
      </c>
      <c r="F3" s="1">
        <f>($C3*($A3-$A2))/2</f>
        <v>29.138999999999999</v>
      </c>
      <c r="G3" s="3">
        <f>F3/27</f>
        <v>1.0792222222222223</v>
      </c>
      <c r="H3" s="3">
        <f>2.9635+2.5517</f>
        <v>5.5152000000000001</v>
      </c>
      <c r="I3" s="3">
        <f>($H3*($A3-$A2))/2</f>
        <v>121.3344</v>
      </c>
      <c r="J3" s="7">
        <f>ROUND(I3*0.1111,1)</f>
        <v>13.5</v>
      </c>
    </row>
    <row r="4" spans="1:10">
      <c r="B4" s="3"/>
      <c r="C4" s="3"/>
      <c r="D4" s="4"/>
      <c r="E4" s="3"/>
      <c r="F4" s="1"/>
      <c r="G4" s="3"/>
      <c r="H4" s="3"/>
      <c r="I4" s="3"/>
    </row>
    <row r="5" spans="1:10">
      <c r="B5" s="3"/>
      <c r="C5" s="3"/>
      <c r="D5" s="4"/>
      <c r="E5" s="3"/>
      <c r="F5" s="1"/>
      <c r="G5" s="3"/>
      <c r="H5" s="3"/>
      <c r="I5" s="3"/>
    </row>
    <row r="6" spans="1:10">
      <c r="B6" s="3"/>
      <c r="C6" s="3"/>
      <c r="D6" s="4"/>
      <c r="E6" s="3"/>
      <c r="F6" s="1"/>
      <c r="G6" s="3"/>
      <c r="H6" s="3"/>
      <c r="I6" s="3"/>
    </row>
    <row r="7" spans="1:10">
      <c r="B7" s="3"/>
      <c r="C7" s="3"/>
      <c r="D7" s="4"/>
      <c r="E7" s="3"/>
      <c r="F7" s="1"/>
      <c r="G7" s="3"/>
      <c r="H7" s="3"/>
      <c r="I7" s="3"/>
    </row>
    <row r="8" spans="1:10">
      <c r="B8" s="3"/>
      <c r="C8" s="3"/>
      <c r="D8" s="4"/>
      <c r="E8" s="3"/>
      <c r="F8" s="1"/>
      <c r="G8" s="3"/>
      <c r="H8" s="3"/>
      <c r="I8" s="3"/>
    </row>
    <row r="9" spans="1:10">
      <c r="B9" s="3"/>
      <c r="C9" s="3"/>
      <c r="D9" s="4"/>
      <c r="E9" s="3"/>
      <c r="F9" s="1"/>
      <c r="G9" s="3"/>
      <c r="H9" s="3"/>
      <c r="I9" s="3"/>
    </row>
    <row r="10" spans="1:10">
      <c r="B10" s="3"/>
      <c r="C10" s="3"/>
      <c r="D10" s="4"/>
      <c r="E10" s="3"/>
      <c r="F10" s="1"/>
      <c r="G10" s="3"/>
      <c r="H10" s="3"/>
      <c r="I10" s="3"/>
    </row>
    <row r="11" spans="1:10">
      <c r="B11" s="3"/>
      <c r="C11" s="3"/>
      <c r="D11" s="4"/>
      <c r="E11" s="3"/>
      <c r="F11" s="1"/>
      <c r="G11" s="3"/>
      <c r="H11" s="3"/>
      <c r="I11" s="3"/>
    </row>
    <row r="12" spans="1:10">
      <c r="B12" s="3"/>
      <c r="C12" s="3"/>
      <c r="D12" s="4"/>
      <c r="E12" s="3"/>
      <c r="F12" s="1"/>
      <c r="G12" s="3"/>
      <c r="H12" s="3"/>
      <c r="I12" s="3"/>
    </row>
    <row r="13" spans="1:10">
      <c r="B13" s="3"/>
      <c r="C13" s="3"/>
      <c r="D13" s="4"/>
      <c r="E13" s="3"/>
      <c r="F13" s="1"/>
      <c r="G13" s="3"/>
      <c r="H13" s="3"/>
      <c r="I13" s="3"/>
    </row>
    <row r="14" spans="1:10">
      <c r="B14" s="3"/>
      <c r="C14" s="3"/>
      <c r="D14" s="4"/>
      <c r="E14" s="3"/>
      <c r="F14" s="1"/>
      <c r="G14" s="3"/>
      <c r="H14" s="3"/>
      <c r="I14" s="3"/>
    </row>
    <row r="15" spans="1:10">
      <c r="B15" s="3"/>
      <c r="C15" s="3"/>
      <c r="D15" s="4"/>
      <c r="E15" s="3"/>
      <c r="F15" s="1"/>
      <c r="G15" s="3"/>
      <c r="H15" s="3"/>
      <c r="I15" s="3"/>
    </row>
    <row r="16" spans="1:10">
      <c r="B16" s="3"/>
      <c r="C16" s="3"/>
      <c r="D16" s="4"/>
      <c r="E16" s="3"/>
      <c r="F16" s="1"/>
      <c r="G16" s="3"/>
      <c r="H16" s="3"/>
      <c r="I16" s="3"/>
    </row>
    <row r="17" spans="2:10">
      <c r="B17" s="3"/>
      <c r="C17" s="3"/>
      <c r="D17" s="4"/>
      <c r="E17" s="3"/>
      <c r="F17" s="1"/>
      <c r="G17" s="3"/>
      <c r="H17" s="3"/>
      <c r="I17" s="3"/>
    </row>
    <row r="18" spans="2:10">
      <c r="B18" s="3"/>
      <c r="C18" s="3"/>
      <c r="D18" s="4"/>
      <c r="E18" s="3"/>
      <c r="F18" s="1"/>
      <c r="G18" s="3"/>
      <c r="H18" s="3"/>
      <c r="I18" s="3"/>
    </row>
    <row r="19" spans="2:10">
      <c r="B19" s="3"/>
      <c r="C19" s="5" t="s">
        <v>8</v>
      </c>
      <c r="D19" s="5"/>
      <c r="E19" s="6">
        <f>SUM(E2:E3)</f>
        <v>16.826659259259259</v>
      </c>
      <c r="F19" s="6">
        <f>SUM(F2:F3)</f>
        <v>34.579599999999999</v>
      </c>
      <c r="G19" s="6">
        <f>SUM(G2:G3)</f>
        <v>1.280725925925926</v>
      </c>
      <c r="H19" s="1"/>
      <c r="I19" s="6">
        <f>SUM(I2:I3)</f>
        <v>231.81180000000001</v>
      </c>
      <c r="J19" s="6">
        <f>SUM(J2:J3)</f>
        <v>25.8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 224</vt:lpstr>
      <vt:lpstr>Southern BLVD</vt:lpstr>
      <vt:lpstr>South AVE</vt:lpstr>
      <vt:lpstr>California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Van Blargan</dc:creator>
  <cp:keywords/>
  <dc:description/>
  <cp:lastModifiedBy>Macen Whirrett</cp:lastModifiedBy>
  <cp:revision/>
  <dcterms:created xsi:type="dcterms:W3CDTF">2025-05-30T14:02:42Z</dcterms:created>
  <dcterms:modified xsi:type="dcterms:W3CDTF">2026-06-19T12:59:22Z</dcterms:modified>
  <cp:category/>
  <cp:contentStatus/>
</cp:coreProperties>
</file>