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60" activeTab="0"/>
  </bookViews>
  <sheets>
    <sheet name="Est Qua" sheetId="1" r:id="rId1"/>
    <sheet name="General" sheetId="2" r:id="rId2"/>
    <sheet name="Inlet" sheetId="3" r:id="rId3"/>
    <sheet name="Interior" sheetId="4" r:id="rId4"/>
    <sheet name="Crown" sheetId="5" r:id="rId5"/>
    <sheet name="Outlet" sheetId="6" r:id="rId6"/>
  </sheets>
  <definedNames>
    <definedName name="_xlfn._FV" hidden="1">#NAME?</definedName>
    <definedName name="_xlnm.Print_Area" localSheetId="4">'Crown'!$A$1:$J$25</definedName>
    <definedName name="_xlnm.Print_Area" localSheetId="0">'Est Qua'!$A$1:$J$131</definedName>
    <definedName name="_xlnm.Print_Area" localSheetId="1">'General'!$A$1:$J$57</definedName>
    <definedName name="_xlnm.Print_Area" localSheetId="2">'Inlet'!$A$1:$J$254</definedName>
    <definedName name="_xlnm.Print_Area" localSheetId="3">'Interior'!$A$1:$J$80</definedName>
    <definedName name="_xlnm.Print_Area" localSheetId="5">'Outlet'!$A$1:$J$162</definedName>
    <definedName name="_xlnm.Print_Titles" localSheetId="4">'Crown'!$1:$6</definedName>
    <definedName name="_xlnm.Print_Titles" localSheetId="0">'Est Qua'!$1:$6</definedName>
    <definedName name="_xlnm.Print_Titles" localSheetId="1">'General'!$1:$6</definedName>
    <definedName name="_xlnm.Print_Titles" localSheetId="2">'Inlet'!$1:$6</definedName>
    <definedName name="_xlnm.Print_Titles" localSheetId="3">'Interior'!$1:$6</definedName>
    <definedName name="_xlnm.Print_Titles" localSheetId="5">'Outlet'!$1:$6</definedName>
  </definedNames>
  <calcPr fullCalcOnLoad="1"/>
</workbook>
</file>

<file path=xl/sharedStrings.xml><?xml version="1.0" encoding="utf-8"?>
<sst xmlns="http://schemas.openxmlformats.org/spreadsheetml/2006/main" count="1071" uniqueCount="186">
  <si>
    <t xml:space="preserve">JOB </t>
  </si>
  <si>
    <t>PROJECT</t>
  </si>
  <si>
    <t>SHEET NO.</t>
  </si>
  <si>
    <t xml:space="preserve"> </t>
  </si>
  <si>
    <t>OF</t>
  </si>
  <si>
    <t>CALCULATED BY</t>
  </si>
  <si>
    <t>DATE</t>
  </si>
  <si>
    <t>CHECKED BY</t>
  </si>
  <si>
    <t>SUBJECT</t>
  </si>
  <si>
    <t>=</t>
  </si>
  <si>
    <t>FT</t>
  </si>
  <si>
    <t>SF</t>
  </si>
  <si>
    <t>CY</t>
  </si>
  <si>
    <t>Total Carried to Plans</t>
  </si>
  <si>
    <t>Width</t>
  </si>
  <si>
    <t>LS</t>
  </si>
  <si>
    <t>CF</t>
  </si>
  <si>
    <t>503E11100, COFFERDAMS AND EXCAVATION BRACING</t>
  </si>
  <si>
    <t>Plan Area</t>
  </si>
  <si>
    <t>Depth</t>
  </si>
  <si>
    <t>Length</t>
  </si>
  <si>
    <t>Total Area</t>
  </si>
  <si>
    <t>M. Tish</t>
  </si>
  <si>
    <t>%</t>
  </si>
  <si>
    <t>PIK335-2126C</t>
  </si>
  <si>
    <t>202E11201, PORTIONS OF STRUCTURE REMOVED, AS PER PLAN</t>
  </si>
  <si>
    <t>518E21200, POROUS BACKFILL WITH GEOTEXTILE FABRIC</t>
  </si>
  <si>
    <t>LB</t>
  </si>
  <si>
    <t>509E10000, EPOXY COATED REINFORCING STEEL</t>
  </si>
  <si>
    <t>East Wingwall</t>
  </si>
  <si>
    <t>Avg. Height</t>
  </si>
  <si>
    <t>Volume</t>
  </si>
  <si>
    <t>East Wingwall Footing</t>
  </si>
  <si>
    <t>West Wingwall</t>
  </si>
  <si>
    <t>West Wingwall Footing</t>
  </si>
  <si>
    <t>Headwall</t>
  </si>
  <si>
    <t>Interior</t>
  </si>
  <si>
    <t>CALLOUT</t>
  </si>
  <si>
    <t>WIDTH (IN.)</t>
  </si>
  <si>
    <t>HEIGHT (IN.)</t>
  </si>
  <si>
    <t>AREA (SQ. IN.)</t>
  </si>
  <si>
    <t>Delamination</t>
  </si>
  <si>
    <t>Cracks</t>
  </si>
  <si>
    <t>LENGTH (IN.)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</si>
  <si>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</si>
  <si>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</si>
  <si>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</si>
  <si>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</si>
  <si>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</si>
  <si>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</si>
  <si>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</si>
  <si>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</si>
  <si>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</si>
  <si>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Inlet Length</t>
  </si>
  <si>
    <t>Outlet Length</t>
  </si>
  <si>
    <t>Contingency</t>
  </si>
  <si>
    <t>Interior Total Area</t>
  </si>
  <si>
    <t>Outlet</t>
  </si>
  <si>
    <t>Scour Hole</t>
  </si>
  <si>
    <t>Plan Area (560' Contour)</t>
  </si>
  <si>
    <t>Culvert Length</t>
  </si>
  <si>
    <t>Total Repair Length</t>
  </si>
  <si>
    <t>Southwest Wingwall</t>
  </si>
  <si>
    <t>Southeast Wingwall</t>
  </si>
  <si>
    <t>Front face Area (from CAD)</t>
  </si>
  <si>
    <t>Thickness</t>
  </si>
  <si>
    <t>Back face Area (from CAD)</t>
  </si>
  <si>
    <t>INLET</t>
  </si>
  <si>
    <t>Inlet</t>
  </si>
  <si>
    <t>Crown Repair</t>
  </si>
  <si>
    <t>602E97000, MASONRY, MISC.: PATCHING OF STONE MASONRY</t>
  </si>
  <si>
    <t>512E10601, CONCRETE REPAIR BY EPOXY INJECTION</t>
  </si>
  <si>
    <t>Total Length</t>
  </si>
  <si>
    <t>Interior Total Length</t>
  </si>
  <si>
    <t>C10</t>
  </si>
  <si>
    <t>511E34410, CLASS QC2 CONCRETE, SUPERSTRUCTURE</t>
  </si>
  <si>
    <t>602E97000, MASONRY, MISC.: MECHANICAL REPAIR OF STONE FACING</t>
  </si>
  <si>
    <t>512E10600, CONCRETE REPAIR BY EPOXY INJECTION</t>
  </si>
  <si>
    <t>Excavation x- sectional Area STA. 0+35</t>
  </si>
  <si>
    <t>Excavation x- sectional Area STA. 0+50</t>
  </si>
  <si>
    <t>Excavation x- sectional Area STA. 0+65</t>
  </si>
  <si>
    <t>512E10100, SEALING OF CONCRETE SURFACES (EPOXY-URETHANE)</t>
  </si>
  <si>
    <t>F. Face Area</t>
  </si>
  <si>
    <t>B. Face Area</t>
  </si>
  <si>
    <t>Top Area</t>
  </si>
  <si>
    <t>End Area</t>
  </si>
  <si>
    <t>Sub-Total</t>
  </si>
  <si>
    <t>SY</t>
  </si>
  <si>
    <t>512E33000, TYPE 2 WATERPROOFING</t>
  </si>
  <si>
    <t>INLET HEADWALL</t>
  </si>
  <si>
    <t>Area</t>
  </si>
  <si>
    <t>Interior Width</t>
  </si>
  <si>
    <t>Concrete Plug Base Plan Area</t>
  </si>
  <si>
    <t>Concrete Plug Base Depth</t>
  </si>
  <si>
    <t>Concrete Plug Center Plan Area</t>
  </si>
  <si>
    <t>Concrete Plug Center Depth</t>
  </si>
  <si>
    <t>Concrete Plug Cap Plan Area</t>
  </si>
  <si>
    <t>Concrete Plug Cap Height</t>
  </si>
  <si>
    <t>511E53010, CLASS QC1 CONCRETE, MISC.: REPLACEMENT WINGWALL STONE</t>
  </si>
  <si>
    <t>Elevation Area</t>
  </si>
  <si>
    <t>Plan Area (559' Contour)</t>
  </si>
  <si>
    <t>Plan Area (558' Contour)</t>
  </si>
  <si>
    <t>Additional Depth at 559.5'</t>
  </si>
  <si>
    <t>Additional Depth at 558.5'</t>
  </si>
  <si>
    <t>General</t>
  </si>
  <si>
    <t>511E46010, CLASS QC1 CONCRETE, RETAINING/WINGWALL NOT INCLUDING FOOTING</t>
  </si>
  <si>
    <t xml:space="preserve">Headwall </t>
  </si>
  <si>
    <t>Front Elevation Area (Excluding Opening)</t>
  </si>
  <si>
    <t>Back Elevation Area (Excluding Opening)</t>
  </si>
  <si>
    <t>511E46510 CLASS QC1 CONCRETE, FOOTING</t>
  </si>
  <si>
    <t>Step 1 Length</t>
  </si>
  <si>
    <t>Step 2 Length</t>
  </si>
  <si>
    <t>Footing Width</t>
  </si>
  <si>
    <t>Step Block Elevation Area</t>
  </si>
  <si>
    <t>Step 1 Thickness</t>
  </si>
  <si>
    <t>Step 2 Thickness</t>
  </si>
  <si>
    <t>Step 3 Length</t>
  </si>
  <si>
    <t>Step 3 Thickness</t>
  </si>
  <si>
    <t>Volume Quantity</t>
  </si>
  <si>
    <t>Front Face Length</t>
  </si>
  <si>
    <t>Back Face Length</t>
  </si>
  <si>
    <t>Small Sealing Height Front Face</t>
  </si>
  <si>
    <t>Large Sealing Height Front Face</t>
  </si>
  <si>
    <t>Sealing Height Back Face</t>
  </si>
  <si>
    <t>61034401, ROCK CHANNEL PROTECTION, WITH GROUT, AS PER PLAN (TYPE A)</t>
  </si>
  <si>
    <t>$</t>
  </si>
  <si>
    <t>T. Williams</t>
  </si>
  <si>
    <t>PH 3 Quantities</t>
  </si>
  <si>
    <t>601E34401, ROCK CHANNEL PROTECTION, WITH GROUT, AS PER PLAN (TYPE A)</t>
  </si>
  <si>
    <t>511E46510, CLASS QC1 CONCRETE, FOOTING</t>
  </si>
  <si>
    <t>Retaining/Wingwall</t>
  </si>
  <si>
    <t>Footing</t>
  </si>
  <si>
    <t>Concrete Plug</t>
  </si>
  <si>
    <t>Crown</t>
  </si>
  <si>
    <t>T. Willaims</t>
  </si>
  <si>
    <t>Front Elevation Area</t>
  </si>
  <si>
    <t>Back Elevation Area</t>
  </si>
  <si>
    <t>S. Saeed</t>
  </si>
  <si>
    <t>511E46511, CLASS QC1 CONCRETE, FOOTING, AS PER PLAN</t>
  </si>
  <si>
    <t>511E71200, CONCRETE, MSC.: CLASS QC1, INTERIOR APRON</t>
  </si>
  <si>
    <t>511E81100, CONCRETE, MISC.: CLASS QC SCC, BEARING REPAIR</t>
  </si>
  <si>
    <t>511E71200, CONCRETE, MISC.: CLASS QC1, INTERIOR APRON</t>
  </si>
  <si>
    <t>Lower Block Width</t>
  </si>
  <si>
    <t>Lower Block Length</t>
  </si>
  <si>
    <t>Lower Block Height</t>
  </si>
  <si>
    <t>Upper Block Width</t>
  </si>
  <si>
    <t>Upper Block Length</t>
  </si>
  <si>
    <t>Upper Block Height</t>
  </si>
  <si>
    <t>Sub-Total Area</t>
  </si>
  <si>
    <t>Facing replacement wingwall stone:</t>
  </si>
  <si>
    <t>A</t>
  </si>
  <si>
    <t>B</t>
  </si>
  <si>
    <t>See Detail</t>
  </si>
  <si>
    <t>503E21100, UNCLASSIFIED EXCAVATION</t>
  </si>
  <si>
    <t>Channel Excavation Inlet</t>
  </si>
  <si>
    <t>Excavation x- sectional Area STA. 0+4.70</t>
  </si>
  <si>
    <t>Channel Excavation Outlet</t>
  </si>
  <si>
    <t>Excavation x- sectional Area STA. 1+61.06</t>
  </si>
  <si>
    <t>Excavation x- sectional Area STA. 1+75</t>
  </si>
  <si>
    <t>Excavation x- sectional Area STA. 2+00</t>
  </si>
  <si>
    <t>Excavation x- sectional Area STA. 2+06.94</t>
  </si>
  <si>
    <t>East Wingwall - Inlet</t>
  </si>
  <si>
    <t>Hell Width</t>
  </si>
  <si>
    <t>Top of rock EL.</t>
  </si>
  <si>
    <t>Lower footing length</t>
  </si>
  <si>
    <t>Heel Excavation Ht.</t>
  </si>
  <si>
    <t>Excavation Width behind heel-top</t>
  </si>
  <si>
    <t>Excavation Width behind heel-bott</t>
  </si>
  <si>
    <t>Excavation x-sectional area</t>
  </si>
  <si>
    <t>Excavation Volume</t>
  </si>
  <si>
    <t>Step 1 footing length</t>
  </si>
  <si>
    <t>Step 2 footing length</t>
  </si>
  <si>
    <t>West Wingwall - Inlet</t>
  </si>
  <si>
    <t>503E31120, SHALE EXCAVATION</t>
  </si>
  <si>
    <t>Heel Width</t>
  </si>
  <si>
    <t>Toe Width</t>
  </si>
  <si>
    <t>Bottom of footing EL.</t>
  </si>
  <si>
    <t>Excavation Width behind heel</t>
  </si>
  <si>
    <t>Toe Excavation Ht.</t>
  </si>
  <si>
    <t>x-sectional area</t>
  </si>
  <si>
    <t>Kneewall - Outlet</t>
  </si>
  <si>
    <t>Depth into rock</t>
  </si>
  <si>
    <t>Interior Apron</t>
  </si>
  <si>
    <t>Outlet Footing</t>
  </si>
  <si>
    <t>Replacement Wingwall Stone</t>
  </si>
  <si>
    <t>Final Quantities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</si>
</sst>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0.0"/>
    <numFmt numFmtId="169" formatCode="0.0000%"/>
    <numFmt numFmtId="170" formatCode="[$-409]dddd\,\ mmmm\ dd\,\ yyyy"/>
    <numFmt numFmtId="171" formatCode="#\ ??/16"/>
    <numFmt numFmtId="172" formatCode="#\ ?/8"/>
    <numFmt numFmtId="173" formatCode="#,##0.0"/>
    <numFmt numFmtId="174" formatCode="#,##0.000"/>
    <numFmt numFmtId="175" formatCode="#,##0.0000"/>
    <numFmt numFmtId="176" formatCode="0.0000000"/>
    <numFmt numFmtId="177" formatCode="mm/dd/yy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0.0000000000000000000"/>
    <numFmt numFmtId="191" formatCode="0.00000000000000000000"/>
    <numFmt numFmtId="192" formatCode="&quot;$&quot;#,##0.00"/>
    <numFmt numFmtId="193" formatCode="&quot;$&quot;#,##0"/>
    <numFmt numFmtId="194" formatCode="m/d/yy;@"/>
    <numFmt numFmtId="195" formatCode="0.0000E+00"/>
    <numFmt numFmtId="196" formatCode="0.0%"/>
    <numFmt numFmtId="197" formatCode="0.000%"/>
    <numFmt numFmtId="198" formatCode="00\+00.00"/>
    <numFmt numFmtId="199" formatCode="_(* #,##0_);_(* \(#,##0\);_(* &quot;-&quot;??_);_(@_)"/>
    <numFmt numFmtId="200" formatCode="[$-409]dddd\,\ mmmm\ d\,\ yyyy"/>
    <numFmt numFmtId="201" formatCode="[$-409]h:mm:ss\ AM/PM"/>
    <numFmt numFmtId="202" formatCode="_(&quot;$&quot;* #,##0.000_);_(&quot;$&quot;* \(#,##0.000\);_(&quot;$&quot;* &quot;-&quot;??_);_(@_)"/>
    <numFmt numFmtId="203" formatCode="_(&quot;$&quot;* #,##0.0000_);_(&quot;$&quot;* \(#,##0.0000\);_(&quot;$&quot;* &quot;-&quot;??_);_(@_)"/>
    <numFmt numFmtId="204" formatCode="_(&quot;$&quot;* #,##0.0000_);_(&quot;$&quot;* \(#,##0.0000\);_(&quot;$&quot;* &quot;-&quot;????_);_(@_)"/>
    <numFmt numFmtId="205" formatCode="0\'\'"/>
    <numFmt numFmtId="206" formatCode="#.0##\'\'"/>
    <numFmt numFmtId="207" formatCode="0.0\'\'"/>
    <numFmt numFmtId="208" formatCode="0.0##\'\'"/>
    <numFmt numFmtId="209" formatCode="00000"/>
    <numFmt numFmtId="210" formatCode="mmm/yyyy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color indexed="4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194" fontId="3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1" fontId="5" fillId="33" borderId="0" xfId="59" applyNumberFormat="1" applyFont="1" applyFill="1" applyAlignment="1">
      <alignment/>
      <protection/>
    </xf>
    <xf numFmtId="0" fontId="5" fillId="33" borderId="0" xfId="59" applyFont="1" applyFill="1" applyAlignment="1">
      <alignment wrapText="1"/>
      <protection/>
    </xf>
    <xf numFmtId="11" fontId="7" fillId="33" borderId="0" xfId="59" applyNumberFormat="1" applyFont="1" applyFill="1" applyAlignment="1">
      <alignment/>
      <protection/>
    </xf>
    <xf numFmtId="2" fontId="5" fillId="2" borderId="11" xfId="59" applyNumberFormat="1" applyFont="1" applyFill="1" applyBorder="1">
      <alignment/>
      <protection/>
    </xf>
    <xf numFmtId="1" fontId="6" fillId="34" borderId="12" xfId="60" applyNumberFormat="1" applyFont="1" applyFill="1" applyBorder="1" applyAlignment="1">
      <alignment horizontal="center"/>
      <protection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0" xfId="60" applyFont="1" applyFill="1" applyAlignment="1">
      <alignment/>
      <protection/>
    </xf>
    <xf numFmtId="0" fontId="0" fillId="0" borderId="0" xfId="0" applyFont="1" applyFill="1" applyAlignment="1">
      <alignment/>
    </xf>
    <xf numFmtId="9" fontId="8" fillId="0" borderId="0" xfId="64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205" fontId="45" fillId="0" borderId="11" xfId="0" applyNumberFormat="1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207" fontId="45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206" fontId="45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/>
    </xf>
    <xf numFmtId="0" fontId="5" fillId="0" borderId="0" xfId="59" applyFont="1" applyFill="1" applyAlignment="1">
      <alignment wrapText="1"/>
      <protection/>
    </xf>
    <xf numFmtId="208" fontId="45" fillId="0" borderId="11" xfId="0" applyNumberFormat="1" applyFont="1" applyBorder="1" applyAlignment="1">
      <alignment horizontal="center" vertical="center"/>
    </xf>
    <xf numFmtId="1" fontId="6" fillId="2" borderId="12" xfId="60" applyNumberFormat="1" applyFont="1" applyFill="1" applyBorder="1" applyAlignment="1">
      <alignment horizontal="center"/>
      <protection/>
    </xf>
    <xf numFmtId="1" fontId="6" fillId="0" borderId="0" xfId="60" applyNumberFormat="1" applyFont="1" applyFill="1" applyBorder="1" applyAlignment="1">
      <alignment horizontal="center"/>
      <protection/>
    </xf>
    <xf numFmtId="0" fontId="5" fillId="33" borderId="0" xfId="60" applyFont="1" applyFill="1" applyAlignment="1">
      <alignment horizontal="center"/>
      <protection/>
    </xf>
    <xf numFmtId="3" fontId="6" fillId="2" borderId="12" xfId="60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33" borderId="0" xfId="59" applyFont="1" applyFill="1" applyBorder="1" applyAlignment="1">
      <alignment wrapText="1"/>
      <protection/>
    </xf>
    <xf numFmtId="11" fontId="5" fillId="33" borderId="13" xfId="59" applyNumberFormat="1" applyFont="1" applyFill="1" applyBorder="1" applyAlignment="1">
      <alignment/>
      <protection/>
    </xf>
    <xf numFmtId="0" fontId="6" fillId="33" borderId="13" xfId="60" applyFont="1" applyFill="1" applyBorder="1" applyAlignment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6" fillId="0" borderId="14" xfId="60" applyFont="1" applyFill="1" applyBorder="1" applyAlignment="1">
      <alignment/>
      <protection/>
    </xf>
    <xf numFmtId="0" fontId="5" fillId="0" borderId="14" xfId="59" applyFont="1" applyFill="1" applyBorder="1" applyAlignment="1">
      <alignment wrapText="1"/>
      <protection/>
    </xf>
    <xf numFmtId="2" fontId="8" fillId="0" borderId="0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11" fontId="10" fillId="33" borderId="13" xfId="59" applyNumberFormat="1" applyFont="1" applyFill="1" applyBorder="1" applyAlignment="1">
      <alignment/>
      <protection/>
    </xf>
    <xf numFmtId="2" fontId="0" fillId="2" borderId="11" xfId="59" applyNumberFormat="1" applyFont="1" applyFill="1" applyBorder="1">
      <alignment/>
      <protection/>
    </xf>
    <xf numFmtId="0" fontId="0" fillId="33" borderId="0" xfId="59" applyFont="1" applyFill="1" applyAlignment="1">
      <alignment wrapText="1"/>
      <protection/>
    </xf>
    <xf numFmtId="1" fontId="9" fillId="34" borderId="12" xfId="60" applyNumberFormat="1" applyFont="1" applyFill="1" applyBorder="1" applyAlignment="1">
      <alignment horizontal="center"/>
      <protection/>
    </xf>
    <xf numFmtId="0" fontId="0" fillId="33" borderId="0" xfId="59" applyFont="1" applyFill="1" applyBorder="1" applyAlignment="1">
      <alignment wrapText="1"/>
      <protection/>
    </xf>
    <xf numFmtId="11" fontId="10" fillId="33" borderId="0" xfId="59" applyNumberFormat="1" applyFont="1" applyFill="1" applyAlignment="1">
      <alignment/>
      <protection/>
    </xf>
    <xf numFmtId="11" fontId="0" fillId="33" borderId="0" xfId="59" applyNumberFormat="1" applyFont="1" applyFill="1" applyAlignment="1">
      <alignment/>
      <protection/>
    </xf>
    <xf numFmtId="0" fontId="9" fillId="33" borderId="0" xfId="60" applyFont="1" applyFill="1" applyAlignment="1">
      <alignment/>
      <protection/>
    </xf>
    <xf numFmtId="0" fontId="0" fillId="0" borderId="0" xfId="60" applyFont="1" applyFill="1" applyAlignment="1">
      <alignment horizontal="center"/>
      <protection/>
    </xf>
    <xf numFmtId="0" fontId="9" fillId="0" borderId="0" xfId="60" applyFont="1" applyFill="1" applyAlignment="1">
      <alignment/>
      <protection/>
    </xf>
    <xf numFmtId="11" fontId="8" fillId="33" borderId="0" xfId="59" applyNumberFormat="1" applyFont="1" applyFill="1" applyAlignment="1">
      <alignment/>
      <protection/>
    </xf>
    <xf numFmtId="0" fontId="0" fillId="0" borderId="0" xfId="59" applyFont="1" applyFill="1" applyAlignment="1">
      <alignment wrapText="1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60" applyFont="1" applyFill="1" applyAlignment="1">
      <alignment horizontal="center"/>
      <protection/>
    </xf>
    <xf numFmtId="0" fontId="46" fillId="0" borderId="0" xfId="0" applyFont="1" applyFill="1" applyAlignment="1">
      <alignment/>
    </xf>
    <xf numFmtId="2" fontId="0" fillId="0" borderId="11" xfId="59" applyNumberFormat="1" applyFont="1" applyFill="1" applyBorder="1">
      <alignment/>
      <protection/>
    </xf>
    <xf numFmtId="0" fontId="0" fillId="0" borderId="0" xfId="0" applyAlignment="1">
      <alignment horizontal="righ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1</xdr:col>
      <xdr:colOff>590550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590550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1</xdr:col>
      <xdr:colOff>590550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1</xdr:col>
      <xdr:colOff>428625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428625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1</xdr:col>
      <xdr:colOff>428625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1</xdr:col>
      <xdr:colOff>590550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2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2</xdr:col>
      <xdr:colOff>9525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1"/>
  <sheetViews>
    <sheetView showGridLines="0" tabSelected="1" view="pageBreakPreview" zoomScaleSheetLayoutView="100" workbookViewId="0" topLeftCell="A4">
      <selection activeCell="D14" sqref="D14"/>
    </sheetView>
  </sheetViews>
  <sheetFormatPr defaultColWidth="9.140625" defaultRowHeight="12.75"/>
  <cols>
    <col min="1" max="10" width="9.7109375" style="0" customWidth="1"/>
  </cols>
  <sheetData>
    <row r="1" spans="1:10" ht="12.75" customHeight="1">
      <c r="A1" s="2"/>
      <c r="B1" s="2"/>
      <c r="C1" s="2"/>
      <c r="D1" s="67" t="s">
        <v>0</v>
      </c>
      <c r="E1" s="67"/>
      <c r="F1" s="68">
        <v>121021</v>
      </c>
      <c r="G1" s="68"/>
      <c r="H1" s="2" t="s">
        <v>1</v>
      </c>
      <c r="I1" s="70" t="s">
        <v>24</v>
      </c>
      <c r="J1" s="70"/>
    </row>
    <row r="2" spans="1:10" ht="12.75" customHeight="1">
      <c r="A2" s="2"/>
      <c r="B2" s="2"/>
      <c r="C2" s="2"/>
      <c r="D2" s="67" t="s">
        <v>2</v>
      </c>
      <c r="E2" s="67"/>
      <c r="F2" s="71"/>
      <c r="G2" s="69"/>
      <c r="H2" s="69"/>
      <c r="I2" s="1" t="s">
        <v>4</v>
      </c>
      <c r="J2" s="3" t="s">
        <v>3</v>
      </c>
    </row>
    <row r="3" spans="1:10" ht="12.75" customHeight="1">
      <c r="A3" s="2"/>
      <c r="B3" s="2"/>
      <c r="C3" s="2"/>
      <c r="D3" s="67" t="s">
        <v>5</v>
      </c>
      <c r="E3" s="67"/>
      <c r="F3" s="68" t="s">
        <v>126</v>
      </c>
      <c r="G3" s="69"/>
      <c r="H3" s="69"/>
      <c r="I3" s="1" t="s">
        <v>6</v>
      </c>
      <c r="J3" s="4">
        <v>44020</v>
      </c>
    </row>
    <row r="4" spans="1:10" ht="12.75" customHeight="1">
      <c r="A4" s="2"/>
      <c r="B4" s="2"/>
      <c r="C4" s="2"/>
      <c r="D4" s="67" t="s">
        <v>7</v>
      </c>
      <c r="E4" s="67"/>
      <c r="F4" s="68" t="s">
        <v>137</v>
      </c>
      <c r="G4" s="69"/>
      <c r="H4" s="69"/>
      <c r="I4" s="1" t="s">
        <v>6</v>
      </c>
      <c r="J4" s="4">
        <v>44111</v>
      </c>
    </row>
    <row r="5" spans="1:10" ht="12.75" customHeight="1">
      <c r="A5" s="2"/>
      <c r="B5" s="2"/>
      <c r="C5" s="2"/>
      <c r="D5" s="67" t="s">
        <v>8</v>
      </c>
      <c r="E5" s="67"/>
      <c r="F5" s="68" t="s">
        <v>185</v>
      </c>
      <c r="G5" s="68"/>
      <c r="H5" s="68"/>
      <c r="I5" s="68"/>
      <c r="J5" s="68"/>
    </row>
    <row r="6" spans="1:4" ht="12.75" customHeight="1">
      <c r="A6" s="2"/>
      <c r="B6" s="2"/>
      <c r="C6" s="2"/>
      <c r="D6" s="2"/>
    </row>
    <row r="7" spans="1:4" ht="12.75" customHeight="1">
      <c r="A7" s="2"/>
      <c r="B7" s="2"/>
      <c r="C7" s="2"/>
      <c r="D7" s="2"/>
    </row>
    <row r="8" spans="1:10" s="16" customFormat="1" ht="12.75">
      <c r="A8" s="11" t="s">
        <v>25</v>
      </c>
      <c r="B8" s="10"/>
      <c r="C8" s="10"/>
      <c r="D8" s="10"/>
      <c r="E8" s="10"/>
      <c r="F8" s="10"/>
      <c r="G8" s="10"/>
      <c r="H8" s="10"/>
      <c r="I8" s="10"/>
      <c r="J8" s="31"/>
    </row>
    <row r="9" spans="1:10" s="16" customFormat="1" ht="12.75">
      <c r="A9" s="11"/>
      <c r="B9" s="10"/>
      <c r="C9" s="10"/>
      <c r="D9" s="10"/>
      <c r="E9" s="10"/>
      <c r="F9" s="10"/>
      <c r="G9" s="10"/>
      <c r="H9" s="10"/>
      <c r="I9" s="10"/>
      <c r="J9" s="31"/>
    </row>
    <row r="10" spans="1:10" s="16" customFormat="1" ht="12">
      <c r="A10" s="8" t="s">
        <v>104</v>
      </c>
      <c r="B10" s="2"/>
      <c r="C10" s="2"/>
      <c r="D10" s="2"/>
      <c r="E10"/>
      <c r="F10"/>
      <c r="G10"/>
      <c r="H10"/>
      <c r="I10" s="12">
        <f>General!I10</f>
        <v>1</v>
      </c>
      <c r="J10" s="18" t="str">
        <f>General!J10</f>
        <v>LS</v>
      </c>
    </row>
    <row r="11" spans="1:10" s="16" customFormat="1" ht="12">
      <c r="A11" s="9"/>
      <c r="B11" s="10"/>
      <c r="C11" s="10"/>
      <c r="D11" s="10"/>
      <c r="E11" s="10"/>
      <c r="F11" s="10"/>
      <c r="G11" s="10"/>
      <c r="H11" s="10"/>
      <c r="I11" s="10"/>
      <c r="J11" s="31"/>
    </row>
    <row r="12" spans="1:10" ht="13.5" thickBot="1">
      <c r="A12" s="17" t="s">
        <v>13</v>
      </c>
      <c r="B12" s="10"/>
      <c r="C12" s="10"/>
      <c r="D12" s="10"/>
      <c r="E12" s="10"/>
      <c r="F12" s="10"/>
      <c r="G12" s="10"/>
      <c r="H12" s="5" t="s">
        <v>9</v>
      </c>
      <c r="I12" s="13">
        <f>SUM(I10)</f>
        <v>1</v>
      </c>
      <c r="J12" s="6" t="s">
        <v>15</v>
      </c>
    </row>
    <row r="13" spans="1:10" ht="12.75" thickTop="1">
      <c r="A13" s="9"/>
      <c r="B13" s="10"/>
      <c r="C13" s="10"/>
      <c r="D13" s="10"/>
      <c r="E13" s="10"/>
      <c r="F13" s="10"/>
      <c r="G13" s="10"/>
      <c r="H13" s="10"/>
      <c r="I13" s="10"/>
      <c r="J13" s="31"/>
    </row>
    <row r="14" spans="1:10" ht="12">
      <c r="A14" s="9"/>
      <c r="B14" s="10"/>
      <c r="C14" s="10"/>
      <c r="D14" s="10"/>
      <c r="E14" s="10"/>
      <c r="F14" s="10"/>
      <c r="G14" s="10"/>
      <c r="H14" s="10"/>
      <c r="I14" s="10"/>
      <c r="J14" s="31"/>
    </row>
    <row r="15" spans="1:10" ht="12.75">
      <c r="A15" s="11" t="s">
        <v>17</v>
      </c>
      <c r="B15" s="10"/>
      <c r="C15" s="10"/>
      <c r="D15" s="10"/>
      <c r="E15" s="10"/>
      <c r="F15" s="10"/>
      <c r="G15" s="10"/>
      <c r="H15" s="10"/>
      <c r="I15" s="10"/>
      <c r="J15" s="31"/>
    </row>
    <row r="16" spans="1:10" ht="12">
      <c r="A16" s="9"/>
      <c r="B16" s="10"/>
      <c r="C16" s="10"/>
      <c r="D16" s="10"/>
      <c r="E16" s="10"/>
      <c r="F16" s="10"/>
      <c r="G16" s="10"/>
      <c r="H16" s="10"/>
      <c r="I16" s="10"/>
      <c r="J16" s="31"/>
    </row>
    <row r="17" spans="1:10" ht="12">
      <c r="A17" s="8" t="s">
        <v>104</v>
      </c>
      <c r="B17" s="2"/>
      <c r="C17" s="2"/>
      <c r="D17" s="2"/>
      <c r="I17" s="12">
        <f>General!I14</f>
        <v>1</v>
      </c>
      <c r="J17" s="18" t="str">
        <f>General!J14</f>
        <v>LS</v>
      </c>
    </row>
    <row r="18" spans="1:10" ht="12">
      <c r="A18" s="9"/>
      <c r="B18" s="10"/>
      <c r="C18" s="10"/>
      <c r="D18" s="10"/>
      <c r="E18" s="10"/>
      <c r="F18" s="10"/>
      <c r="G18" s="10"/>
      <c r="H18" s="10"/>
      <c r="I18" s="10"/>
      <c r="J18" s="31"/>
    </row>
    <row r="19" spans="1:10" ht="13.5" thickBot="1">
      <c r="A19" s="17" t="s">
        <v>13</v>
      </c>
      <c r="B19" s="10"/>
      <c r="C19" s="10"/>
      <c r="D19" s="10"/>
      <c r="E19" s="10"/>
      <c r="F19" s="10"/>
      <c r="G19" s="10"/>
      <c r="H19" s="5" t="s">
        <v>9</v>
      </c>
      <c r="I19" s="13">
        <f>SUM(I17)</f>
        <v>1</v>
      </c>
      <c r="J19" s="6" t="s">
        <v>15</v>
      </c>
    </row>
    <row r="20" spans="1:10" ht="12.75" thickTop="1">
      <c r="A20" s="9"/>
      <c r="B20" s="10"/>
      <c r="C20" s="10"/>
      <c r="D20" s="10"/>
      <c r="E20" s="10"/>
      <c r="F20" s="10"/>
      <c r="G20" s="10"/>
      <c r="H20" s="10"/>
      <c r="I20" s="10"/>
      <c r="J20" s="31"/>
    </row>
    <row r="21" spans="1:10" ht="12.75">
      <c r="A21" s="11" t="str">
        <f>General!A16</f>
        <v>503E21100, UNCLASSIFIED EXCAVATION</v>
      </c>
      <c r="B21" s="10"/>
      <c r="C21" s="10"/>
      <c r="D21" s="10"/>
      <c r="E21" s="10"/>
      <c r="F21" s="10"/>
      <c r="G21" s="10"/>
      <c r="H21" s="10"/>
      <c r="I21" s="10"/>
      <c r="J21" s="31"/>
    </row>
    <row r="22" spans="1:10" ht="12">
      <c r="A22" s="9"/>
      <c r="B22" s="10"/>
      <c r="C22" s="10"/>
      <c r="D22" s="10"/>
      <c r="E22" s="10"/>
      <c r="F22" s="10"/>
      <c r="G22" s="10"/>
      <c r="H22" s="10"/>
      <c r="I22" s="10"/>
      <c r="J22" s="31"/>
    </row>
    <row r="23" spans="1:10" ht="12">
      <c r="A23" s="8" t="s">
        <v>104</v>
      </c>
      <c r="B23" s="2"/>
      <c r="C23" s="2"/>
      <c r="D23" s="2"/>
      <c r="I23" s="12">
        <f>General!I18</f>
        <v>71</v>
      </c>
      <c r="J23" s="18" t="str">
        <f>General!J18</f>
        <v>CY</v>
      </c>
    </row>
    <row r="24" spans="1:10" ht="12">
      <c r="A24" s="8" t="s">
        <v>68</v>
      </c>
      <c r="B24" s="2"/>
      <c r="C24" s="2"/>
      <c r="D24" s="2"/>
      <c r="I24" s="12">
        <f>Inlet!I10</f>
        <v>150</v>
      </c>
      <c r="J24" s="18" t="str">
        <f>Inlet!J10</f>
        <v>CY</v>
      </c>
    </row>
    <row r="25" spans="1:10" ht="12">
      <c r="A25" s="9"/>
      <c r="B25" s="10"/>
      <c r="C25" s="10"/>
      <c r="D25" s="10"/>
      <c r="E25" s="10"/>
      <c r="F25" s="10"/>
      <c r="G25" s="10"/>
      <c r="H25" s="10"/>
      <c r="I25" s="10"/>
      <c r="J25" s="31"/>
    </row>
    <row r="26" spans="1:10" ht="13.5" thickBot="1">
      <c r="A26" s="17" t="s">
        <v>13</v>
      </c>
      <c r="B26" s="10"/>
      <c r="C26" s="10"/>
      <c r="D26" s="10"/>
      <c r="E26" s="10"/>
      <c r="F26" s="10"/>
      <c r="G26" s="10"/>
      <c r="H26" s="5" t="s">
        <v>9</v>
      </c>
      <c r="I26" s="13">
        <f>SUM(I23:I24)</f>
        <v>221</v>
      </c>
      <c r="J26" s="6" t="s">
        <v>12</v>
      </c>
    </row>
    <row r="27" spans="1:10" ht="12.75" thickTop="1">
      <c r="A27" s="9"/>
      <c r="B27" s="10"/>
      <c r="C27" s="10"/>
      <c r="D27" s="10"/>
      <c r="E27" s="10"/>
      <c r="F27" s="10"/>
      <c r="G27" s="10"/>
      <c r="H27" s="10"/>
      <c r="I27" s="10"/>
      <c r="J27" s="31"/>
    </row>
    <row r="28" spans="1:10" ht="12.75">
      <c r="A28" s="11" t="str">
        <f>General!A37</f>
        <v>503E31120, SHALE EXCAVATION</v>
      </c>
      <c r="B28" s="10"/>
      <c r="C28" s="10"/>
      <c r="D28" s="10"/>
      <c r="E28" s="10"/>
      <c r="F28" s="10"/>
      <c r="G28" s="10"/>
      <c r="H28" s="10"/>
      <c r="I28" s="10"/>
      <c r="J28" s="31"/>
    </row>
    <row r="29" spans="1:10" ht="12">
      <c r="A29" s="9"/>
      <c r="B29" s="10"/>
      <c r="C29" s="10"/>
      <c r="D29" s="10"/>
      <c r="E29" s="10"/>
      <c r="F29" s="10"/>
      <c r="G29" s="10"/>
      <c r="H29" s="10"/>
      <c r="I29" s="10"/>
      <c r="J29" s="31"/>
    </row>
    <row r="30" spans="1:10" ht="12">
      <c r="A30" s="8" t="s">
        <v>104</v>
      </c>
      <c r="B30" s="2"/>
      <c r="C30" s="2"/>
      <c r="D30" s="2"/>
      <c r="I30" s="12">
        <f>General!I39</f>
        <v>368</v>
      </c>
      <c r="J30" s="18" t="str">
        <f>General!J39</f>
        <v>CY</v>
      </c>
    </row>
    <row r="31" spans="1:10" ht="12">
      <c r="A31" s="8" t="s">
        <v>68</v>
      </c>
      <c r="B31" s="2"/>
      <c r="C31" s="2"/>
      <c r="D31" s="2"/>
      <c r="I31" s="12">
        <f>Inlet!I63</f>
        <v>153</v>
      </c>
      <c r="J31" s="18" t="str">
        <f>Inlet!J63</f>
        <v>CY</v>
      </c>
    </row>
    <row r="32" spans="1:10" ht="12">
      <c r="A32" s="8" t="s">
        <v>57</v>
      </c>
      <c r="B32" s="2"/>
      <c r="C32" s="2"/>
      <c r="D32" s="2"/>
      <c r="I32" s="12">
        <f>Outlet!I10</f>
        <v>2</v>
      </c>
      <c r="J32" s="18" t="str">
        <f>Outlet!J10</f>
        <v>CY</v>
      </c>
    </row>
    <row r="33" spans="1:10" ht="12">
      <c r="A33" s="9"/>
      <c r="B33" s="10"/>
      <c r="C33" s="10"/>
      <c r="D33" s="10"/>
      <c r="E33" s="10"/>
      <c r="F33" s="10"/>
      <c r="G33" s="10"/>
      <c r="H33" s="10"/>
      <c r="I33" s="10"/>
      <c r="J33" s="31"/>
    </row>
    <row r="34" spans="1:10" ht="13.5" thickBot="1">
      <c r="A34" s="17" t="s">
        <v>13</v>
      </c>
      <c r="B34" s="10"/>
      <c r="C34" s="10"/>
      <c r="D34" s="10"/>
      <c r="E34" s="10"/>
      <c r="F34" s="10"/>
      <c r="G34" s="10"/>
      <c r="H34" s="5" t="s">
        <v>9</v>
      </c>
      <c r="I34" s="13">
        <f>SUM(I30:I32)</f>
        <v>523</v>
      </c>
      <c r="J34" s="6" t="s">
        <v>12</v>
      </c>
    </row>
    <row r="35" spans="1:10" ht="12.75" thickTop="1">
      <c r="A35" s="9"/>
      <c r="B35" s="10"/>
      <c r="C35" s="10"/>
      <c r="D35" s="10"/>
      <c r="E35" s="10"/>
      <c r="F35" s="10"/>
      <c r="G35" s="10"/>
      <c r="H35" s="10"/>
      <c r="I35" s="10"/>
      <c r="J35" s="31"/>
    </row>
    <row r="36" spans="1:10" ht="12.75">
      <c r="A36" s="11" t="s">
        <v>28</v>
      </c>
      <c r="B36" s="10"/>
      <c r="C36" s="10"/>
      <c r="D36" s="10"/>
      <c r="E36" s="10"/>
      <c r="F36" s="10"/>
      <c r="G36" s="10"/>
      <c r="H36" s="10"/>
      <c r="I36" s="10"/>
      <c r="J36" s="31"/>
    </row>
    <row r="37" spans="1:10" ht="12">
      <c r="A37" s="9"/>
      <c r="B37" s="10"/>
      <c r="C37" s="10"/>
      <c r="D37" s="10"/>
      <c r="E37" s="10"/>
      <c r="F37" s="10"/>
      <c r="G37" s="10"/>
      <c r="H37" s="10"/>
      <c r="I37" s="10"/>
      <c r="J37" s="31"/>
    </row>
    <row r="38" spans="1:10" ht="12">
      <c r="A38" s="8" t="s">
        <v>68</v>
      </c>
      <c r="B38" s="2"/>
      <c r="C38" s="2"/>
      <c r="D38" s="2"/>
      <c r="I38" s="51">
        <f>Inlet!I124</f>
        <v>12779</v>
      </c>
      <c r="J38" s="18" t="str">
        <f>Inlet!J124</f>
        <v>LB</v>
      </c>
    </row>
    <row r="39" spans="1:10" ht="12">
      <c r="A39" s="8" t="s">
        <v>36</v>
      </c>
      <c r="B39" s="2"/>
      <c r="C39" s="2"/>
      <c r="D39" s="2"/>
      <c r="I39" s="51">
        <f>Interior!I12</f>
        <v>179</v>
      </c>
      <c r="J39" s="18" t="str">
        <f>Interior!J12</f>
        <v>LB</v>
      </c>
    </row>
    <row r="40" spans="1:10" ht="12">
      <c r="A40" s="8" t="s">
        <v>133</v>
      </c>
      <c r="B40" s="2"/>
      <c r="C40" s="2"/>
      <c r="D40" s="2"/>
      <c r="I40" s="51">
        <f>Crown!I12</f>
        <v>480</v>
      </c>
      <c r="J40" s="18" t="str">
        <f>Crown!J12</f>
        <v>LB</v>
      </c>
    </row>
    <row r="41" spans="1:10" ht="12">
      <c r="A41" s="8" t="s">
        <v>57</v>
      </c>
      <c r="B41" s="2"/>
      <c r="C41" s="2"/>
      <c r="D41" s="2"/>
      <c r="I41" s="51">
        <f>Outlet!I26</f>
        <v>571</v>
      </c>
      <c r="J41" s="18" t="str">
        <f>Outlet!J26</f>
        <v>LB</v>
      </c>
    </row>
    <row r="42" spans="1:10" ht="12">
      <c r="A42" s="9"/>
      <c r="B42" s="10"/>
      <c r="C42" s="10"/>
      <c r="D42" s="10"/>
      <c r="E42" s="10"/>
      <c r="F42" s="10"/>
      <c r="G42" s="10"/>
      <c r="H42" s="10"/>
      <c r="I42" s="52"/>
      <c r="J42" s="31"/>
    </row>
    <row r="43" spans="1:10" ht="13.5" thickBot="1">
      <c r="A43" s="17" t="s">
        <v>13</v>
      </c>
      <c r="B43" s="10"/>
      <c r="C43" s="10"/>
      <c r="D43" s="10"/>
      <c r="E43" s="10"/>
      <c r="F43" s="10"/>
      <c r="G43" s="10"/>
      <c r="H43" s="5" t="s">
        <v>9</v>
      </c>
      <c r="I43" s="53">
        <f>SUM(I38:I41)</f>
        <v>14009</v>
      </c>
      <c r="J43" s="6" t="s">
        <v>27</v>
      </c>
    </row>
    <row r="44" spans="1:10" ht="12.75" thickTop="1">
      <c r="A44" s="9"/>
      <c r="B44" s="10"/>
      <c r="C44" s="10"/>
      <c r="D44" s="10"/>
      <c r="E44" s="10"/>
      <c r="F44" s="10"/>
      <c r="G44" s="10"/>
      <c r="H44" s="10"/>
      <c r="I44" s="10"/>
      <c r="J44" s="31"/>
    </row>
    <row r="45" spans="1:10" ht="12.75">
      <c r="A45" s="11" t="s">
        <v>75</v>
      </c>
      <c r="B45" s="10"/>
      <c r="C45" s="10"/>
      <c r="D45" s="10"/>
      <c r="E45" s="10"/>
      <c r="F45" s="10"/>
      <c r="G45" s="10"/>
      <c r="H45" s="10"/>
      <c r="I45" s="10"/>
      <c r="J45" s="31"/>
    </row>
    <row r="46" spans="1:10" ht="12">
      <c r="A46" s="9"/>
      <c r="B46" s="10"/>
      <c r="C46" s="10"/>
      <c r="D46" s="10"/>
      <c r="E46" s="10"/>
      <c r="F46" s="10"/>
      <c r="G46" s="10"/>
      <c r="H46" s="10"/>
      <c r="I46" s="10"/>
      <c r="J46" s="31"/>
    </row>
    <row r="47" spans="1:10" ht="12">
      <c r="A47" s="8" t="s">
        <v>133</v>
      </c>
      <c r="B47" s="2"/>
      <c r="C47" s="2"/>
      <c r="D47" s="2"/>
      <c r="I47" s="12">
        <f>Crown!I25</f>
        <v>4</v>
      </c>
      <c r="J47" s="18" t="str">
        <f>Crown!J25</f>
        <v>CY</v>
      </c>
    </row>
    <row r="48" spans="1:10" ht="12">
      <c r="A48" s="9"/>
      <c r="B48" s="10"/>
      <c r="C48" s="10"/>
      <c r="D48" s="10"/>
      <c r="E48" s="10"/>
      <c r="F48" s="10"/>
      <c r="G48" s="10"/>
      <c r="H48" s="10"/>
      <c r="I48" s="10"/>
      <c r="J48" s="31"/>
    </row>
    <row r="49" spans="1:10" ht="13.5" thickBot="1">
      <c r="A49" s="17" t="s">
        <v>13</v>
      </c>
      <c r="B49" s="10"/>
      <c r="C49" s="10"/>
      <c r="D49" s="10"/>
      <c r="E49" s="10"/>
      <c r="F49" s="10"/>
      <c r="G49" s="10"/>
      <c r="H49" s="5" t="s">
        <v>9</v>
      </c>
      <c r="I49" s="13">
        <f>SUM(I47)</f>
        <v>4</v>
      </c>
      <c r="J49" s="6" t="s">
        <v>12</v>
      </c>
    </row>
    <row r="50" spans="1:10" ht="12.75" thickTop="1">
      <c r="A50" s="9"/>
      <c r="B50" s="10"/>
      <c r="C50" s="10"/>
      <c r="D50" s="10"/>
      <c r="E50" s="10"/>
      <c r="F50" s="10"/>
      <c r="G50" s="10"/>
      <c r="H50" s="10"/>
      <c r="I50" s="10"/>
      <c r="J50" s="31"/>
    </row>
    <row r="51" spans="1:10" ht="12.75">
      <c r="A51" s="11" t="s">
        <v>105</v>
      </c>
      <c r="B51" s="10"/>
      <c r="C51" s="10"/>
      <c r="D51" s="10"/>
      <c r="E51" s="10"/>
      <c r="F51" s="10"/>
      <c r="G51" s="10"/>
      <c r="H51" s="10"/>
      <c r="I51" s="10"/>
      <c r="J51" s="31"/>
    </row>
    <row r="52" spans="1:10" ht="12">
      <c r="A52" s="9"/>
      <c r="B52" s="10"/>
      <c r="C52" s="10"/>
      <c r="D52" s="10"/>
      <c r="E52" s="10"/>
      <c r="F52" s="10"/>
      <c r="G52" s="10"/>
      <c r="H52" s="10"/>
      <c r="I52" s="10"/>
      <c r="J52" s="31"/>
    </row>
    <row r="53" spans="1:10" ht="12">
      <c r="A53" s="8" t="s">
        <v>68</v>
      </c>
      <c r="B53" s="2"/>
      <c r="C53" s="2"/>
      <c r="D53" s="2"/>
      <c r="I53" s="12">
        <f>Inlet!I147</f>
        <v>28</v>
      </c>
      <c r="J53" s="18" t="str">
        <f>Inlet!J147</f>
        <v>CY</v>
      </c>
    </row>
    <row r="54" spans="1:10" ht="12">
      <c r="A54" s="9"/>
      <c r="B54" s="10"/>
      <c r="C54" s="10"/>
      <c r="D54" s="10"/>
      <c r="E54" s="10"/>
      <c r="F54" s="10"/>
      <c r="G54" s="10"/>
      <c r="H54" s="10"/>
      <c r="I54" s="10"/>
      <c r="J54" s="31"/>
    </row>
    <row r="55" spans="1:10" ht="13.5" thickBot="1">
      <c r="A55" s="17" t="s">
        <v>13</v>
      </c>
      <c r="B55" s="10"/>
      <c r="C55" s="10"/>
      <c r="D55" s="10"/>
      <c r="E55" s="10"/>
      <c r="F55" s="10"/>
      <c r="G55" s="10"/>
      <c r="H55" s="5" t="s">
        <v>9</v>
      </c>
      <c r="I55" s="53">
        <f>SUM(I53)</f>
        <v>28</v>
      </c>
      <c r="J55" s="6" t="s">
        <v>12</v>
      </c>
    </row>
    <row r="56" spans="1:10" ht="12.75" thickTop="1">
      <c r="A56" s="9"/>
      <c r="B56" s="10"/>
      <c r="C56" s="10"/>
      <c r="D56" s="10"/>
      <c r="E56" s="10"/>
      <c r="F56" s="10"/>
      <c r="G56" s="10"/>
      <c r="H56" s="10"/>
      <c r="I56" s="10"/>
      <c r="J56" s="31"/>
    </row>
    <row r="57" spans="1:10" ht="12.75">
      <c r="A57" s="11" t="s">
        <v>129</v>
      </c>
      <c r="B57" s="10"/>
      <c r="C57" s="10"/>
      <c r="D57" s="10"/>
      <c r="E57" s="10"/>
      <c r="F57" s="10"/>
      <c r="G57" s="10"/>
      <c r="H57" s="10"/>
      <c r="I57" s="10"/>
      <c r="J57" s="31"/>
    </row>
    <row r="58" spans="1:10" ht="12">
      <c r="A58" s="9"/>
      <c r="B58" s="10"/>
      <c r="C58" s="10"/>
      <c r="D58" s="10"/>
      <c r="E58" s="10"/>
      <c r="F58" s="10"/>
      <c r="G58" s="10"/>
      <c r="H58" s="10"/>
      <c r="I58" s="10"/>
      <c r="J58" s="31"/>
    </row>
    <row r="59" spans="1:10" ht="12">
      <c r="A59" s="8" t="s">
        <v>68</v>
      </c>
      <c r="B59" s="2"/>
      <c r="C59" s="2"/>
      <c r="D59" s="2"/>
      <c r="I59" s="12">
        <f>Inlet!I171</f>
        <v>52</v>
      </c>
      <c r="J59" s="18" t="str">
        <f>Inlet!J171</f>
        <v>CY</v>
      </c>
    </row>
    <row r="60" spans="1:10" ht="12">
      <c r="A60" s="9"/>
      <c r="B60" s="10"/>
      <c r="C60" s="10"/>
      <c r="D60" s="10"/>
      <c r="E60" s="10"/>
      <c r="F60" s="10"/>
      <c r="G60" s="10"/>
      <c r="H60" s="10"/>
      <c r="I60" s="10"/>
      <c r="J60" s="31"/>
    </row>
    <row r="61" spans="1:10" ht="13.5" thickBot="1">
      <c r="A61" s="17" t="s">
        <v>13</v>
      </c>
      <c r="B61" s="10"/>
      <c r="C61" s="10"/>
      <c r="D61" s="10"/>
      <c r="E61" s="10"/>
      <c r="F61" s="10"/>
      <c r="G61" s="10"/>
      <c r="H61" s="5" t="s">
        <v>9</v>
      </c>
      <c r="I61" s="13">
        <f>SUM(I59)</f>
        <v>52</v>
      </c>
      <c r="J61" s="6" t="s">
        <v>12</v>
      </c>
    </row>
    <row r="62" spans="1:10" ht="12.75" thickTop="1">
      <c r="A62" s="9"/>
      <c r="B62" s="10"/>
      <c r="C62" s="10"/>
      <c r="D62" s="10"/>
      <c r="E62" s="10"/>
      <c r="F62" s="10"/>
      <c r="G62" s="10"/>
      <c r="H62" s="10"/>
      <c r="I62" s="10"/>
      <c r="J62" s="31"/>
    </row>
    <row r="63" spans="1:10" ht="12.75">
      <c r="A63" s="55" t="s">
        <v>138</v>
      </c>
      <c r="B63" s="10"/>
      <c r="C63" s="10"/>
      <c r="D63" s="10"/>
      <c r="E63" s="10"/>
      <c r="F63" s="10"/>
      <c r="G63" s="10"/>
      <c r="H63" s="10"/>
      <c r="I63" s="10"/>
      <c r="J63" s="31"/>
    </row>
    <row r="64" spans="1:10" ht="12">
      <c r="A64" s="9"/>
      <c r="B64" s="10"/>
      <c r="C64" s="10"/>
      <c r="D64" s="10"/>
      <c r="E64" s="10"/>
      <c r="F64" s="10"/>
      <c r="G64" s="10"/>
      <c r="H64" s="10"/>
      <c r="I64" s="10"/>
      <c r="J64" s="31"/>
    </row>
    <row r="65" spans="1:10" ht="12">
      <c r="A65" s="8" t="s">
        <v>57</v>
      </c>
      <c r="B65" s="2"/>
      <c r="C65" s="2"/>
      <c r="D65" s="2"/>
      <c r="I65" s="12">
        <f>Outlet!I40</f>
        <v>4</v>
      </c>
      <c r="J65" s="18" t="str">
        <f>Outlet!J40</f>
        <v>CY</v>
      </c>
    </row>
    <row r="66" spans="1:10" ht="12">
      <c r="A66" s="9"/>
      <c r="B66" s="10"/>
      <c r="C66" s="10"/>
      <c r="D66" s="10"/>
      <c r="E66" s="10"/>
      <c r="F66" s="10"/>
      <c r="G66" s="10"/>
      <c r="H66" s="10"/>
      <c r="I66" s="10"/>
      <c r="J66" s="31"/>
    </row>
    <row r="67" spans="1:10" ht="13.5" thickBot="1">
      <c r="A67" s="17" t="s">
        <v>13</v>
      </c>
      <c r="B67" s="10"/>
      <c r="C67" s="10"/>
      <c r="D67" s="10"/>
      <c r="E67" s="10"/>
      <c r="F67" s="10"/>
      <c r="G67" s="10"/>
      <c r="H67" s="5" t="s">
        <v>9</v>
      </c>
      <c r="I67" s="13">
        <f>SUM(I65)</f>
        <v>4</v>
      </c>
      <c r="J67" s="6" t="s">
        <v>12</v>
      </c>
    </row>
    <row r="68" spans="1:10" ht="12.75" thickTop="1">
      <c r="A68" s="9"/>
      <c r="B68" s="10"/>
      <c r="C68" s="10"/>
      <c r="D68" s="10"/>
      <c r="E68" s="10"/>
      <c r="F68" s="10"/>
      <c r="G68" s="10"/>
      <c r="H68" s="10"/>
      <c r="I68" s="10"/>
      <c r="J68" s="31"/>
    </row>
    <row r="69" spans="1:10" ht="12.75">
      <c r="A69" s="11" t="s">
        <v>98</v>
      </c>
      <c r="B69" s="10"/>
      <c r="C69" s="10"/>
      <c r="D69" s="10"/>
      <c r="E69" s="10"/>
      <c r="F69" s="10"/>
      <c r="G69" s="10"/>
      <c r="H69" s="10"/>
      <c r="I69" s="10"/>
      <c r="J69" s="31"/>
    </row>
    <row r="70" spans="1:10" ht="12">
      <c r="A70" s="9"/>
      <c r="B70" s="10"/>
      <c r="C70" s="10"/>
      <c r="D70" s="10"/>
      <c r="E70" s="10"/>
      <c r="F70" s="10"/>
      <c r="G70" s="10"/>
      <c r="H70" s="10"/>
      <c r="I70" s="10"/>
      <c r="J70" s="31"/>
    </row>
    <row r="71" spans="1:10" ht="12">
      <c r="A71" s="8" t="s">
        <v>57</v>
      </c>
      <c r="B71" s="2"/>
      <c r="C71" s="2"/>
      <c r="D71" s="2"/>
      <c r="I71" s="12">
        <f>Outlet!I52</f>
        <v>1</v>
      </c>
      <c r="J71" s="18" t="str">
        <f>Outlet!J52</f>
        <v>CY</v>
      </c>
    </row>
    <row r="72" spans="1:10" ht="12">
      <c r="A72" s="9"/>
      <c r="B72" s="10"/>
      <c r="C72" s="10"/>
      <c r="D72" s="10"/>
      <c r="E72" s="10"/>
      <c r="F72" s="10"/>
      <c r="G72" s="10"/>
      <c r="H72" s="10"/>
      <c r="I72" s="10"/>
      <c r="J72" s="31"/>
    </row>
    <row r="73" spans="1:10" ht="13.5" thickBot="1">
      <c r="A73" s="17" t="s">
        <v>13</v>
      </c>
      <c r="B73" s="10"/>
      <c r="C73" s="10"/>
      <c r="D73" s="10"/>
      <c r="E73" s="10"/>
      <c r="F73" s="10"/>
      <c r="G73" s="10"/>
      <c r="H73" s="5" t="s">
        <v>9</v>
      </c>
      <c r="I73" s="13">
        <f>SUM(I71)</f>
        <v>1</v>
      </c>
      <c r="J73" s="6" t="s">
        <v>12</v>
      </c>
    </row>
    <row r="74" spans="1:10" ht="12.75" thickTop="1">
      <c r="A74" s="9"/>
      <c r="B74" s="10"/>
      <c r="C74" s="10"/>
      <c r="D74" s="10"/>
      <c r="E74" s="10"/>
      <c r="F74" s="10"/>
      <c r="G74" s="10"/>
      <c r="H74" s="10"/>
      <c r="I74" s="10"/>
      <c r="J74" s="31"/>
    </row>
    <row r="75" spans="1:10" ht="12.75">
      <c r="A75" s="50" t="s">
        <v>141</v>
      </c>
      <c r="B75" s="10"/>
      <c r="C75" s="10"/>
      <c r="D75" s="10"/>
      <c r="E75" s="10"/>
      <c r="F75" s="10"/>
      <c r="G75" s="10"/>
      <c r="H75" s="10"/>
      <c r="I75" s="10"/>
      <c r="J75" s="31"/>
    </row>
    <row r="76" spans="1:10" ht="12">
      <c r="A76" s="9"/>
      <c r="B76" s="10"/>
      <c r="C76" s="10"/>
      <c r="D76" s="10"/>
      <c r="E76" s="10"/>
      <c r="F76" s="10"/>
      <c r="G76" s="10"/>
      <c r="H76" s="10"/>
      <c r="I76" s="10"/>
      <c r="J76" s="31"/>
    </row>
    <row r="77" spans="1:10" ht="12">
      <c r="A77" s="8" t="s">
        <v>36</v>
      </c>
      <c r="B77" s="2"/>
      <c r="C77" s="2"/>
      <c r="D77" s="2"/>
      <c r="I77" s="12">
        <f>Interior!I21</f>
        <v>114</v>
      </c>
      <c r="J77" s="18" t="str">
        <f>Interior!J21</f>
        <v>SF</v>
      </c>
    </row>
    <row r="78" spans="1:10" ht="12">
      <c r="A78" s="9"/>
      <c r="B78" s="10"/>
      <c r="C78" s="10"/>
      <c r="D78" s="10"/>
      <c r="E78" s="10"/>
      <c r="F78" s="10"/>
      <c r="G78" s="10"/>
      <c r="H78" s="10"/>
      <c r="I78" s="10"/>
      <c r="J78" s="31"/>
    </row>
    <row r="79" spans="1:10" ht="13.5" thickBot="1">
      <c r="A79" s="17" t="s">
        <v>13</v>
      </c>
      <c r="B79" s="10"/>
      <c r="C79" s="10"/>
      <c r="D79" s="10"/>
      <c r="E79" s="10"/>
      <c r="F79" s="10"/>
      <c r="G79" s="10"/>
      <c r="H79" s="5" t="s">
        <v>9</v>
      </c>
      <c r="I79" s="13">
        <f>SUM(I77)</f>
        <v>114</v>
      </c>
      <c r="J79" s="6" t="s">
        <v>11</v>
      </c>
    </row>
    <row r="80" spans="1:10" ht="12.75" thickTop="1">
      <c r="A80" s="9"/>
      <c r="B80" s="10"/>
      <c r="C80" s="10"/>
      <c r="D80" s="10"/>
      <c r="E80" s="10"/>
      <c r="F80" s="10"/>
      <c r="G80" s="10"/>
      <c r="H80" s="10"/>
      <c r="I80" s="10"/>
      <c r="J80" s="31"/>
    </row>
    <row r="81" spans="1:10" ht="12.75">
      <c r="A81" s="50" t="s">
        <v>140</v>
      </c>
      <c r="B81" s="10"/>
      <c r="C81" s="10"/>
      <c r="D81" s="10"/>
      <c r="E81" s="10"/>
      <c r="F81" s="10"/>
      <c r="G81" s="10"/>
      <c r="H81" s="10"/>
      <c r="I81" s="10"/>
      <c r="J81" s="31"/>
    </row>
    <row r="82" spans="1:10" ht="12">
      <c r="A82" s="9"/>
      <c r="B82" s="10"/>
      <c r="C82" s="10"/>
      <c r="D82" s="10"/>
      <c r="E82" s="10"/>
      <c r="F82" s="10"/>
      <c r="G82" s="10"/>
      <c r="H82" s="10"/>
      <c r="I82" s="10"/>
      <c r="J82" s="31"/>
    </row>
    <row r="83" spans="1:10" ht="12">
      <c r="A83" s="8" t="s">
        <v>36</v>
      </c>
      <c r="B83" s="2"/>
      <c r="C83" s="2"/>
      <c r="D83" s="2"/>
      <c r="I83" s="12">
        <f>Interior!I28</f>
        <v>189</v>
      </c>
      <c r="J83" s="18" t="str">
        <f>Interior!J28</f>
        <v>FT</v>
      </c>
    </row>
    <row r="84" spans="1:10" ht="12">
      <c r="A84" s="9"/>
      <c r="B84" s="10"/>
      <c r="C84" s="10"/>
      <c r="D84" s="10"/>
      <c r="E84" s="10"/>
      <c r="F84" s="10"/>
      <c r="G84" s="10"/>
      <c r="H84" s="10"/>
      <c r="I84" s="10"/>
      <c r="J84" s="31"/>
    </row>
    <row r="85" spans="1:10" ht="13.5" thickBot="1">
      <c r="A85" s="17" t="s">
        <v>13</v>
      </c>
      <c r="B85" s="10"/>
      <c r="C85" s="10"/>
      <c r="D85" s="10"/>
      <c r="E85" s="10"/>
      <c r="F85" s="10"/>
      <c r="G85" s="10"/>
      <c r="H85" s="5" t="s">
        <v>9</v>
      </c>
      <c r="I85" s="13">
        <f>SUM(I83)</f>
        <v>189</v>
      </c>
      <c r="J85" s="6" t="s">
        <v>10</v>
      </c>
    </row>
    <row r="86" spans="1:10" ht="12.75" thickTop="1">
      <c r="A86" s="9"/>
      <c r="B86" s="10"/>
      <c r="C86" s="10"/>
      <c r="D86" s="10"/>
      <c r="E86" s="10"/>
      <c r="F86" s="10"/>
      <c r="G86" s="10"/>
      <c r="H86" s="10"/>
      <c r="I86" s="10"/>
      <c r="J86" s="31"/>
    </row>
    <row r="87" spans="1:10" ht="12.75">
      <c r="A87" s="11" t="s">
        <v>81</v>
      </c>
      <c r="B87" s="10"/>
      <c r="C87" s="10"/>
      <c r="D87" s="10"/>
      <c r="E87" s="10"/>
      <c r="F87" s="10"/>
      <c r="G87" s="10"/>
      <c r="H87" s="10"/>
      <c r="I87" s="10"/>
      <c r="J87" s="31"/>
    </row>
    <row r="88" spans="1:10" ht="12">
      <c r="A88" s="9"/>
      <c r="B88" s="10"/>
      <c r="C88" s="10"/>
      <c r="D88" s="10"/>
      <c r="E88" s="10"/>
      <c r="F88" s="10"/>
      <c r="G88" s="10"/>
      <c r="H88" s="10"/>
      <c r="I88" s="10"/>
      <c r="J88" s="31"/>
    </row>
    <row r="89" spans="1:10" ht="12">
      <c r="A89" s="8" t="s">
        <v>68</v>
      </c>
      <c r="B89" s="2"/>
      <c r="C89" s="2"/>
      <c r="D89" s="2"/>
      <c r="I89" s="12">
        <f>Inlet!I211</f>
        <v>58</v>
      </c>
      <c r="J89" s="18" t="str">
        <f>Inlet!J211</f>
        <v>SY</v>
      </c>
    </row>
    <row r="90" spans="1:10" ht="12">
      <c r="A90" s="9"/>
      <c r="B90" s="10"/>
      <c r="C90" s="10"/>
      <c r="D90" s="10"/>
      <c r="E90" s="10"/>
      <c r="F90" s="10"/>
      <c r="G90" s="10"/>
      <c r="H90" s="10"/>
      <c r="I90" s="10"/>
      <c r="J90" s="31"/>
    </row>
    <row r="91" spans="1:10" ht="13.5" thickBot="1">
      <c r="A91" s="17" t="s">
        <v>13</v>
      </c>
      <c r="B91" s="10"/>
      <c r="C91" s="10"/>
      <c r="D91" s="10"/>
      <c r="E91" s="10"/>
      <c r="F91" s="10"/>
      <c r="G91" s="10"/>
      <c r="H91" s="5" t="s">
        <v>9</v>
      </c>
      <c r="I91" s="13">
        <f>SUM(I89)</f>
        <v>58</v>
      </c>
      <c r="J91" s="6" t="s">
        <v>87</v>
      </c>
    </row>
    <row r="92" spans="1:10" ht="12.75" thickTop="1">
      <c r="A92" s="9"/>
      <c r="B92" s="10"/>
      <c r="C92" s="10"/>
      <c r="D92" s="10"/>
      <c r="E92" s="10"/>
      <c r="F92" s="10"/>
      <c r="G92" s="10"/>
      <c r="H92" s="10"/>
      <c r="I92" s="10"/>
      <c r="J92" s="31"/>
    </row>
    <row r="93" spans="1:10" ht="12.75">
      <c r="A93" s="11" t="s">
        <v>77</v>
      </c>
      <c r="B93" s="10"/>
      <c r="C93" s="10"/>
      <c r="D93" s="10"/>
      <c r="E93" s="10"/>
      <c r="F93" s="10"/>
      <c r="G93" s="10"/>
      <c r="H93" s="10"/>
      <c r="I93" s="10"/>
      <c r="J93" s="31"/>
    </row>
    <row r="94" spans="1:10" ht="12">
      <c r="A94" s="9"/>
      <c r="B94" s="10"/>
      <c r="C94" s="10"/>
      <c r="D94" s="10"/>
      <c r="E94" s="10"/>
      <c r="F94" s="10"/>
      <c r="G94" s="10"/>
      <c r="H94" s="10"/>
      <c r="I94" s="10"/>
      <c r="J94" s="31"/>
    </row>
    <row r="95" spans="1:10" ht="12">
      <c r="A95" s="8" t="s">
        <v>36</v>
      </c>
      <c r="B95" s="2"/>
      <c r="C95" s="2"/>
      <c r="D95" s="2"/>
      <c r="I95" s="12">
        <f>Interior!I50</f>
        <v>28</v>
      </c>
      <c r="J95" s="18" t="str">
        <f>Interior!J50</f>
        <v>FT</v>
      </c>
    </row>
    <row r="96" spans="1:10" ht="12">
      <c r="A96" s="8" t="s">
        <v>57</v>
      </c>
      <c r="B96" s="2"/>
      <c r="C96" s="2"/>
      <c r="D96" s="2"/>
      <c r="I96" s="12">
        <f>Outlet!I66</f>
        <v>10</v>
      </c>
      <c r="J96" s="18" t="str">
        <f>Outlet!J66</f>
        <v>FT</v>
      </c>
    </row>
    <row r="97" spans="1:10" ht="12">
      <c r="A97" s="9"/>
      <c r="B97" s="10"/>
      <c r="C97" s="10"/>
      <c r="D97" s="10"/>
      <c r="E97" s="10"/>
      <c r="F97" s="10"/>
      <c r="G97" s="10"/>
      <c r="H97" s="10"/>
      <c r="I97" s="10"/>
      <c r="J97" s="31"/>
    </row>
    <row r="98" spans="1:10" ht="13.5" thickBot="1">
      <c r="A98" s="17" t="s">
        <v>13</v>
      </c>
      <c r="B98" s="10"/>
      <c r="C98" s="10"/>
      <c r="D98" s="10"/>
      <c r="E98" s="10"/>
      <c r="F98" s="10"/>
      <c r="G98" s="10"/>
      <c r="H98" s="5" t="s">
        <v>9</v>
      </c>
      <c r="I98" s="13">
        <f>SUM(I95:I96)</f>
        <v>38</v>
      </c>
      <c r="J98" s="6" t="s">
        <v>10</v>
      </c>
    </row>
    <row r="99" spans="1:10" ht="12.75" thickTop="1">
      <c r="A99" s="9"/>
      <c r="B99" s="10"/>
      <c r="C99" s="10"/>
      <c r="D99" s="10"/>
      <c r="E99" s="10"/>
      <c r="F99" s="10"/>
      <c r="G99" s="10"/>
      <c r="H99" s="10"/>
      <c r="I99" s="10"/>
      <c r="J99" s="31"/>
    </row>
    <row r="100" spans="1:10" ht="12.75">
      <c r="A100" s="11" t="s">
        <v>88</v>
      </c>
      <c r="B100" s="10"/>
      <c r="C100" s="10"/>
      <c r="D100" s="10"/>
      <c r="E100" s="10"/>
      <c r="F100" s="10"/>
      <c r="G100" s="10"/>
      <c r="H100" s="10"/>
      <c r="I100" s="10"/>
      <c r="J100" s="31"/>
    </row>
    <row r="101" spans="1:10" ht="12">
      <c r="A101" s="9"/>
      <c r="B101" s="10"/>
      <c r="C101" s="10"/>
      <c r="D101" s="10"/>
      <c r="E101" s="10"/>
      <c r="F101" s="10"/>
      <c r="G101" s="10"/>
      <c r="H101" s="10"/>
      <c r="I101" s="10"/>
      <c r="J101" s="31"/>
    </row>
    <row r="102" spans="1:10" ht="12">
      <c r="A102" s="8" t="s">
        <v>68</v>
      </c>
      <c r="B102" s="2"/>
      <c r="C102" s="2"/>
      <c r="D102" s="2"/>
      <c r="I102" s="12">
        <f>Inlet!I220</f>
        <v>9</v>
      </c>
      <c r="J102" s="18" t="str">
        <f>Inlet!J220</f>
        <v>SY</v>
      </c>
    </row>
    <row r="103" spans="1:10" ht="12">
      <c r="A103" s="9"/>
      <c r="B103" s="10"/>
      <c r="C103" s="10"/>
      <c r="D103" s="10"/>
      <c r="E103" s="10"/>
      <c r="F103" s="10"/>
      <c r="G103" s="10"/>
      <c r="H103" s="10"/>
      <c r="I103" s="10"/>
      <c r="J103" s="31"/>
    </row>
    <row r="104" spans="1:10" ht="13.5" thickBot="1">
      <c r="A104" s="17" t="s">
        <v>13</v>
      </c>
      <c r="B104" s="10"/>
      <c r="C104" s="10"/>
      <c r="D104" s="10"/>
      <c r="E104" s="10"/>
      <c r="F104" s="10"/>
      <c r="G104" s="10"/>
      <c r="H104" s="5" t="s">
        <v>9</v>
      </c>
      <c r="I104" s="13">
        <f>SUM(I102)</f>
        <v>9</v>
      </c>
      <c r="J104" s="6" t="s">
        <v>87</v>
      </c>
    </row>
    <row r="105" spans="1:10" ht="12.75" thickTop="1">
      <c r="A105" s="9"/>
      <c r="B105" s="10"/>
      <c r="C105" s="10"/>
      <c r="D105" s="10"/>
      <c r="E105" s="10"/>
      <c r="F105" s="10"/>
      <c r="G105" s="10"/>
      <c r="H105" s="10"/>
      <c r="I105" s="10"/>
      <c r="J105" s="31"/>
    </row>
    <row r="106" spans="1:10" ht="12.75">
      <c r="A106" s="11" t="s">
        <v>26</v>
      </c>
      <c r="B106" s="10"/>
      <c r="C106" s="10"/>
      <c r="D106" s="10"/>
      <c r="E106" s="10"/>
      <c r="F106" s="10"/>
      <c r="G106" s="10"/>
      <c r="H106" s="10"/>
      <c r="I106" s="10"/>
      <c r="J106" s="31"/>
    </row>
    <row r="107" spans="1:10" ht="12">
      <c r="A107" s="9"/>
      <c r="B107" s="10"/>
      <c r="C107" s="10"/>
      <c r="D107" s="10"/>
      <c r="E107" s="10"/>
      <c r="F107" s="10"/>
      <c r="G107" s="10"/>
      <c r="H107" s="10"/>
      <c r="I107" s="10"/>
      <c r="J107" s="31"/>
    </row>
    <row r="108" spans="1:10" ht="12">
      <c r="A108" s="8" t="s">
        <v>68</v>
      </c>
      <c r="B108" s="2"/>
      <c r="C108" s="2"/>
      <c r="D108" s="2"/>
      <c r="I108" s="12">
        <f>Inlet!I239</f>
        <v>26</v>
      </c>
      <c r="J108" s="18" t="str">
        <f>Inlet!J239</f>
        <v>CY</v>
      </c>
    </row>
    <row r="109" spans="1:10" ht="12">
      <c r="A109" s="9"/>
      <c r="B109" s="10"/>
      <c r="C109" s="10"/>
      <c r="D109" s="10"/>
      <c r="E109" s="10"/>
      <c r="F109" s="10"/>
      <c r="G109" s="10"/>
      <c r="H109" s="10"/>
      <c r="I109" s="10"/>
      <c r="J109" s="31"/>
    </row>
    <row r="110" spans="1:10" ht="13.5" thickBot="1">
      <c r="A110" s="17" t="s">
        <v>13</v>
      </c>
      <c r="B110" s="10"/>
      <c r="C110" s="10"/>
      <c r="D110" s="10"/>
      <c r="E110" s="10"/>
      <c r="F110" s="10"/>
      <c r="G110" s="10"/>
      <c r="H110" s="5" t="s">
        <v>9</v>
      </c>
      <c r="I110" s="13">
        <f>SUM(I108)</f>
        <v>26</v>
      </c>
      <c r="J110" s="6" t="s">
        <v>12</v>
      </c>
    </row>
    <row r="111" spans="1:10" ht="12.75" thickTop="1">
      <c r="A111" s="9"/>
      <c r="B111" s="10"/>
      <c r="C111" s="10"/>
      <c r="D111" s="10"/>
      <c r="E111" s="10"/>
      <c r="F111" s="10"/>
      <c r="G111" s="10"/>
      <c r="H111" s="10"/>
      <c r="I111" s="10"/>
      <c r="J111" s="31"/>
    </row>
    <row r="112" spans="1:10" ht="12.75">
      <c r="A112" s="11" t="s">
        <v>128</v>
      </c>
      <c r="B112" s="10"/>
      <c r="C112" s="10"/>
      <c r="D112" s="10"/>
      <c r="E112" s="10"/>
      <c r="F112" s="10"/>
      <c r="G112" s="10"/>
      <c r="H112" s="10"/>
      <c r="I112" s="10"/>
      <c r="J112" s="31"/>
    </row>
    <row r="113" spans="1:10" ht="12">
      <c r="A113" s="9"/>
      <c r="B113" s="10"/>
      <c r="C113" s="10"/>
      <c r="D113" s="10"/>
      <c r="E113" s="10"/>
      <c r="F113" s="10"/>
      <c r="G113" s="10"/>
      <c r="H113" s="10"/>
      <c r="I113" s="10"/>
      <c r="J113" s="31"/>
    </row>
    <row r="114" spans="1:10" ht="12">
      <c r="A114" s="8" t="s">
        <v>68</v>
      </c>
      <c r="B114" s="2"/>
      <c r="C114" s="2"/>
      <c r="D114" s="2"/>
      <c r="I114" s="12">
        <f>Inlet!I254</f>
        <v>97</v>
      </c>
      <c r="J114" s="18" t="str">
        <f>Inlet!J254</f>
        <v>CY</v>
      </c>
    </row>
    <row r="115" spans="1:10" ht="12">
      <c r="A115" s="8" t="s">
        <v>57</v>
      </c>
      <c r="B115" s="2"/>
      <c r="C115" s="2"/>
      <c r="D115" s="2"/>
      <c r="I115" s="51">
        <f>Outlet!I83</f>
        <v>255</v>
      </c>
      <c r="J115" s="18" t="str">
        <f>Outlet!J83</f>
        <v>CY</v>
      </c>
    </row>
    <row r="116" spans="1:10" ht="12">
      <c r="A116" s="9"/>
      <c r="B116" s="10"/>
      <c r="C116" s="10"/>
      <c r="D116" s="10"/>
      <c r="E116" s="10"/>
      <c r="F116" s="10"/>
      <c r="G116" s="10"/>
      <c r="H116" s="10"/>
      <c r="I116" s="52"/>
      <c r="J116" s="31"/>
    </row>
    <row r="117" spans="1:10" ht="13.5" thickBot="1">
      <c r="A117" s="17" t="s">
        <v>13</v>
      </c>
      <c r="B117" s="10"/>
      <c r="C117" s="10"/>
      <c r="D117" s="10"/>
      <c r="E117" s="10"/>
      <c r="F117" s="10"/>
      <c r="G117" s="10"/>
      <c r="H117" s="5" t="s">
        <v>9</v>
      </c>
      <c r="I117" s="53">
        <f>SUM(I114:I115)</f>
        <v>352</v>
      </c>
      <c r="J117" s="6" t="s">
        <v>12</v>
      </c>
    </row>
    <row r="118" spans="1:10" ht="12.75" thickTop="1">
      <c r="A118" s="9"/>
      <c r="B118" s="10"/>
      <c r="C118" s="10"/>
      <c r="D118" s="10"/>
      <c r="E118" s="10"/>
      <c r="F118" s="10"/>
      <c r="G118" s="10"/>
      <c r="H118" s="10"/>
      <c r="I118" s="10"/>
      <c r="J118" s="31"/>
    </row>
    <row r="119" spans="1:10" ht="12.75">
      <c r="A119" s="11" t="s">
        <v>70</v>
      </c>
      <c r="B119" s="10"/>
      <c r="C119" s="10"/>
      <c r="D119" s="10"/>
      <c r="E119" s="10"/>
      <c r="F119" s="10"/>
      <c r="G119" s="10"/>
      <c r="H119" s="10"/>
      <c r="I119" s="10"/>
      <c r="J119" s="31"/>
    </row>
    <row r="120" spans="1:10" ht="12">
      <c r="A120" s="9"/>
      <c r="B120" s="10"/>
      <c r="C120" s="10"/>
      <c r="D120" s="10"/>
      <c r="E120" s="10"/>
      <c r="F120" s="10"/>
      <c r="G120" s="10"/>
      <c r="H120" s="10"/>
      <c r="I120" s="10"/>
      <c r="J120" s="31"/>
    </row>
    <row r="121" spans="1:10" ht="12">
      <c r="A121" s="8" t="s">
        <v>36</v>
      </c>
      <c r="B121" s="2"/>
      <c r="C121" s="2"/>
      <c r="D121" s="2"/>
      <c r="I121" s="12">
        <f>Interior!I80</f>
        <v>90</v>
      </c>
      <c r="J121" s="18" t="str">
        <f>Interior!J80</f>
        <v>SF</v>
      </c>
    </row>
    <row r="122" spans="1:10" ht="12">
      <c r="A122" s="8" t="s">
        <v>57</v>
      </c>
      <c r="B122" s="2"/>
      <c r="C122" s="2"/>
      <c r="D122" s="2"/>
      <c r="I122" s="12">
        <f>Outlet!I131</f>
        <v>30</v>
      </c>
      <c r="J122" s="18" t="str">
        <f>Outlet!J131</f>
        <v>SF</v>
      </c>
    </row>
    <row r="123" spans="1:10" ht="12">
      <c r="A123" s="9"/>
      <c r="B123" s="10"/>
      <c r="C123" s="10"/>
      <c r="D123" s="10"/>
      <c r="E123" s="10"/>
      <c r="F123" s="10"/>
      <c r="G123" s="10"/>
      <c r="H123" s="10"/>
      <c r="I123" s="10"/>
      <c r="J123" s="31"/>
    </row>
    <row r="124" spans="1:10" ht="13.5" thickBot="1">
      <c r="A124" s="17" t="s">
        <v>13</v>
      </c>
      <c r="B124" s="10"/>
      <c r="C124" s="10"/>
      <c r="D124" s="10"/>
      <c r="E124" s="10"/>
      <c r="F124" s="10"/>
      <c r="G124" s="10"/>
      <c r="H124" s="5" t="s">
        <v>9</v>
      </c>
      <c r="I124" s="13">
        <f>SUM(I121:I122)</f>
        <v>120</v>
      </c>
      <c r="J124" s="6" t="s">
        <v>11</v>
      </c>
    </row>
    <row r="125" spans="1:10" ht="12.75" thickTop="1">
      <c r="A125" s="9"/>
      <c r="B125" s="10"/>
      <c r="C125" s="10"/>
      <c r="D125" s="10"/>
      <c r="E125" s="10"/>
      <c r="F125" s="10"/>
      <c r="G125" s="10"/>
      <c r="H125" s="10"/>
      <c r="I125" s="10"/>
      <c r="J125" s="31"/>
    </row>
    <row r="126" spans="1:10" ht="12.75">
      <c r="A126" s="11" t="s">
        <v>76</v>
      </c>
      <c r="B126" s="10"/>
      <c r="C126" s="10"/>
      <c r="D126" s="10"/>
      <c r="E126" s="10"/>
      <c r="F126" s="10"/>
      <c r="G126" s="10"/>
      <c r="H126" s="10"/>
      <c r="I126" s="10"/>
      <c r="J126" s="31"/>
    </row>
    <row r="127" spans="1:10" ht="12">
      <c r="A127" s="9"/>
      <c r="B127" s="10"/>
      <c r="C127" s="10"/>
      <c r="D127" s="10"/>
      <c r="E127" s="10"/>
      <c r="F127" s="10"/>
      <c r="G127" s="10"/>
      <c r="H127" s="10"/>
      <c r="I127" s="10"/>
      <c r="J127" s="31"/>
    </row>
    <row r="128" spans="1:10" ht="12">
      <c r="A128" s="8" t="s">
        <v>57</v>
      </c>
      <c r="B128" s="2"/>
      <c r="C128" s="2"/>
      <c r="D128" s="2"/>
      <c r="I128" s="12">
        <f>Outlet!I162</f>
        <v>27</v>
      </c>
      <c r="J128" s="18" t="str">
        <f>Outlet!J162</f>
        <v>SF</v>
      </c>
    </row>
    <row r="129" spans="1:10" ht="12">
      <c r="A129" s="9"/>
      <c r="B129" s="10"/>
      <c r="C129" s="10"/>
      <c r="D129" s="10"/>
      <c r="E129" s="10"/>
      <c r="F129" s="10"/>
      <c r="G129" s="10"/>
      <c r="H129" s="10"/>
      <c r="I129" s="10"/>
      <c r="J129" s="31"/>
    </row>
    <row r="130" spans="1:10" ht="13.5" thickBot="1">
      <c r="A130" s="17" t="s">
        <v>13</v>
      </c>
      <c r="B130" s="10"/>
      <c r="C130" s="10"/>
      <c r="D130" s="10"/>
      <c r="E130" s="10"/>
      <c r="F130" s="10"/>
      <c r="G130" s="10"/>
      <c r="H130" s="5" t="s">
        <v>9</v>
      </c>
      <c r="I130" s="13">
        <f>SUM(I128)</f>
        <v>27</v>
      </c>
      <c r="J130" s="6" t="s">
        <v>11</v>
      </c>
    </row>
    <row r="131" spans="1:10" ht="12.75" thickTop="1">
      <c r="A131" s="9"/>
      <c r="B131" s="10"/>
      <c r="C131" s="10"/>
      <c r="D131" s="10"/>
      <c r="E131" s="10"/>
      <c r="F131" s="10"/>
      <c r="G131" s="10"/>
      <c r="H131" s="10"/>
      <c r="I131" s="10"/>
      <c r="J131" s="31"/>
    </row>
  </sheetData>
  <sheetProtection/>
  <mergeCells count="11">
    <mergeCell ref="D1:E1"/>
    <mergeCell ref="F1:G1"/>
    <mergeCell ref="I1:J1"/>
    <mergeCell ref="D2:E2"/>
    <mergeCell ref="F2:H2"/>
    <mergeCell ref="D3:E3"/>
    <mergeCell ref="F3:H3"/>
    <mergeCell ref="D4:E4"/>
    <mergeCell ref="F4:H4"/>
    <mergeCell ref="D5:E5"/>
    <mergeCell ref="F5:J5"/>
  </mergeCells>
  <printOptions horizontalCentered="1"/>
  <pageMargins left="0.75" right="0.25" top="0.25" bottom="0.25" header="0.43" footer="0.35"/>
  <pageSetup horizontalDpi="600" verticalDpi="600" orientation="portrait" r:id="rId2"/>
  <headerFooter alignWithMargins="0">
    <oddHeader>&amp;C                                                             &amp;P&amp;R&amp;N</oddHeader>
  </headerFooter>
  <rowBreaks count="2" manualBreakCount="2">
    <brk id="62" max="9" man="1"/>
    <brk id="11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57"/>
  <sheetViews>
    <sheetView showGridLines="0" view="pageBreakPreview" zoomScaleSheetLayoutView="100" zoomScalePageLayoutView="0" workbookViewId="0" topLeftCell="D1">
      <selection activeCell="K28" sqref="K28:U57"/>
    </sheetView>
  </sheetViews>
  <sheetFormatPr defaultColWidth="9.140625" defaultRowHeight="12.75"/>
  <cols>
    <col min="1" max="10" width="9.7109375" style="0" customWidth="1"/>
    <col min="11" max="11" width="9.140625" style="16" customWidth="1"/>
  </cols>
  <sheetData>
    <row r="1" spans="1:10" ht="12.75" customHeight="1">
      <c r="A1" s="2"/>
      <c r="B1" s="2"/>
      <c r="C1" s="2"/>
      <c r="D1" s="67" t="s">
        <v>0</v>
      </c>
      <c r="E1" s="67"/>
      <c r="F1" s="68">
        <v>121021</v>
      </c>
      <c r="G1" s="68"/>
      <c r="H1" s="2" t="s">
        <v>1</v>
      </c>
      <c r="I1" s="70" t="s">
        <v>24</v>
      </c>
      <c r="J1" s="70"/>
    </row>
    <row r="2" spans="1:10" ht="12.75" customHeight="1">
      <c r="A2" s="2"/>
      <c r="B2" s="2"/>
      <c r="C2" s="2"/>
      <c r="D2" s="67" t="s">
        <v>2</v>
      </c>
      <c r="E2" s="67"/>
      <c r="F2" s="71"/>
      <c r="G2" s="69"/>
      <c r="H2" s="69"/>
      <c r="I2" s="1" t="s">
        <v>4</v>
      </c>
      <c r="J2" s="3" t="s">
        <v>3</v>
      </c>
    </row>
    <row r="3" spans="1:10" ht="12.75" customHeight="1">
      <c r="A3" s="2"/>
      <c r="B3" s="2"/>
      <c r="C3" s="2"/>
      <c r="D3" s="67" t="s">
        <v>5</v>
      </c>
      <c r="E3" s="67"/>
      <c r="F3" s="68" t="s">
        <v>126</v>
      </c>
      <c r="G3" s="69"/>
      <c r="H3" s="69"/>
      <c r="I3" s="1" t="s">
        <v>6</v>
      </c>
      <c r="J3" s="4">
        <v>44019</v>
      </c>
    </row>
    <row r="4" spans="1:10" ht="12.75" customHeight="1">
      <c r="A4" s="2"/>
      <c r="B4" s="2"/>
      <c r="C4" s="2"/>
      <c r="D4" s="67" t="s">
        <v>7</v>
      </c>
      <c r="E4" s="67"/>
      <c r="F4" s="68" t="s">
        <v>137</v>
      </c>
      <c r="G4" s="69"/>
      <c r="H4" s="69"/>
      <c r="I4" s="1" t="s">
        <v>6</v>
      </c>
      <c r="J4" s="4">
        <v>44053</v>
      </c>
    </row>
    <row r="5" spans="1:10" ht="12.75" customHeight="1">
      <c r="A5" s="2"/>
      <c r="B5" s="2"/>
      <c r="C5" s="2"/>
      <c r="D5" s="67" t="s">
        <v>8</v>
      </c>
      <c r="E5" s="67"/>
      <c r="F5" s="68" t="s">
        <v>104</v>
      </c>
      <c r="G5" s="68"/>
      <c r="H5" s="68"/>
      <c r="I5" s="68"/>
      <c r="J5" s="68"/>
    </row>
    <row r="6" spans="1:4" ht="12.75" customHeight="1">
      <c r="A6" s="2"/>
      <c r="B6" s="2"/>
      <c r="C6" s="2"/>
      <c r="D6" s="2"/>
    </row>
    <row r="7" spans="1:4" ht="12.75" customHeight="1">
      <c r="A7" s="2"/>
      <c r="B7" s="2"/>
      <c r="C7" s="2"/>
      <c r="D7" s="2"/>
    </row>
    <row r="8" spans="1:10" s="16" customFormat="1" ht="12.75">
      <c r="A8" s="11" t="s">
        <v>25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s="16" customFormat="1" ht="12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0" s="16" customFormat="1" ht="13.5" thickBot="1">
      <c r="A10" s="17" t="s">
        <v>13</v>
      </c>
      <c r="B10" s="10"/>
      <c r="C10" s="10"/>
      <c r="D10" s="10"/>
      <c r="E10" s="10"/>
      <c r="F10" s="10"/>
      <c r="G10" s="10"/>
      <c r="H10" s="5" t="s">
        <v>9</v>
      </c>
      <c r="I10" s="13">
        <v>1</v>
      </c>
      <c r="J10" s="6" t="s">
        <v>15</v>
      </c>
    </row>
    <row r="11" spans="1:10" s="16" customFormat="1" ht="12.75" thickTop="1">
      <c r="A11" s="9"/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6" customFormat="1" ht="12.75">
      <c r="A12" s="11" t="s">
        <v>17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s="16" customFormat="1" ht="12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spans="1:10" s="16" customFormat="1" ht="13.5" thickBot="1">
      <c r="A14" s="17" t="s">
        <v>13</v>
      </c>
      <c r="B14" s="10"/>
      <c r="C14" s="10"/>
      <c r="D14" s="10"/>
      <c r="E14" s="10"/>
      <c r="F14" s="10"/>
      <c r="G14" s="10"/>
      <c r="H14" s="5" t="s">
        <v>9</v>
      </c>
      <c r="I14" s="13">
        <v>1</v>
      </c>
      <c r="J14" s="6" t="s">
        <v>15</v>
      </c>
    </row>
    <row r="15" s="16" customFormat="1" ht="12.75" thickTop="1"/>
    <row r="16" spans="1:10" s="16" customFormat="1" ht="12.75">
      <c r="A16" s="55" t="s">
        <v>153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s="16" customFormat="1" ht="12">
      <c r="A17" s="56"/>
      <c r="B17" s="52"/>
      <c r="C17" s="52"/>
      <c r="D17" s="52"/>
      <c r="E17" s="52"/>
      <c r="F17" s="52"/>
      <c r="G17" s="52"/>
      <c r="H17" s="52"/>
      <c r="I17" s="52"/>
      <c r="J17" s="52"/>
    </row>
    <row r="18" spans="1:10" s="16" customFormat="1" ht="13.5" thickBot="1">
      <c r="A18" s="57" t="s">
        <v>13</v>
      </c>
      <c r="B18" s="52"/>
      <c r="C18" s="52"/>
      <c r="D18" s="52"/>
      <c r="E18" s="52"/>
      <c r="F18" s="52"/>
      <c r="G18" s="52"/>
      <c r="H18" s="58" t="s">
        <v>9</v>
      </c>
      <c r="I18" s="53">
        <f>I35</f>
        <v>71</v>
      </c>
      <c r="J18" s="59" t="s">
        <v>12</v>
      </c>
    </row>
    <row r="19" spans="1:10" s="16" customFormat="1" ht="12.75" thickTop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s="16" customFormat="1" ht="12.75">
      <c r="A20" s="60" t="s">
        <v>154</v>
      </c>
      <c r="B20" s="52"/>
      <c r="C20" s="52"/>
      <c r="D20" s="52"/>
      <c r="E20" s="52"/>
      <c r="F20" s="52"/>
      <c r="G20" s="52"/>
      <c r="H20" s="52"/>
      <c r="I20" s="52"/>
      <c r="J20" s="61"/>
    </row>
    <row r="21" spans="1:10" s="16" customFormat="1" ht="12.75">
      <c r="A21" s="7" t="s">
        <v>155</v>
      </c>
      <c r="B21" s="52"/>
      <c r="C21" s="52"/>
      <c r="D21" s="52"/>
      <c r="E21" s="52"/>
      <c r="F21" s="52"/>
      <c r="G21" s="52"/>
      <c r="H21" s="58" t="s">
        <v>9</v>
      </c>
      <c r="I21" s="14">
        <v>0</v>
      </c>
      <c r="J21" s="30" t="s">
        <v>11</v>
      </c>
    </row>
    <row r="22" spans="1:10" s="16" customFormat="1" ht="12.75">
      <c r="A22" s="7" t="s">
        <v>78</v>
      </c>
      <c r="B22" s="52"/>
      <c r="C22" s="52"/>
      <c r="D22" s="52"/>
      <c r="E22" s="52"/>
      <c r="F22" s="52"/>
      <c r="G22" s="52"/>
      <c r="H22" s="58" t="s">
        <v>9</v>
      </c>
      <c r="I22" s="14">
        <f>21.99+18.7</f>
        <v>40.69</v>
      </c>
      <c r="J22" s="30" t="s">
        <v>11</v>
      </c>
    </row>
    <row r="23" spans="1:10" s="16" customFormat="1" ht="12.75">
      <c r="A23" s="7" t="s">
        <v>79</v>
      </c>
      <c r="B23" s="52"/>
      <c r="C23" s="52"/>
      <c r="D23" s="52"/>
      <c r="E23" s="52"/>
      <c r="F23" s="52"/>
      <c r="G23" s="52"/>
      <c r="H23" s="58" t="s">
        <v>9</v>
      </c>
      <c r="I23" s="14">
        <f>0.15+53.59</f>
        <v>53.74</v>
      </c>
      <c r="J23" s="30" t="s">
        <v>11</v>
      </c>
    </row>
    <row r="24" spans="1:10" s="16" customFormat="1" ht="12.75">
      <c r="A24" s="7" t="s">
        <v>80</v>
      </c>
      <c r="B24" s="52"/>
      <c r="C24" s="52"/>
      <c r="D24" s="52"/>
      <c r="E24" s="52"/>
      <c r="F24" s="52"/>
      <c r="G24" s="52"/>
      <c r="H24" s="58" t="s">
        <v>9</v>
      </c>
      <c r="I24" s="14">
        <v>15.02</v>
      </c>
      <c r="J24" s="30" t="s">
        <v>11</v>
      </c>
    </row>
    <row r="25" spans="1:10" s="16" customFormat="1" ht="12">
      <c r="A25" s="8" t="s">
        <v>31</v>
      </c>
      <c r="B25" s="8"/>
      <c r="C25" s="8"/>
      <c r="D25" s="8"/>
      <c r="E25" s="7"/>
      <c r="F25" s="7"/>
      <c r="G25" s="7"/>
      <c r="H25" s="58" t="s">
        <v>9</v>
      </c>
      <c r="I25" s="51">
        <f>AVERAGE(I21:I22)*(35-4.7)+AVERAGE(I22:I23)*(50-35)+AVERAGE(I23:I24)*(65-50)</f>
        <v>1840.3785</v>
      </c>
      <c r="J25" s="18" t="s">
        <v>16</v>
      </c>
    </row>
    <row r="26" spans="1:10" s="16" customFormat="1" ht="12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s="16" customFormat="1" ht="12.75">
      <c r="A27" s="60" t="s">
        <v>156</v>
      </c>
      <c r="B27" s="52"/>
      <c r="C27" s="52"/>
      <c r="D27" s="52"/>
      <c r="E27" s="52"/>
      <c r="F27" s="52"/>
      <c r="G27" s="52"/>
      <c r="H27" s="52"/>
      <c r="I27" s="52"/>
      <c r="J27" s="61"/>
    </row>
    <row r="28" spans="1:10" s="16" customFormat="1" ht="12.75">
      <c r="A28" s="7" t="s">
        <v>157</v>
      </c>
      <c r="B28" s="52"/>
      <c r="C28" s="52"/>
      <c r="D28" s="52"/>
      <c r="E28" s="52"/>
      <c r="F28" s="52"/>
      <c r="G28" s="52"/>
      <c r="H28" s="58" t="s">
        <v>9</v>
      </c>
      <c r="I28" s="14">
        <v>0</v>
      </c>
      <c r="J28" s="30" t="s">
        <v>11</v>
      </c>
    </row>
    <row r="29" spans="1:10" s="16" customFormat="1" ht="12.75">
      <c r="A29" s="7" t="s">
        <v>158</v>
      </c>
      <c r="B29" s="52"/>
      <c r="C29" s="52"/>
      <c r="D29" s="52"/>
      <c r="E29" s="52"/>
      <c r="F29" s="52"/>
      <c r="G29" s="52"/>
      <c r="H29" s="58" t="s">
        <v>9</v>
      </c>
      <c r="I29" s="14">
        <v>0</v>
      </c>
      <c r="J29" s="30" t="s">
        <v>11</v>
      </c>
    </row>
    <row r="30" spans="1:10" s="16" customFormat="1" ht="12.75">
      <c r="A30" s="7" t="s">
        <v>159</v>
      </c>
      <c r="B30" s="52"/>
      <c r="C30" s="52"/>
      <c r="D30" s="52"/>
      <c r="E30" s="52"/>
      <c r="F30" s="52"/>
      <c r="G30" s="52"/>
      <c r="H30" s="58" t="s">
        <v>9</v>
      </c>
      <c r="I30" s="14">
        <v>3.79</v>
      </c>
      <c r="J30" s="30" t="s">
        <v>11</v>
      </c>
    </row>
    <row r="31" spans="1:10" s="16" customFormat="1" ht="12.75">
      <c r="A31" s="7" t="s">
        <v>160</v>
      </c>
      <c r="B31" s="52"/>
      <c r="C31" s="52"/>
      <c r="D31" s="52"/>
      <c r="E31" s="52"/>
      <c r="F31" s="52"/>
      <c r="G31" s="52"/>
      <c r="H31" s="58" t="s">
        <v>9</v>
      </c>
      <c r="I31" s="14">
        <v>0</v>
      </c>
      <c r="J31" s="30" t="s">
        <v>11</v>
      </c>
    </row>
    <row r="32" spans="1:10" s="16" customFormat="1" ht="12">
      <c r="A32" s="8" t="s">
        <v>31</v>
      </c>
      <c r="B32" s="8"/>
      <c r="C32" s="8"/>
      <c r="D32" s="8"/>
      <c r="E32" s="7"/>
      <c r="F32" s="7"/>
      <c r="G32" s="7"/>
      <c r="H32" s="58" t="s">
        <v>9</v>
      </c>
      <c r="I32" s="51">
        <f>AVERAGE(I28:I29)*(35-4.7)+AVERAGE(I29:I30)*(50-35)+AVERAGE(I30:I31)*(65-50)</f>
        <v>56.85</v>
      </c>
      <c r="J32" s="18" t="s">
        <v>16</v>
      </c>
    </row>
    <row r="33" spans="1:10" s="16" customFormat="1" ht="12">
      <c r="A33" s="62"/>
      <c r="B33" s="62"/>
      <c r="C33" s="62"/>
      <c r="D33" s="62"/>
      <c r="E33" s="63"/>
      <c r="F33" s="63"/>
      <c r="G33" s="63"/>
      <c r="H33" s="64"/>
      <c r="I33" s="64"/>
      <c r="J33" s="65"/>
    </row>
    <row r="34" spans="1:21" ht="12">
      <c r="A34" s="16"/>
      <c r="B34" s="16"/>
      <c r="C34" s="16"/>
      <c r="D34" s="16"/>
      <c r="E34" s="16"/>
      <c r="F34" s="16"/>
      <c r="G34" s="16"/>
      <c r="H34" s="16"/>
      <c r="I34" s="16"/>
      <c r="J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3.5" thickBot="1">
      <c r="A35" s="17" t="s">
        <v>118</v>
      </c>
      <c r="B35" s="10"/>
      <c r="C35" s="10"/>
      <c r="D35" s="10"/>
      <c r="E35" s="10"/>
      <c r="F35" s="10"/>
      <c r="G35" s="10"/>
      <c r="H35" s="5" t="s">
        <v>9</v>
      </c>
      <c r="I35" s="33">
        <f>ROUNDUP(SUM(I25,I32)/27,0)</f>
        <v>71</v>
      </c>
      <c r="J35" s="6" t="s">
        <v>12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2.75" thickTop="1">
      <c r="A36" s="65"/>
      <c r="B36" s="65"/>
      <c r="C36" s="65"/>
      <c r="D36" s="65"/>
      <c r="E36" s="65"/>
      <c r="F36" s="65"/>
      <c r="G36" s="65"/>
      <c r="H36" s="65"/>
      <c r="I36" s="65"/>
      <c r="J36" s="65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2.75">
      <c r="A37" s="55" t="s">
        <v>173</v>
      </c>
      <c r="B37" s="52"/>
      <c r="C37" s="52"/>
      <c r="D37" s="52"/>
      <c r="E37" s="52"/>
      <c r="F37" s="52"/>
      <c r="G37" s="52"/>
      <c r="H37" s="52"/>
      <c r="I37" s="52"/>
      <c r="J37" s="52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2">
      <c r="A38" s="56"/>
      <c r="B38" s="52"/>
      <c r="C38" s="52"/>
      <c r="D38" s="52"/>
      <c r="E38" s="52"/>
      <c r="F38" s="52"/>
      <c r="G38" s="52"/>
      <c r="H38" s="52"/>
      <c r="I38" s="52"/>
      <c r="J38" s="52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3.5" thickBot="1">
      <c r="A39" s="57" t="s">
        <v>13</v>
      </c>
      <c r="B39" s="52"/>
      <c r="C39" s="52"/>
      <c r="D39" s="52"/>
      <c r="E39" s="52"/>
      <c r="F39" s="52"/>
      <c r="G39" s="52"/>
      <c r="H39" s="58" t="s">
        <v>9</v>
      </c>
      <c r="I39" s="53">
        <f>I56</f>
        <v>368</v>
      </c>
      <c r="J39" s="59" t="s">
        <v>12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 thickTop="1">
      <c r="A40" s="18"/>
      <c r="B40" s="18"/>
      <c r="C40" s="18"/>
      <c r="D40" s="18"/>
      <c r="E40" s="18"/>
      <c r="F40" s="18"/>
      <c r="G40" s="18"/>
      <c r="H40" s="18"/>
      <c r="I40" s="18"/>
      <c r="J40" s="18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60" t="s">
        <v>154</v>
      </c>
      <c r="B41" s="52"/>
      <c r="C41" s="52"/>
      <c r="D41" s="52"/>
      <c r="E41" s="52"/>
      <c r="F41" s="52"/>
      <c r="G41" s="52"/>
      <c r="H41" s="52"/>
      <c r="I41" s="52"/>
      <c r="J41" s="61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7" t="s">
        <v>155</v>
      </c>
      <c r="B42" s="52"/>
      <c r="C42" s="52"/>
      <c r="D42" s="52"/>
      <c r="E42" s="52"/>
      <c r="F42" s="52"/>
      <c r="G42" s="52"/>
      <c r="H42" s="58" t="s">
        <v>9</v>
      </c>
      <c r="I42" s="14">
        <v>0</v>
      </c>
      <c r="J42" s="30" t="s">
        <v>11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7" t="s">
        <v>78</v>
      </c>
      <c r="B43" s="52"/>
      <c r="C43" s="52"/>
      <c r="D43" s="52"/>
      <c r="E43" s="52"/>
      <c r="F43" s="52"/>
      <c r="G43" s="52"/>
      <c r="H43" s="58" t="s">
        <v>9</v>
      </c>
      <c r="I43" s="14">
        <f>41.69+65.21</f>
        <v>106.89999999999999</v>
      </c>
      <c r="J43" s="30" t="s">
        <v>11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7" t="s">
        <v>79</v>
      </c>
      <c r="B44" s="52"/>
      <c r="C44" s="52"/>
      <c r="D44" s="52"/>
      <c r="E44" s="52"/>
      <c r="F44" s="52"/>
      <c r="G44" s="52"/>
      <c r="H44" s="58" t="s">
        <v>9</v>
      </c>
      <c r="I44" s="14">
        <f>1.53+0.86+12.04+60.67</f>
        <v>75.1</v>
      </c>
      <c r="J44" s="30" t="s">
        <v>11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7" t="s">
        <v>80</v>
      </c>
      <c r="B45" s="52"/>
      <c r="C45" s="52"/>
      <c r="D45" s="52"/>
      <c r="E45" s="52"/>
      <c r="F45" s="52"/>
      <c r="G45" s="52"/>
      <c r="H45" s="58" t="s">
        <v>9</v>
      </c>
      <c r="I45" s="14">
        <v>40.13</v>
      </c>
      <c r="J45" s="30" t="s">
        <v>11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">
      <c r="A46" s="8" t="s">
        <v>31</v>
      </c>
      <c r="B46" s="8"/>
      <c r="C46" s="8"/>
      <c r="D46" s="8"/>
      <c r="E46" s="7"/>
      <c r="F46" s="7"/>
      <c r="G46" s="7"/>
      <c r="H46" s="58" t="s">
        <v>9</v>
      </c>
      <c r="I46" s="51">
        <f>AVERAGE(I42:I43)*(35-4.7)+AVERAGE(I43:I44)*(50-35)+AVERAGE(I44:I45)*(65-50)</f>
        <v>3848.7599999999998</v>
      </c>
      <c r="J46" s="18" t="s">
        <v>16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">
      <c r="A47" s="65"/>
      <c r="B47" s="65"/>
      <c r="C47" s="65"/>
      <c r="D47" s="65"/>
      <c r="E47" s="65"/>
      <c r="F47" s="65"/>
      <c r="G47" s="65"/>
      <c r="H47" s="65"/>
      <c r="I47" s="65"/>
      <c r="J47" s="65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60" t="s">
        <v>156</v>
      </c>
      <c r="B48" s="52"/>
      <c r="C48" s="52"/>
      <c r="D48" s="52"/>
      <c r="E48" s="52"/>
      <c r="F48" s="52"/>
      <c r="G48" s="52"/>
      <c r="H48" s="52"/>
      <c r="I48" s="52"/>
      <c r="J48" s="61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7" t="s">
        <v>157</v>
      </c>
      <c r="B49" s="52"/>
      <c r="C49" s="52"/>
      <c r="D49" s="52"/>
      <c r="E49" s="52"/>
      <c r="F49" s="52"/>
      <c r="G49" s="52"/>
      <c r="H49" s="58" t="s">
        <v>9</v>
      </c>
      <c r="I49" s="14">
        <v>136</v>
      </c>
      <c r="J49" s="30" t="s">
        <v>11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7" t="s">
        <v>158</v>
      </c>
      <c r="B50" s="52"/>
      <c r="C50" s="52"/>
      <c r="D50" s="52"/>
      <c r="E50" s="52"/>
      <c r="F50" s="52"/>
      <c r="G50" s="52"/>
      <c r="H50" s="58" t="s">
        <v>9</v>
      </c>
      <c r="I50" s="14">
        <v>1.5</v>
      </c>
      <c r="J50" s="30" t="s">
        <v>11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7" t="s">
        <v>159</v>
      </c>
      <c r="B51" s="52"/>
      <c r="C51" s="52"/>
      <c r="D51" s="52"/>
      <c r="E51" s="52"/>
      <c r="F51" s="52"/>
      <c r="G51" s="52"/>
      <c r="H51" s="58" t="s">
        <v>9</v>
      </c>
      <c r="I51" s="14">
        <v>173.01</v>
      </c>
      <c r="J51" s="30" t="s">
        <v>11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7" t="s">
        <v>160</v>
      </c>
      <c r="B52" s="52"/>
      <c r="C52" s="52"/>
      <c r="D52" s="52"/>
      <c r="E52" s="52"/>
      <c r="F52" s="52"/>
      <c r="G52" s="52"/>
      <c r="H52" s="58" t="s">
        <v>9</v>
      </c>
      <c r="I52" s="14">
        <v>184.16</v>
      </c>
      <c r="J52" s="30" t="s">
        <v>11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">
      <c r="A53" s="8" t="s">
        <v>31</v>
      </c>
      <c r="B53" s="8"/>
      <c r="C53" s="8"/>
      <c r="D53" s="8"/>
      <c r="E53" s="7"/>
      <c r="F53" s="7"/>
      <c r="G53" s="7"/>
      <c r="H53" s="58" t="s">
        <v>9</v>
      </c>
      <c r="I53" s="51">
        <f>AVERAGE(I49:I50)*(35-4.7)+AVERAGE(I50:I51)*(50-35)+AVERAGE(I51:I52)*(65-50)</f>
        <v>6070.724999999999</v>
      </c>
      <c r="J53" s="18" t="s">
        <v>16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">
      <c r="A54" s="18"/>
      <c r="B54" s="18"/>
      <c r="C54" s="18"/>
      <c r="D54" s="18"/>
      <c r="E54" s="18"/>
      <c r="F54" s="18"/>
      <c r="G54" s="18"/>
      <c r="H54" s="18"/>
      <c r="I54" s="18"/>
      <c r="J54" s="18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">
      <c r="A55" s="16"/>
      <c r="B55" s="16"/>
      <c r="C55" s="16"/>
      <c r="D55" s="16"/>
      <c r="E55" s="16"/>
      <c r="F55" s="16"/>
      <c r="G55" s="16"/>
      <c r="H55" s="16"/>
      <c r="I55" s="16"/>
      <c r="J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3.5" thickBot="1">
      <c r="A56" s="17" t="s">
        <v>118</v>
      </c>
      <c r="B56" s="10"/>
      <c r="C56" s="10"/>
      <c r="D56" s="10"/>
      <c r="E56" s="10"/>
      <c r="F56" s="10"/>
      <c r="G56" s="10"/>
      <c r="H56" s="5" t="s">
        <v>9</v>
      </c>
      <c r="I56" s="33">
        <f>ROUNDUP(SUM(I46,I53)/27,0)</f>
        <v>368</v>
      </c>
      <c r="J56" s="6" t="s">
        <v>12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 thickTop="1">
      <c r="A57" s="16"/>
      <c r="B57" s="16"/>
      <c r="C57" s="16"/>
      <c r="D57" s="16"/>
      <c r="E57" s="16"/>
      <c r="F57" s="16"/>
      <c r="G57" s="16"/>
      <c r="H57" s="16"/>
      <c r="I57" s="16"/>
      <c r="J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</sheetData>
  <sheetProtection/>
  <mergeCells count="11">
    <mergeCell ref="D3:E3"/>
    <mergeCell ref="F3:H3"/>
    <mergeCell ref="D4:E4"/>
    <mergeCell ref="F4:H4"/>
    <mergeCell ref="D5:E5"/>
    <mergeCell ref="F5:J5"/>
    <mergeCell ref="D1:E1"/>
    <mergeCell ref="F1:G1"/>
    <mergeCell ref="I1:J1"/>
    <mergeCell ref="D2:E2"/>
    <mergeCell ref="F2:H2"/>
  </mergeCells>
  <printOptions horizontalCentered="1"/>
  <pageMargins left="0.75" right="0.25" top="0.25" bottom="0.25" header="0.43" footer="0.35"/>
  <pageSetup horizontalDpi="600" verticalDpi="600" orientation="portrait" r:id="rId2"/>
  <headerFooter alignWithMargins="0">
    <oddHeader>&amp;C                                                             &amp;P&amp;R&amp;N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4"/>
  <sheetViews>
    <sheetView showGridLines="0" view="pageBreakPreview" zoomScaleSheetLayoutView="100" workbookViewId="0" topLeftCell="C106">
      <selection activeCell="N114" sqref="N114"/>
    </sheetView>
  </sheetViews>
  <sheetFormatPr defaultColWidth="9.140625" defaultRowHeight="12.75"/>
  <cols>
    <col min="1" max="10" width="9.7109375" style="0" customWidth="1"/>
    <col min="11" max="11" width="9.140625" style="0" customWidth="1"/>
  </cols>
  <sheetData>
    <row r="1" spans="1:10" ht="12.75" customHeight="1">
      <c r="A1" s="2"/>
      <c r="B1" s="2"/>
      <c r="C1" s="2"/>
      <c r="D1" s="67" t="s">
        <v>0</v>
      </c>
      <c r="E1" s="67"/>
      <c r="F1" s="68">
        <v>121021</v>
      </c>
      <c r="G1" s="68"/>
      <c r="H1" s="2" t="s">
        <v>1</v>
      </c>
      <c r="I1" s="70" t="s">
        <v>24</v>
      </c>
      <c r="J1" s="70"/>
    </row>
    <row r="2" spans="1:10" ht="12.75" customHeight="1">
      <c r="A2" s="2"/>
      <c r="B2" s="2"/>
      <c r="C2" s="2"/>
      <c r="D2" s="67" t="s">
        <v>2</v>
      </c>
      <c r="E2" s="67"/>
      <c r="F2" s="71"/>
      <c r="G2" s="69"/>
      <c r="H2" s="69"/>
      <c r="I2" s="1" t="s">
        <v>4</v>
      </c>
      <c r="J2" s="3" t="s">
        <v>3</v>
      </c>
    </row>
    <row r="3" spans="1:10" ht="12.75" customHeight="1">
      <c r="A3" s="2"/>
      <c r="B3" s="2"/>
      <c r="C3" s="2"/>
      <c r="D3" s="67" t="s">
        <v>5</v>
      </c>
      <c r="E3" s="67"/>
      <c r="F3" s="68" t="s">
        <v>126</v>
      </c>
      <c r="G3" s="69"/>
      <c r="H3" s="69"/>
      <c r="I3" s="1" t="s">
        <v>6</v>
      </c>
      <c r="J3" s="4">
        <v>44019</v>
      </c>
    </row>
    <row r="4" spans="1:10" ht="12.75" customHeight="1">
      <c r="A4" s="2"/>
      <c r="B4" s="2"/>
      <c r="C4" s="2"/>
      <c r="D4" s="67" t="s">
        <v>7</v>
      </c>
      <c r="E4" s="67"/>
      <c r="F4" s="68" t="s">
        <v>137</v>
      </c>
      <c r="G4" s="69"/>
      <c r="H4" s="69"/>
      <c r="I4" s="1" t="s">
        <v>6</v>
      </c>
      <c r="J4" s="4">
        <v>44053</v>
      </c>
    </row>
    <row r="5" spans="1:10" ht="12.75" customHeight="1">
      <c r="A5" s="2"/>
      <c r="B5" s="2"/>
      <c r="C5" s="2"/>
      <c r="D5" s="67" t="s">
        <v>8</v>
      </c>
      <c r="E5" s="67"/>
      <c r="F5" s="68" t="s">
        <v>127</v>
      </c>
      <c r="G5" s="68"/>
      <c r="H5" s="68"/>
      <c r="I5" s="68"/>
      <c r="J5" s="68"/>
    </row>
    <row r="6" spans="1:4" ht="12.75" customHeight="1">
      <c r="A6" s="2"/>
      <c r="B6" s="2"/>
      <c r="C6" s="2"/>
      <c r="D6" s="2"/>
    </row>
    <row r="7" spans="1:4" ht="12.75" customHeight="1">
      <c r="A7" s="2"/>
      <c r="B7" s="2"/>
      <c r="C7" s="2"/>
      <c r="D7" s="2"/>
    </row>
    <row r="8" spans="1:4" ht="12.75" customHeight="1">
      <c r="A8" s="55" t="s">
        <v>153</v>
      </c>
      <c r="B8" s="2"/>
      <c r="C8" s="2"/>
      <c r="D8" s="2"/>
    </row>
    <row r="9" spans="1:10" ht="12.75" customHeight="1">
      <c r="A9" s="56"/>
      <c r="B9" s="52"/>
      <c r="C9" s="52"/>
      <c r="D9" s="52"/>
      <c r="E9" s="52"/>
      <c r="F9" s="52"/>
      <c r="G9" s="52"/>
      <c r="H9" s="52"/>
      <c r="I9" s="52"/>
      <c r="J9" s="52"/>
    </row>
    <row r="10" spans="1:10" ht="12.75" customHeight="1" thickBot="1">
      <c r="A10" s="57" t="s">
        <v>13</v>
      </c>
      <c r="B10" s="52"/>
      <c r="C10" s="52"/>
      <c r="D10" s="52"/>
      <c r="E10" s="52"/>
      <c r="F10" s="52"/>
      <c r="G10" s="52"/>
      <c r="H10" s="58" t="s">
        <v>9</v>
      </c>
      <c r="I10" s="53">
        <f>I59</f>
        <v>150</v>
      </c>
      <c r="J10" s="59" t="s">
        <v>12</v>
      </c>
    </row>
    <row r="11" spans="1:10" ht="12.75" customHeight="1" thickTop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2.75" customHeight="1">
      <c r="A12" s="60" t="s">
        <v>161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 customHeight="1">
      <c r="A13" s="18" t="s">
        <v>162</v>
      </c>
      <c r="B13" s="18"/>
      <c r="C13" s="18"/>
      <c r="D13" s="18"/>
      <c r="E13" s="18"/>
      <c r="F13" s="18"/>
      <c r="G13" s="18"/>
      <c r="H13" s="58" t="s">
        <v>9</v>
      </c>
      <c r="I13" s="14">
        <v>7.25</v>
      </c>
      <c r="J13" s="30" t="s">
        <v>10</v>
      </c>
    </row>
    <row r="14" spans="1:10" ht="12.75" customHeight="1">
      <c r="A14" s="18" t="s">
        <v>163</v>
      </c>
      <c r="B14" s="18"/>
      <c r="C14" s="18"/>
      <c r="D14" s="18"/>
      <c r="E14" s="18"/>
      <c r="F14" s="18"/>
      <c r="G14" s="18"/>
      <c r="H14" s="58" t="s">
        <v>9</v>
      </c>
      <c r="I14" s="14">
        <v>571</v>
      </c>
      <c r="J14" s="30"/>
    </row>
    <row r="15" spans="1:10" ht="12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 customHeight="1">
      <c r="A16" s="18" t="s">
        <v>164</v>
      </c>
      <c r="B16" s="18"/>
      <c r="C16" s="18"/>
      <c r="D16" s="18"/>
      <c r="E16" s="18"/>
      <c r="F16" s="18"/>
      <c r="G16" s="18"/>
      <c r="H16" s="58" t="s">
        <v>9</v>
      </c>
      <c r="I16" s="14">
        <v>14</v>
      </c>
      <c r="J16" s="30" t="s">
        <v>10</v>
      </c>
    </row>
    <row r="17" spans="1:10" ht="12.75" customHeight="1">
      <c r="A17" s="18" t="s">
        <v>165</v>
      </c>
      <c r="B17" s="18"/>
      <c r="C17" s="18"/>
      <c r="D17" s="18"/>
      <c r="E17" s="18"/>
      <c r="F17" s="18"/>
      <c r="G17" s="18"/>
      <c r="H17" s="58" t="s">
        <v>9</v>
      </c>
      <c r="I17" s="14">
        <f>577-I14</f>
        <v>6</v>
      </c>
      <c r="J17" s="30" t="s">
        <v>10</v>
      </c>
    </row>
    <row r="18" spans="1:10" ht="12.75" customHeight="1">
      <c r="A18" s="18" t="s">
        <v>166</v>
      </c>
      <c r="B18" s="18"/>
      <c r="C18" s="18"/>
      <c r="D18" s="18"/>
      <c r="E18" s="18"/>
      <c r="F18" s="18"/>
      <c r="G18" s="18"/>
      <c r="H18" s="58" t="s">
        <v>9</v>
      </c>
      <c r="I18" s="14">
        <f>I17+I72</f>
        <v>12.972000000000026</v>
      </c>
      <c r="J18" s="30" t="s">
        <v>10</v>
      </c>
    </row>
    <row r="19" spans="1:10" ht="12.75" customHeight="1">
      <c r="A19" s="18" t="s">
        <v>167</v>
      </c>
      <c r="B19" s="18"/>
      <c r="C19" s="18"/>
      <c r="D19" s="18"/>
      <c r="E19" s="18"/>
      <c r="F19" s="18"/>
      <c r="G19" s="18"/>
      <c r="H19" s="58" t="s">
        <v>9</v>
      </c>
      <c r="I19" s="14">
        <f>I72</f>
        <v>6.972000000000025</v>
      </c>
      <c r="J19" s="30" t="s">
        <v>10</v>
      </c>
    </row>
    <row r="20" spans="1:10" ht="12.75" customHeight="1">
      <c r="A20" s="18" t="s">
        <v>168</v>
      </c>
      <c r="B20" s="18"/>
      <c r="C20" s="18"/>
      <c r="D20" s="18"/>
      <c r="E20" s="18"/>
      <c r="F20" s="18"/>
      <c r="G20" s="18"/>
      <c r="H20" s="58" t="s">
        <v>9</v>
      </c>
      <c r="I20" s="14">
        <f>I13*I17+I17*(I18+I19)*0.5</f>
        <v>103.33200000000016</v>
      </c>
      <c r="J20" s="30" t="s">
        <v>11</v>
      </c>
    </row>
    <row r="21" spans="1:10" ht="12.75" customHeight="1">
      <c r="A21" s="18" t="s">
        <v>169</v>
      </c>
      <c r="B21" s="18"/>
      <c r="C21" s="18"/>
      <c r="D21" s="18"/>
      <c r="E21" s="18"/>
      <c r="F21" s="18"/>
      <c r="G21" s="18"/>
      <c r="H21" s="58" t="s">
        <v>9</v>
      </c>
      <c r="I21" s="66">
        <f>I16*I20</f>
        <v>1446.6480000000024</v>
      </c>
      <c r="J21" s="30" t="s">
        <v>16</v>
      </c>
    </row>
    <row r="22" spans="1:10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 customHeight="1">
      <c r="A23" s="18" t="s">
        <v>170</v>
      </c>
      <c r="B23" s="18"/>
      <c r="C23" s="18"/>
      <c r="D23" s="18"/>
      <c r="E23" s="18"/>
      <c r="F23" s="18"/>
      <c r="G23" s="18"/>
      <c r="H23" s="58" t="s">
        <v>9</v>
      </c>
      <c r="I23" s="14">
        <v>6</v>
      </c>
      <c r="J23" s="30" t="s">
        <v>10</v>
      </c>
    </row>
    <row r="24" spans="1:10" ht="12.75" customHeight="1">
      <c r="A24" s="18" t="s">
        <v>165</v>
      </c>
      <c r="B24" s="18"/>
      <c r="C24" s="18"/>
      <c r="D24" s="18"/>
      <c r="E24" s="18"/>
      <c r="F24" s="18"/>
      <c r="G24" s="18"/>
      <c r="H24" s="58" t="s">
        <v>9</v>
      </c>
      <c r="I24" s="14">
        <f>575-I14</f>
        <v>4</v>
      </c>
      <c r="J24" s="30" t="s">
        <v>10</v>
      </c>
    </row>
    <row r="25" spans="1:10" ht="12.75" customHeight="1">
      <c r="A25" s="18" t="s">
        <v>166</v>
      </c>
      <c r="B25" s="18"/>
      <c r="C25" s="18"/>
      <c r="D25" s="18"/>
      <c r="E25" s="18"/>
      <c r="F25" s="18"/>
      <c r="G25" s="18"/>
      <c r="H25" s="58" t="s">
        <v>9</v>
      </c>
      <c r="I25" s="14">
        <f>I24+I80</f>
        <v>8.172000000000025</v>
      </c>
      <c r="J25" s="30" t="s">
        <v>10</v>
      </c>
    </row>
    <row r="26" spans="1:10" ht="12.75" customHeight="1">
      <c r="A26" s="18" t="s">
        <v>167</v>
      </c>
      <c r="B26" s="18"/>
      <c r="C26" s="18"/>
      <c r="D26" s="18"/>
      <c r="E26" s="18"/>
      <c r="F26" s="18"/>
      <c r="G26" s="18"/>
      <c r="H26" s="58" t="s">
        <v>9</v>
      </c>
      <c r="I26" s="14">
        <f>I80</f>
        <v>4.1720000000000255</v>
      </c>
      <c r="J26" s="30" t="s">
        <v>10</v>
      </c>
    </row>
    <row r="27" spans="1:10" ht="12.75" customHeight="1">
      <c r="A27" s="18" t="s">
        <v>168</v>
      </c>
      <c r="B27" s="18"/>
      <c r="C27" s="18"/>
      <c r="D27" s="18"/>
      <c r="E27" s="18"/>
      <c r="F27" s="18"/>
      <c r="G27" s="18"/>
      <c r="H27" s="58" t="s">
        <v>9</v>
      </c>
      <c r="I27" s="14">
        <f>I13*I24+I24*(I25+I26)*0.5</f>
        <v>53.6880000000001</v>
      </c>
      <c r="J27" s="30" t="s">
        <v>11</v>
      </c>
    </row>
    <row r="28" spans="1:10" ht="12.75" customHeight="1">
      <c r="A28" s="18" t="s">
        <v>169</v>
      </c>
      <c r="B28" s="18"/>
      <c r="C28" s="18"/>
      <c r="D28" s="18"/>
      <c r="E28" s="18"/>
      <c r="F28" s="18"/>
      <c r="G28" s="18"/>
      <c r="H28" s="58" t="s">
        <v>9</v>
      </c>
      <c r="I28" s="66">
        <f>I23*I27</f>
        <v>322.1280000000006</v>
      </c>
      <c r="J28" s="30" t="s">
        <v>16</v>
      </c>
    </row>
    <row r="29" spans="1:10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 customHeight="1">
      <c r="A30" s="18" t="s">
        <v>171</v>
      </c>
      <c r="B30" s="18"/>
      <c r="C30" s="18"/>
      <c r="D30" s="18"/>
      <c r="E30" s="18"/>
      <c r="F30" s="18"/>
      <c r="G30" s="18"/>
      <c r="H30" s="58" t="s">
        <v>9</v>
      </c>
      <c r="I30" s="14">
        <v>6.5</v>
      </c>
      <c r="J30" s="30" t="s">
        <v>10</v>
      </c>
    </row>
    <row r="31" spans="1:10" ht="12.75" customHeight="1">
      <c r="A31" s="18" t="s">
        <v>165</v>
      </c>
      <c r="B31" s="18"/>
      <c r="C31" s="18"/>
      <c r="D31" s="18"/>
      <c r="E31" s="18"/>
      <c r="F31" s="18"/>
      <c r="G31" s="18"/>
      <c r="H31" s="58" t="s">
        <v>9</v>
      </c>
      <c r="I31" s="14">
        <f>576-I14</f>
        <v>5</v>
      </c>
      <c r="J31" s="30" t="s">
        <v>10</v>
      </c>
    </row>
    <row r="32" spans="1:10" ht="12.75" customHeight="1">
      <c r="A32" s="18" t="s">
        <v>166</v>
      </c>
      <c r="B32" s="18"/>
      <c r="C32" s="18"/>
      <c r="D32" s="18"/>
      <c r="E32" s="18"/>
      <c r="F32" s="18"/>
      <c r="G32" s="18"/>
      <c r="H32" s="58" t="s">
        <v>9</v>
      </c>
      <c r="I32" s="14">
        <f>I31+I88</f>
        <v>7.772000000000025</v>
      </c>
      <c r="J32" s="30" t="s">
        <v>10</v>
      </c>
    </row>
    <row r="33" spans="1:10" ht="12.75" customHeight="1">
      <c r="A33" s="18" t="s">
        <v>167</v>
      </c>
      <c r="B33" s="18"/>
      <c r="C33" s="18"/>
      <c r="D33" s="18"/>
      <c r="E33" s="18"/>
      <c r="F33" s="18"/>
      <c r="G33" s="18"/>
      <c r="H33" s="58" t="s">
        <v>9</v>
      </c>
      <c r="I33" s="14">
        <f>I88</f>
        <v>2.772000000000025</v>
      </c>
      <c r="J33" s="30" t="s">
        <v>10</v>
      </c>
    </row>
    <row r="34" spans="1:10" ht="12.75" customHeight="1">
      <c r="A34" s="18" t="s">
        <v>168</v>
      </c>
      <c r="B34" s="18"/>
      <c r="C34" s="18"/>
      <c r="D34" s="18"/>
      <c r="E34" s="18"/>
      <c r="F34" s="18"/>
      <c r="G34" s="18"/>
      <c r="H34" s="58" t="s">
        <v>9</v>
      </c>
      <c r="I34" s="14">
        <f>I13*I31+I31*(I32+I33)*0.5</f>
        <v>62.61000000000013</v>
      </c>
      <c r="J34" s="30" t="s">
        <v>11</v>
      </c>
    </row>
    <row r="35" spans="1:10" ht="12.75" customHeight="1">
      <c r="A35" s="18" t="s">
        <v>169</v>
      </c>
      <c r="B35" s="18"/>
      <c r="C35" s="18"/>
      <c r="D35" s="18"/>
      <c r="E35" s="18"/>
      <c r="F35" s="18"/>
      <c r="G35" s="18"/>
      <c r="H35" s="58" t="s">
        <v>9</v>
      </c>
      <c r="I35" s="66">
        <f>I30*I34</f>
        <v>406.9650000000008</v>
      </c>
      <c r="J35" s="30" t="s">
        <v>16</v>
      </c>
    </row>
    <row r="36" spans="1:10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2.75" customHeight="1">
      <c r="A37" s="8" t="s">
        <v>31</v>
      </c>
      <c r="B37" s="18"/>
      <c r="C37" s="18"/>
      <c r="D37" s="18"/>
      <c r="E37" s="18"/>
      <c r="F37" s="18"/>
      <c r="G37" s="18"/>
      <c r="H37" s="58" t="s">
        <v>9</v>
      </c>
      <c r="I37" s="51">
        <f>I21+I28+I35</f>
        <v>2175.7410000000036</v>
      </c>
      <c r="J37" s="18" t="s">
        <v>16</v>
      </c>
    </row>
    <row r="38" spans="1:10" ht="12.75" customHeight="1">
      <c r="A38" s="62"/>
      <c r="B38" s="62"/>
      <c r="C38" s="62"/>
      <c r="D38" s="62"/>
      <c r="E38" s="63"/>
      <c r="F38" s="63"/>
      <c r="G38" s="63"/>
      <c r="H38" s="64"/>
      <c r="I38" s="64"/>
      <c r="J38" s="65"/>
    </row>
    <row r="39" spans="1:10" ht="12.75" customHeight="1">
      <c r="A39" s="60" t="s">
        <v>172</v>
      </c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 customHeight="1">
      <c r="A40" s="18" t="s">
        <v>162</v>
      </c>
      <c r="B40" s="18"/>
      <c r="C40" s="18"/>
      <c r="D40" s="18"/>
      <c r="E40" s="18"/>
      <c r="F40" s="18"/>
      <c r="G40" s="18"/>
      <c r="H40" s="58" t="s">
        <v>9</v>
      </c>
      <c r="I40" s="14">
        <v>7.25</v>
      </c>
      <c r="J40" s="30" t="s">
        <v>10</v>
      </c>
    </row>
    <row r="41" spans="1:10" ht="12.75" customHeight="1">
      <c r="A41" s="18" t="s">
        <v>163</v>
      </c>
      <c r="B41" s="18"/>
      <c r="C41" s="18"/>
      <c r="D41" s="18"/>
      <c r="E41" s="18"/>
      <c r="F41" s="18"/>
      <c r="G41" s="18"/>
      <c r="H41" s="58" t="s">
        <v>9</v>
      </c>
      <c r="I41" s="14">
        <v>571</v>
      </c>
      <c r="J41" s="30"/>
    </row>
    <row r="42" spans="1:10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 customHeight="1">
      <c r="A43" s="18" t="s">
        <v>164</v>
      </c>
      <c r="B43" s="18"/>
      <c r="C43" s="18"/>
      <c r="D43" s="18"/>
      <c r="E43" s="18"/>
      <c r="F43" s="18"/>
      <c r="G43" s="18"/>
      <c r="H43" s="58" t="s">
        <v>9</v>
      </c>
      <c r="I43" s="14">
        <v>14</v>
      </c>
      <c r="J43" s="30" t="s">
        <v>10</v>
      </c>
    </row>
    <row r="44" spans="1:10" ht="12.75" customHeight="1">
      <c r="A44" s="18" t="s">
        <v>165</v>
      </c>
      <c r="B44" s="18"/>
      <c r="C44" s="18"/>
      <c r="D44" s="18"/>
      <c r="E44" s="18"/>
      <c r="F44" s="18"/>
      <c r="G44" s="18"/>
      <c r="H44" s="58" t="s">
        <v>9</v>
      </c>
      <c r="I44" s="14">
        <f>577-I41</f>
        <v>6</v>
      </c>
      <c r="J44" s="30" t="s">
        <v>10</v>
      </c>
    </row>
    <row r="45" spans="1:10" ht="12.75" customHeight="1">
      <c r="A45" s="18" t="s">
        <v>166</v>
      </c>
      <c r="B45" s="18"/>
      <c r="C45" s="18"/>
      <c r="D45" s="18"/>
      <c r="E45" s="18"/>
      <c r="F45" s="18"/>
      <c r="G45" s="18"/>
      <c r="H45" s="58" t="s">
        <v>9</v>
      </c>
      <c r="I45" s="14">
        <f>I44+I102</f>
        <v>12.972000000000026</v>
      </c>
      <c r="J45" s="30" t="s">
        <v>10</v>
      </c>
    </row>
    <row r="46" spans="1:10" ht="12.75" customHeight="1">
      <c r="A46" s="18" t="s">
        <v>167</v>
      </c>
      <c r="B46" s="18"/>
      <c r="C46" s="18"/>
      <c r="D46" s="18"/>
      <c r="E46" s="18"/>
      <c r="F46" s="18"/>
      <c r="G46" s="18"/>
      <c r="H46" s="58" t="s">
        <v>9</v>
      </c>
      <c r="I46" s="14">
        <f>I102</f>
        <v>6.972000000000025</v>
      </c>
      <c r="J46" s="30" t="s">
        <v>10</v>
      </c>
    </row>
    <row r="47" spans="1:10" ht="12.75" customHeight="1">
      <c r="A47" s="18" t="s">
        <v>168</v>
      </c>
      <c r="B47" s="18"/>
      <c r="C47" s="18"/>
      <c r="D47" s="18"/>
      <c r="E47" s="18"/>
      <c r="F47" s="18"/>
      <c r="G47" s="18"/>
      <c r="H47" s="58" t="s">
        <v>9</v>
      </c>
      <c r="I47" s="14">
        <f>I40*I44+I44*(I45+I46)*0.5</f>
        <v>103.33200000000016</v>
      </c>
      <c r="J47" s="30" t="s">
        <v>11</v>
      </c>
    </row>
    <row r="48" spans="1:10" ht="12.75" customHeight="1">
      <c r="A48" s="18" t="s">
        <v>169</v>
      </c>
      <c r="B48" s="18"/>
      <c r="C48" s="18"/>
      <c r="D48" s="18"/>
      <c r="E48" s="18"/>
      <c r="F48" s="18"/>
      <c r="G48" s="18"/>
      <c r="H48" s="58" t="s">
        <v>9</v>
      </c>
      <c r="I48" s="66">
        <f>I43*I47</f>
        <v>1446.6480000000024</v>
      </c>
      <c r="J48" s="30" t="s">
        <v>16</v>
      </c>
    </row>
    <row r="49" spans="1:10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2.75" customHeight="1">
      <c r="A50" s="18" t="s">
        <v>170</v>
      </c>
      <c r="B50" s="18"/>
      <c r="C50" s="18"/>
      <c r="D50" s="18"/>
      <c r="E50" s="18"/>
      <c r="F50" s="18"/>
      <c r="G50" s="18"/>
      <c r="H50" s="58" t="s">
        <v>9</v>
      </c>
      <c r="I50" s="14">
        <v>6</v>
      </c>
      <c r="J50" s="30" t="s">
        <v>10</v>
      </c>
    </row>
    <row r="51" spans="1:10" ht="12.75" customHeight="1">
      <c r="A51" s="18" t="s">
        <v>165</v>
      </c>
      <c r="B51" s="18"/>
      <c r="C51" s="18"/>
      <c r="D51" s="18"/>
      <c r="E51" s="18"/>
      <c r="F51" s="18"/>
      <c r="G51" s="18"/>
      <c r="H51" s="58" t="s">
        <v>9</v>
      </c>
      <c r="I51" s="14">
        <f>576-I41</f>
        <v>5</v>
      </c>
      <c r="J51" s="30" t="s">
        <v>10</v>
      </c>
    </row>
    <row r="52" spans="1:10" ht="12.75" customHeight="1">
      <c r="A52" s="18" t="s">
        <v>166</v>
      </c>
      <c r="B52" s="18"/>
      <c r="C52" s="18"/>
      <c r="D52" s="18"/>
      <c r="E52" s="18"/>
      <c r="F52" s="18"/>
      <c r="G52" s="18"/>
      <c r="H52" s="58" t="s">
        <v>9</v>
      </c>
      <c r="I52" s="14">
        <f>I51+I110</f>
        <v>9.172000000000025</v>
      </c>
      <c r="J52" s="30" t="s">
        <v>10</v>
      </c>
    </row>
    <row r="53" spans="1:10" ht="12.75" customHeight="1">
      <c r="A53" s="18" t="s">
        <v>167</v>
      </c>
      <c r="B53" s="18"/>
      <c r="C53" s="18"/>
      <c r="D53" s="18"/>
      <c r="E53" s="18"/>
      <c r="F53" s="18"/>
      <c r="G53" s="18"/>
      <c r="H53" s="58" t="s">
        <v>9</v>
      </c>
      <c r="I53" s="14">
        <f>I110</f>
        <v>4.1720000000000255</v>
      </c>
      <c r="J53" s="30" t="s">
        <v>10</v>
      </c>
    </row>
    <row r="54" spans="1:10" ht="12.75" customHeight="1">
      <c r="A54" s="18" t="s">
        <v>168</v>
      </c>
      <c r="B54" s="18"/>
      <c r="C54" s="18"/>
      <c r="D54" s="18"/>
      <c r="E54" s="18"/>
      <c r="F54" s="18"/>
      <c r="G54" s="18"/>
      <c r="H54" s="58" t="s">
        <v>9</v>
      </c>
      <c r="I54" s="14">
        <f>I40*I51+I51*(I52+I53)*0.5</f>
        <v>69.61000000000013</v>
      </c>
      <c r="J54" s="30" t="s">
        <v>11</v>
      </c>
    </row>
    <row r="55" spans="1:10" ht="12.75" customHeight="1">
      <c r="A55" s="18" t="s">
        <v>169</v>
      </c>
      <c r="B55" s="18"/>
      <c r="C55" s="18"/>
      <c r="D55" s="18"/>
      <c r="E55" s="18"/>
      <c r="F55" s="18"/>
      <c r="G55" s="18"/>
      <c r="H55" s="58" t="s">
        <v>9</v>
      </c>
      <c r="I55" s="66">
        <f>I50*I54</f>
        <v>417.66000000000076</v>
      </c>
      <c r="J55" s="30" t="s">
        <v>16</v>
      </c>
    </row>
    <row r="56" spans="1:10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20" ht="12.75" customHeight="1">
      <c r="A57" s="8" t="s">
        <v>31</v>
      </c>
      <c r="B57" s="18"/>
      <c r="C57" s="18"/>
      <c r="D57" s="18"/>
      <c r="E57" s="18"/>
      <c r="F57" s="18"/>
      <c r="G57" s="18"/>
      <c r="H57" s="58" t="s">
        <v>9</v>
      </c>
      <c r="I57" s="51">
        <f>I48+I55</f>
        <v>1864.3080000000032</v>
      </c>
      <c r="J57" s="18" t="s">
        <v>16</v>
      </c>
      <c r="S57" s="14">
        <v>33</v>
      </c>
      <c r="T57" s="30" t="s">
        <v>125</v>
      </c>
    </row>
    <row r="58" spans="1:20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S58" s="34"/>
      <c r="T58" s="6"/>
    </row>
    <row r="59" spans="1:20" ht="12.75" customHeight="1" thickBot="1">
      <c r="A59" s="17" t="s">
        <v>118</v>
      </c>
      <c r="B59" s="10"/>
      <c r="C59" s="10"/>
      <c r="D59" s="10"/>
      <c r="E59" s="10"/>
      <c r="F59" s="10"/>
      <c r="G59" s="10"/>
      <c r="H59" s="5" t="s">
        <v>9</v>
      </c>
      <c r="I59" s="33">
        <f>ROUNDUP(SUM(I37,I57)/27,0)</f>
        <v>150</v>
      </c>
      <c r="J59" s="6" t="s">
        <v>12</v>
      </c>
      <c r="S59" s="36">
        <f>MROUND(S57*I59,1)</f>
        <v>4950</v>
      </c>
      <c r="T59" s="6" t="s">
        <v>125</v>
      </c>
    </row>
    <row r="60" spans="1:10" ht="12.75" customHeight="1" thickTop="1">
      <c r="A60" s="65"/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12.75" customHeight="1">
      <c r="A61" s="55" t="s">
        <v>173</v>
      </c>
      <c r="B61" s="52"/>
      <c r="C61" s="52"/>
      <c r="D61" s="52"/>
      <c r="E61" s="52"/>
      <c r="F61" s="52"/>
      <c r="G61" s="52"/>
      <c r="H61" s="52"/>
      <c r="I61" s="52"/>
      <c r="J61" s="52"/>
    </row>
    <row r="62" spans="1:10" ht="12.75" customHeight="1">
      <c r="A62" s="56"/>
      <c r="B62" s="52"/>
      <c r="C62" s="52"/>
      <c r="D62" s="52"/>
      <c r="E62" s="52"/>
      <c r="F62" s="52"/>
      <c r="G62" s="52"/>
      <c r="H62" s="52"/>
      <c r="I62" s="52"/>
      <c r="J62" s="52"/>
    </row>
    <row r="63" spans="1:10" ht="12.75" customHeight="1" thickBot="1">
      <c r="A63" s="57" t="s">
        <v>13</v>
      </c>
      <c r="B63" s="52"/>
      <c r="C63" s="52"/>
      <c r="D63" s="52"/>
      <c r="E63" s="52"/>
      <c r="F63" s="52"/>
      <c r="G63" s="52"/>
      <c r="H63" s="58" t="s">
        <v>9</v>
      </c>
      <c r="I63" s="53">
        <f>I117</f>
        <v>153</v>
      </c>
      <c r="J63" s="59" t="s">
        <v>12</v>
      </c>
    </row>
    <row r="64" spans="1:10" ht="12.75" customHeight="1" thickTop="1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.75" customHeight="1">
      <c r="A65" s="60" t="s">
        <v>161</v>
      </c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2.75" customHeight="1">
      <c r="A66" s="18" t="s">
        <v>174</v>
      </c>
      <c r="B66" s="18"/>
      <c r="C66" s="18"/>
      <c r="D66" s="18"/>
      <c r="E66" s="18"/>
      <c r="F66" s="18"/>
      <c r="G66" s="18"/>
      <c r="H66" s="58" t="s">
        <v>9</v>
      </c>
      <c r="I66" s="14">
        <v>7.25</v>
      </c>
      <c r="J66" s="30" t="s">
        <v>10</v>
      </c>
    </row>
    <row r="67" spans="1:10" ht="12.75" customHeight="1">
      <c r="A67" s="18" t="s">
        <v>175</v>
      </c>
      <c r="B67" s="18"/>
      <c r="C67" s="18"/>
      <c r="D67" s="18"/>
      <c r="E67" s="18"/>
      <c r="F67" s="18"/>
      <c r="G67" s="18"/>
      <c r="H67" s="58" t="s">
        <v>9</v>
      </c>
      <c r="I67" s="14">
        <f>11-I66</f>
        <v>3.75</v>
      </c>
      <c r="J67" s="30" t="s">
        <v>10</v>
      </c>
    </row>
    <row r="68" spans="1:10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2.75" customHeight="1">
      <c r="A69" s="18" t="s">
        <v>164</v>
      </c>
      <c r="B69" s="18"/>
      <c r="C69" s="18"/>
      <c r="D69" s="18"/>
      <c r="E69" s="18"/>
      <c r="F69" s="18"/>
      <c r="G69" s="18"/>
      <c r="H69" s="58" t="s">
        <v>9</v>
      </c>
      <c r="I69" s="14">
        <v>14</v>
      </c>
      <c r="J69" s="30" t="s">
        <v>10</v>
      </c>
    </row>
    <row r="70" spans="1:10" ht="12.75" customHeight="1">
      <c r="A70" s="18" t="s">
        <v>176</v>
      </c>
      <c r="B70" s="18"/>
      <c r="C70" s="18"/>
      <c r="D70" s="18"/>
      <c r="E70" s="18"/>
      <c r="F70" s="18"/>
      <c r="G70" s="18"/>
      <c r="H70" s="58" t="s">
        <v>9</v>
      </c>
      <c r="I70" s="14">
        <v>561.04</v>
      </c>
      <c r="J70" s="30"/>
    </row>
    <row r="71" spans="1:10" ht="12.75" customHeight="1">
      <c r="A71" s="18" t="s">
        <v>165</v>
      </c>
      <c r="B71" s="18"/>
      <c r="C71" s="18"/>
      <c r="D71" s="18"/>
      <c r="E71" s="18"/>
      <c r="F71" s="18"/>
      <c r="G71" s="18"/>
      <c r="H71" s="58" t="s">
        <v>9</v>
      </c>
      <c r="I71" s="14">
        <f>571-I70</f>
        <v>9.960000000000036</v>
      </c>
      <c r="J71" s="30" t="s">
        <v>10</v>
      </c>
    </row>
    <row r="72" spans="1:10" ht="12.75" customHeight="1">
      <c r="A72" s="18" t="s">
        <v>177</v>
      </c>
      <c r="B72" s="18"/>
      <c r="C72" s="18"/>
      <c r="D72" s="18"/>
      <c r="E72" s="18"/>
      <c r="F72" s="18"/>
      <c r="G72" s="18"/>
      <c r="H72" s="58" t="s">
        <v>9</v>
      </c>
      <c r="I72" s="14">
        <f>I71*0.7</f>
        <v>6.972000000000025</v>
      </c>
      <c r="J72" s="30" t="s">
        <v>10</v>
      </c>
    </row>
    <row r="73" spans="1:10" ht="12.75" customHeight="1">
      <c r="A73" s="18" t="s">
        <v>178</v>
      </c>
      <c r="B73" s="18"/>
      <c r="C73" s="18"/>
      <c r="D73" s="18"/>
      <c r="E73" s="18"/>
      <c r="F73" s="18"/>
      <c r="G73" s="18"/>
      <c r="H73" s="58" t="s">
        <v>9</v>
      </c>
      <c r="I73" s="14">
        <f>565-I70</f>
        <v>3.9600000000000364</v>
      </c>
      <c r="J73" s="30" t="s">
        <v>10</v>
      </c>
    </row>
    <row r="74" spans="1:10" ht="12.75" customHeight="1">
      <c r="A74" s="18" t="s">
        <v>179</v>
      </c>
      <c r="B74" s="18"/>
      <c r="C74" s="18"/>
      <c r="D74" s="18"/>
      <c r="E74" s="18"/>
      <c r="F74" s="18"/>
      <c r="G74" s="18"/>
      <c r="H74" s="58" t="s">
        <v>9</v>
      </c>
      <c r="I74" s="14">
        <f>I71*I72*0.5+I66*I71+I67*I73*0.5</f>
        <v>114.3555600000006</v>
      </c>
      <c r="J74" s="30" t="s">
        <v>11</v>
      </c>
    </row>
    <row r="75" spans="1:10" ht="12.75" customHeight="1">
      <c r="A75" s="18" t="s">
        <v>31</v>
      </c>
      <c r="B75" s="18"/>
      <c r="C75" s="18"/>
      <c r="D75" s="18"/>
      <c r="E75" s="18"/>
      <c r="F75" s="18"/>
      <c r="G75" s="18"/>
      <c r="H75" s="58" t="s">
        <v>9</v>
      </c>
      <c r="I75" s="66">
        <f>I69*I74</f>
        <v>1600.9778400000082</v>
      </c>
      <c r="J75" s="30" t="s">
        <v>16</v>
      </c>
    </row>
    <row r="76" spans="1:10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12.75" customHeight="1">
      <c r="A77" s="18" t="s">
        <v>170</v>
      </c>
      <c r="B77" s="18"/>
      <c r="C77" s="18"/>
      <c r="D77" s="18"/>
      <c r="E77" s="18"/>
      <c r="F77" s="18"/>
      <c r="G77" s="18"/>
      <c r="H77" s="58" t="s">
        <v>9</v>
      </c>
      <c r="I77" s="14">
        <v>6</v>
      </c>
      <c r="J77" s="30" t="s">
        <v>10</v>
      </c>
    </row>
    <row r="78" spans="1:10" ht="12.75" customHeight="1">
      <c r="A78" s="18" t="s">
        <v>176</v>
      </c>
      <c r="B78" s="18"/>
      <c r="C78" s="18"/>
      <c r="D78" s="18"/>
      <c r="E78" s="18"/>
      <c r="F78" s="18"/>
      <c r="G78" s="18"/>
      <c r="H78" s="58" t="s">
        <v>9</v>
      </c>
      <c r="I78" s="14">
        <v>565.04</v>
      </c>
      <c r="J78" s="30"/>
    </row>
    <row r="79" spans="1:10" ht="12.75" customHeight="1">
      <c r="A79" s="18" t="s">
        <v>165</v>
      </c>
      <c r="B79" s="18"/>
      <c r="C79" s="18"/>
      <c r="D79" s="18"/>
      <c r="E79" s="18"/>
      <c r="F79" s="18"/>
      <c r="G79" s="18"/>
      <c r="H79" s="58" t="s">
        <v>9</v>
      </c>
      <c r="I79" s="14">
        <f>571-I78</f>
        <v>5.960000000000036</v>
      </c>
      <c r="J79" s="30" t="s">
        <v>10</v>
      </c>
    </row>
    <row r="80" spans="1:10" ht="12.75" customHeight="1">
      <c r="A80" s="18" t="s">
        <v>177</v>
      </c>
      <c r="B80" s="18"/>
      <c r="C80" s="18"/>
      <c r="D80" s="18"/>
      <c r="E80" s="18"/>
      <c r="F80" s="18"/>
      <c r="G80" s="18"/>
      <c r="H80" s="58" t="s">
        <v>9</v>
      </c>
      <c r="I80" s="14">
        <f>I79*0.7</f>
        <v>4.1720000000000255</v>
      </c>
      <c r="J80" s="30" t="s">
        <v>10</v>
      </c>
    </row>
    <row r="81" spans="1:10" ht="12.75" customHeight="1">
      <c r="A81" s="18" t="s">
        <v>178</v>
      </c>
      <c r="B81" s="18"/>
      <c r="C81" s="18"/>
      <c r="D81" s="18"/>
      <c r="E81" s="18"/>
      <c r="F81" s="18"/>
      <c r="G81" s="18"/>
      <c r="H81" s="58" t="s">
        <v>9</v>
      </c>
      <c r="I81" s="14">
        <f>565-I78</f>
        <v>-0.03999999999996362</v>
      </c>
      <c r="J81" s="30" t="s">
        <v>10</v>
      </c>
    </row>
    <row r="82" spans="1:10" ht="12.75" customHeight="1">
      <c r="A82" s="18" t="s">
        <v>179</v>
      </c>
      <c r="B82" s="18"/>
      <c r="C82" s="18"/>
      <c r="D82" s="18"/>
      <c r="E82" s="18"/>
      <c r="F82" s="18"/>
      <c r="G82" s="18"/>
      <c r="H82" s="58" t="s">
        <v>9</v>
      </c>
      <c r="I82" s="14">
        <f>I79*I80*0.5+I66*I79+I67*I81*0.5</f>
        <v>55.56756000000048</v>
      </c>
      <c r="J82" s="30" t="s">
        <v>11</v>
      </c>
    </row>
    <row r="83" spans="1:10" ht="12.75" customHeight="1">
      <c r="A83" s="18" t="s">
        <v>31</v>
      </c>
      <c r="B83" s="18"/>
      <c r="C83" s="18"/>
      <c r="D83" s="18"/>
      <c r="E83" s="18"/>
      <c r="F83" s="18"/>
      <c r="G83" s="18"/>
      <c r="H83" s="58" t="s">
        <v>9</v>
      </c>
      <c r="I83" s="66">
        <f>I77*I82</f>
        <v>333.40536000000293</v>
      </c>
      <c r="J83" s="30" t="s">
        <v>16</v>
      </c>
    </row>
    <row r="84" spans="1:10" ht="12.7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</row>
    <row r="85" spans="1:10" ht="12.75" customHeight="1">
      <c r="A85" s="18" t="s">
        <v>171</v>
      </c>
      <c r="B85" s="18"/>
      <c r="C85" s="18"/>
      <c r="D85" s="18"/>
      <c r="E85" s="18"/>
      <c r="F85" s="18"/>
      <c r="G85" s="18"/>
      <c r="H85" s="58" t="s">
        <v>9</v>
      </c>
      <c r="I85" s="14">
        <v>6.5</v>
      </c>
      <c r="J85" s="30" t="s">
        <v>10</v>
      </c>
    </row>
    <row r="86" spans="1:10" ht="12.75" customHeight="1">
      <c r="A86" s="18" t="s">
        <v>176</v>
      </c>
      <c r="B86" s="18"/>
      <c r="C86" s="18"/>
      <c r="D86" s="18"/>
      <c r="E86" s="18"/>
      <c r="F86" s="18"/>
      <c r="G86" s="18"/>
      <c r="H86" s="58" t="s">
        <v>9</v>
      </c>
      <c r="I86" s="14">
        <v>567.04</v>
      </c>
      <c r="J86" s="30"/>
    </row>
    <row r="87" spans="1:10" ht="12.75" customHeight="1">
      <c r="A87" s="18" t="s">
        <v>165</v>
      </c>
      <c r="B87" s="18"/>
      <c r="C87" s="18"/>
      <c r="D87" s="18"/>
      <c r="E87" s="18"/>
      <c r="F87" s="18"/>
      <c r="G87" s="18"/>
      <c r="H87" s="58" t="s">
        <v>9</v>
      </c>
      <c r="I87" s="14">
        <f>571-I86</f>
        <v>3.9600000000000364</v>
      </c>
      <c r="J87" s="30" t="s">
        <v>10</v>
      </c>
    </row>
    <row r="88" spans="1:10" ht="12.75" customHeight="1">
      <c r="A88" s="18" t="s">
        <v>177</v>
      </c>
      <c r="B88" s="18"/>
      <c r="C88" s="18"/>
      <c r="D88" s="18"/>
      <c r="E88" s="18"/>
      <c r="F88" s="18"/>
      <c r="G88" s="18"/>
      <c r="H88" s="58" t="s">
        <v>9</v>
      </c>
      <c r="I88" s="14">
        <f>I87*0.7</f>
        <v>2.772000000000025</v>
      </c>
      <c r="J88" s="30" t="s">
        <v>10</v>
      </c>
    </row>
    <row r="89" spans="1:10" ht="12.75" customHeight="1">
      <c r="A89" s="18" t="s">
        <v>178</v>
      </c>
      <c r="B89" s="18"/>
      <c r="C89" s="18"/>
      <c r="D89" s="18"/>
      <c r="E89" s="18"/>
      <c r="F89" s="18"/>
      <c r="G89" s="18"/>
      <c r="H89" s="58" t="s">
        <v>9</v>
      </c>
      <c r="I89" s="14">
        <f>567-I86</f>
        <v>-0.03999999999996362</v>
      </c>
      <c r="J89" s="30" t="s">
        <v>10</v>
      </c>
    </row>
    <row r="90" spans="1:10" ht="12.75" customHeight="1">
      <c r="A90" s="18" t="s">
        <v>179</v>
      </c>
      <c r="B90" s="18"/>
      <c r="C90" s="18"/>
      <c r="D90" s="18"/>
      <c r="E90" s="18"/>
      <c r="F90" s="18"/>
      <c r="G90" s="18"/>
      <c r="H90" s="58" t="s">
        <v>9</v>
      </c>
      <c r="I90" s="14">
        <f>I87*I88*0.5+I66*I87+I67*I89*0.5</f>
        <v>34.12356000000043</v>
      </c>
      <c r="J90" s="30" t="s">
        <v>11</v>
      </c>
    </row>
    <row r="91" spans="1:10" ht="12.75" customHeight="1">
      <c r="A91" s="18" t="s">
        <v>31</v>
      </c>
      <c r="B91" s="18"/>
      <c r="C91" s="18"/>
      <c r="D91" s="18"/>
      <c r="E91" s="18"/>
      <c r="F91" s="18"/>
      <c r="G91" s="18"/>
      <c r="H91" s="58" t="s">
        <v>9</v>
      </c>
      <c r="I91" s="66">
        <f>I85*I90</f>
        <v>221.8031400000028</v>
      </c>
      <c r="J91" s="30" t="s">
        <v>16</v>
      </c>
    </row>
    <row r="92" spans="1:10" ht="12.7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</row>
    <row r="93" spans="1:10" ht="12.75" customHeight="1">
      <c r="A93" s="8" t="s">
        <v>31</v>
      </c>
      <c r="B93" s="18"/>
      <c r="C93" s="18"/>
      <c r="D93" s="18"/>
      <c r="E93" s="18"/>
      <c r="F93" s="18"/>
      <c r="G93" s="18"/>
      <c r="H93" s="58" t="s">
        <v>9</v>
      </c>
      <c r="I93" s="51">
        <f>I75+I83+I91</f>
        <v>2156.186340000014</v>
      </c>
      <c r="J93" s="18" t="s">
        <v>16</v>
      </c>
    </row>
    <row r="94" spans="1:10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2.75" customHeight="1">
      <c r="A95" s="60" t="s">
        <v>172</v>
      </c>
      <c r="B95" s="18"/>
      <c r="C95" s="18"/>
      <c r="D95" s="18"/>
      <c r="E95" s="18"/>
      <c r="F95" s="18"/>
      <c r="G95" s="18"/>
      <c r="H95" s="18"/>
      <c r="I95" s="18"/>
      <c r="J95" s="18"/>
    </row>
    <row r="96" spans="1:10" ht="12.75" customHeight="1">
      <c r="A96" s="18" t="s">
        <v>162</v>
      </c>
      <c r="B96" s="18"/>
      <c r="C96" s="18"/>
      <c r="D96" s="18"/>
      <c r="E96" s="18"/>
      <c r="F96" s="18"/>
      <c r="G96" s="18"/>
      <c r="H96" s="58" t="s">
        <v>9</v>
      </c>
      <c r="I96" s="14">
        <v>7.25</v>
      </c>
      <c r="J96" s="30" t="s">
        <v>10</v>
      </c>
    </row>
    <row r="97" spans="1:10" ht="12.75" customHeight="1">
      <c r="A97" s="18" t="s">
        <v>175</v>
      </c>
      <c r="B97" s="18"/>
      <c r="C97" s="18"/>
      <c r="D97" s="18"/>
      <c r="E97" s="18"/>
      <c r="F97" s="18"/>
      <c r="G97" s="18"/>
      <c r="H97" s="58" t="s">
        <v>9</v>
      </c>
      <c r="I97" s="14">
        <f>11-I96</f>
        <v>3.75</v>
      </c>
      <c r="J97" s="30" t="s">
        <v>10</v>
      </c>
    </row>
    <row r="98" spans="1:10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12.75" customHeight="1">
      <c r="A99" s="18" t="s">
        <v>164</v>
      </c>
      <c r="B99" s="18"/>
      <c r="C99" s="18"/>
      <c r="D99" s="18"/>
      <c r="E99" s="18"/>
      <c r="F99" s="18"/>
      <c r="G99" s="18"/>
      <c r="H99" s="58" t="s">
        <v>9</v>
      </c>
      <c r="I99" s="14">
        <v>14</v>
      </c>
      <c r="J99" s="30" t="s">
        <v>10</v>
      </c>
    </row>
    <row r="100" spans="1:10" ht="12.75" customHeight="1">
      <c r="A100" s="18" t="s">
        <v>176</v>
      </c>
      <c r="B100" s="18"/>
      <c r="C100" s="18"/>
      <c r="D100" s="18"/>
      <c r="E100" s="18"/>
      <c r="F100" s="18"/>
      <c r="G100" s="18"/>
      <c r="H100" s="58" t="s">
        <v>9</v>
      </c>
      <c r="I100" s="14">
        <v>561.04</v>
      </c>
      <c r="J100" s="30"/>
    </row>
    <row r="101" spans="1:10" ht="12.75" customHeight="1">
      <c r="A101" s="18" t="s">
        <v>165</v>
      </c>
      <c r="B101" s="18"/>
      <c r="C101" s="18"/>
      <c r="D101" s="18"/>
      <c r="E101" s="18"/>
      <c r="F101" s="18"/>
      <c r="G101" s="18"/>
      <c r="H101" s="58" t="s">
        <v>9</v>
      </c>
      <c r="I101" s="14">
        <f>571-I100</f>
        <v>9.960000000000036</v>
      </c>
      <c r="J101" s="30" t="s">
        <v>10</v>
      </c>
    </row>
    <row r="102" spans="1:10" ht="12.75" customHeight="1">
      <c r="A102" s="18" t="s">
        <v>177</v>
      </c>
      <c r="B102" s="18"/>
      <c r="C102" s="18"/>
      <c r="D102" s="18"/>
      <c r="E102" s="18"/>
      <c r="F102" s="18"/>
      <c r="G102" s="18"/>
      <c r="H102" s="58" t="s">
        <v>9</v>
      </c>
      <c r="I102" s="14">
        <f>I101*0.7</f>
        <v>6.972000000000025</v>
      </c>
      <c r="J102" s="30" t="s">
        <v>10</v>
      </c>
    </row>
    <row r="103" spans="1:10" ht="12.75" customHeight="1">
      <c r="A103" s="18" t="s">
        <v>178</v>
      </c>
      <c r="B103" s="18"/>
      <c r="C103" s="18"/>
      <c r="D103" s="18"/>
      <c r="E103" s="18"/>
      <c r="F103" s="18"/>
      <c r="G103" s="18"/>
      <c r="H103" s="58" t="s">
        <v>9</v>
      </c>
      <c r="I103" s="14">
        <f>566-I100</f>
        <v>4.960000000000036</v>
      </c>
      <c r="J103" s="30" t="s">
        <v>10</v>
      </c>
    </row>
    <row r="104" spans="1:10" ht="12.75" customHeight="1">
      <c r="A104" s="18" t="s">
        <v>179</v>
      </c>
      <c r="B104" s="18"/>
      <c r="C104" s="18"/>
      <c r="D104" s="18"/>
      <c r="E104" s="18"/>
      <c r="F104" s="18"/>
      <c r="G104" s="18"/>
      <c r="H104" s="58" t="s">
        <v>9</v>
      </c>
      <c r="I104" s="14">
        <f>I101*I102*0.5+I96*I101+I97*I103*0.5</f>
        <v>116.2305600000006</v>
      </c>
      <c r="J104" s="30" t="s">
        <v>11</v>
      </c>
    </row>
    <row r="105" spans="1:10" ht="12.75" customHeight="1">
      <c r="A105" s="18" t="s">
        <v>31</v>
      </c>
      <c r="B105" s="18"/>
      <c r="C105" s="18"/>
      <c r="D105" s="18"/>
      <c r="E105" s="18"/>
      <c r="F105" s="18"/>
      <c r="G105" s="18"/>
      <c r="H105" s="58" t="s">
        <v>9</v>
      </c>
      <c r="I105" s="66">
        <f>I99*I104</f>
        <v>1627.2278400000082</v>
      </c>
      <c r="J105" s="30" t="s">
        <v>16</v>
      </c>
    </row>
    <row r="106" spans="1:10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ht="12.75" customHeight="1">
      <c r="A107" s="18" t="s">
        <v>170</v>
      </c>
      <c r="B107" s="18"/>
      <c r="C107" s="18"/>
      <c r="D107" s="18"/>
      <c r="E107" s="18"/>
      <c r="F107" s="18"/>
      <c r="G107" s="18"/>
      <c r="H107" s="58" t="s">
        <v>9</v>
      </c>
      <c r="I107" s="14">
        <v>6</v>
      </c>
      <c r="J107" s="30" t="s">
        <v>10</v>
      </c>
    </row>
    <row r="108" spans="1:10" ht="12.75" customHeight="1">
      <c r="A108" s="18" t="s">
        <v>176</v>
      </c>
      <c r="B108" s="18"/>
      <c r="C108" s="18"/>
      <c r="D108" s="18"/>
      <c r="E108" s="18"/>
      <c r="F108" s="18"/>
      <c r="G108" s="18"/>
      <c r="H108" s="58" t="s">
        <v>9</v>
      </c>
      <c r="I108" s="14">
        <v>565.04</v>
      </c>
      <c r="J108" s="30"/>
    </row>
    <row r="109" spans="1:10" ht="12.75" customHeight="1">
      <c r="A109" s="18" t="s">
        <v>165</v>
      </c>
      <c r="B109" s="18"/>
      <c r="C109" s="18"/>
      <c r="D109" s="18"/>
      <c r="E109" s="18"/>
      <c r="F109" s="18"/>
      <c r="G109" s="18"/>
      <c r="H109" s="58" t="s">
        <v>9</v>
      </c>
      <c r="I109" s="14">
        <f>571-I108</f>
        <v>5.960000000000036</v>
      </c>
      <c r="J109" s="30" t="s">
        <v>10</v>
      </c>
    </row>
    <row r="110" spans="1:10" ht="12.75" customHeight="1">
      <c r="A110" s="18" t="s">
        <v>177</v>
      </c>
      <c r="B110" s="18"/>
      <c r="C110" s="18"/>
      <c r="D110" s="18"/>
      <c r="E110" s="18"/>
      <c r="F110" s="18"/>
      <c r="G110" s="18"/>
      <c r="H110" s="58" t="s">
        <v>9</v>
      </c>
      <c r="I110" s="14">
        <f>I109*0.7</f>
        <v>4.1720000000000255</v>
      </c>
      <c r="J110" s="30" t="s">
        <v>10</v>
      </c>
    </row>
    <row r="111" spans="1:10" ht="12.75" customHeight="1">
      <c r="A111" s="18" t="s">
        <v>178</v>
      </c>
      <c r="B111" s="18"/>
      <c r="C111" s="18"/>
      <c r="D111" s="18"/>
      <c r="E111" s="18"/>
      <c r="F111" s="18"/>
      <c r="G111" s="18"/>
      <c r="H111" s="58" t="s">
        <v>9</v>
      </c>
      <c r="I111" s="14">
        <f>566-I108</f>
        <v>0.9600000000000364</v>
      </c>
      <c r="J111" s="30" t="s">
        <v>10</v>
      </c>
    </row>
    <row r="112" spans="1:10" ht="12.75" customHeight="1">
      <c r="A112" s="18" t="s">
        <v>179</v>
      </c>
      <c r="B112" s="18"/>
      <c r="C112" s="18"/>
      <c r="D112" s="18"/>
      <c r="E112" s="18"/>
      <c r="F112" s="18"/>
      <c r="G112" s="18"/>
      <c r="H112" s="58" t="s">
        <v>9</v>
      </c>
      <c r="I112" s="14">
        <f>I109*I110*0.5+I96*I109+I97*I111*0.5</f>
        <v>57.44256000000048</v>
      </c>
      <c r="J112" s="30" t="s">
        <v>11</v>
      </c>
    </row>
    <row r="113" spans="1:10" ht="12.75" customHeight="1">
      <c r="A113" s="18" t="s">
        <v>31</v>
      </c>
      <c r="B113" s="18"/>
      <c r="C113" s="18"/>
      <c r="D113" s="18"/>
      <c r="E113" s="18"/>
      <c r="F113" s="18"/>
      <c r="G113" s="18"/>
      <c r="H113" s="58" t="s">
        <v>9</v>
      </c>
      <c r="I113" s="66">
        <f>I107*I112</f>
        <v>344.65536000000293</v>
      </c>
      <c r="J113" s="30" t="s">
        <v>16</v>
      </c>
    </row>
    <row r="114" spans="1:10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ht="12.75" customHeight="1">
      <c r="A115" s="8" t="s">
        <v>31</v>
      </c>
      <c r="B115" s="18"/>
      <c r="C115" s="18"/>
      <c r="D115" s="18"/>
      <c r="E115" s="18"/>
      <c r="F115" s="18"/>
      <c r="G115" s="18"/>
      <c r="H115" s="58" t="s">
        <v>9</v>
      </c>
      <c r="I115" s="51">
        <f>I105+I113</f>
        <v>1971.8832000000111</v>
      </c>
      <c r="J115" s="18" t="s">
        <v>16</v>
      </c>
    </row>
    <row r="116" spans="1:10" ht="12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2.75" customHeight="1" thickBot="1">
      <c r="A117" s="17" t="s">
        <v>118</v>
      </c>
      <c r="B117" s="10"/>
      <c r="C117" s="10"/>
      <c r="D117" s="10"/>
      <c r="E117" s="10"/>
      <c r="F117" s="10"/>
      <c r="G117" s="10"/>
      <c r="H117" s="5" t="s">
        <v>9</v>
      </c>
      <c r="I117" s="33">
        <f>ROUNDUP(SUM(I93,I115)/27,0)</f>
        <v>153</v>
      </c>
      <c r="J117" s="6" t="s">
        <v>12</v>
      </c>
    </row>
    <row r="118" spans="1:4" ht="12.75" customHeight="1" thickTop="1">
      <c r="A118" s="2"/>
      <c r="B118" s="2"/>
      <c r="C118" s="2"/>
      <c r="D118" s="2"/>
    </row>
    <row r="119" spans="1:10" ht="12.75">
      <c r="A119" s="11" t="s">
        <v>28</v>
      </c>
      <c r="B119" s="10"/>
      <c r="C119" s="10"/>
      <c r="D119" s="10"/>
      <c r="E119" s="10"/>
      <c r="F119" s="10"/>
      <c r="G119" s="10"/>
      <c r="H119" s="10"/>
      <c r="I119" s="10"/>
      <c r="J119" s="31"/>
    </row>
    <row r="120" spans="1:10" ht="12">
      <c r="A120" s="9"/>
      <c r="B120" s="10"/>
      <c r="C120" s="10"/>
      <c r="D120" s="10"/>
      <c r="E120" s="10"/>
      <c r="F120" s="10"/>
      <c r="G120" s="10"/>
      <c r="H120" s="10"/>
      <c r="I120" s="10"/>
      <c r="J120" s="31"/>
    </row>
    <row r="121" spans="1:10" ht="12">
      <c r="A121" s="8" t="s">
        <v>130</v>
      </c>
      <c r="B121" s="2"/>
      <c r="C121" s="2"/>
      <c r="D121" s="2"/>
      <c r="H121" s="5" t="s">
        <v>9</v>
      </c>
      <c r="I121" s="12">
        <v>5124</v>
      </c>
      <c r="J121" s="18" t="s">
        <v>27</v>
      </c>
    </row>
    <row r="122" spans="1:10" ht="12">
      <c r="A122" s="8" t="s">
        <v>131</v>
      </c>
      <c r="B122" s="2"/>
      <c r="C122" s="2"/>
      <c r="D122" s="2"/>
      <c r="H122" s="5" t="s">
        <v>9</v>
      </c>
      <c r="I122" s="12">
        <v>7655</v>
      </c>
      <c r="J122" s="18" t="s">
        <v>27</v>
      </c>
    </row>
    <row r="123" spans="1:10" ht="12">
      <c r="A123" s="9"/>
      <c r="B123" s="10"/>
      <c r="C123" s="10"/>
      <c r="D123" s="10"/>
      <c r="E123" s="10"/>
      <c r="F123" s="10"/>
      <c r="G123" s="10"/>
      <c r="H123" s="10"/>
      <c r="I123" s="10"/>
      <c r="J123" s="31"/>
    </row>
    <row r="124" spans="1:10" ht="13.5" thickBot="1">
      <c r="A124" s="17" t="s">
        <v>13</v>
      </c>
      <c r="B124" s="10"/>
      <c r="C124" s="10"/>
      <c r="D124" s="10"/>
      <c r="E124" s="10"/>
      <c r="F124" s="10"/>
      <c r="G124" s="10"/>
      <c r="H124" s="5" t="s">
        <v>9</v>
      </c>
      <c r="I124" s="13">
        <f>ROUNDUP(SUM(I121:I122),0)</f>
        <v>12779</v>
      </c>
      <c r="J124" s="6" t="s">
        <v>27</v>
      </c>
    </row>
    <row r="125" spans="1:10" ht="12.75" thickTop="1">
      <c r="A125" s="9"/>
      <c r="B125" s="10"/>
      <c r="C125" s="10"/>
      <c r="D125" s="10"/>
      <c r="E125" s="10"/>
      <c r="F125" s="10"/>
      <c r="G125" s="10"/>
      <c r="H125" s="10"/>
      <c r="I125" s="10"/>
      <c r="J125" s="31"/>
    </row>
    <row r="126" spans="1:10" ht="12.75">
      <c r="A126" s="11" t="s">
        <v>105</v>
      </c>
      <c r="B126" s="10"/>
      <c r="C126" s="10"/>
      <c r="D126" s="10"/>
      <c r="E126" s="10"/>
      <c r="F126" s="10"/>
      <c r="G126" s="10"/>
      <c r="H126" s="10"/>
      <c r="I126" s="10"/>
      <c r="J126" s="31"/>
    </row>
    <row r="127" spans="1:10" ht="12">
      <c r="A127" s="9"/>
      <c r="B127" s="10"/>
      <c r="C127" s="10"/>
      <c r="D127" s="10"/>
      <c r="E127" s="10"/>
      <c r="F127" s="10"/>
      <c r="G127" s="10"/>
      <c r="H127" s="10"/>
      <c r="I127" s="52"/>
      <c r="J127" s="31"/>
    </row>
    <row r="128" spans="1:10" ht="12.75">
      <c r="A128" s="49" t="s">
        <v>33</v>
      </c>
      <c r="B128" s="38"/>
      <c r="C128" s="38"/>
      <c r="D128" s="38"/>
      <c r="E128" s="38"/>
      <c r="F128" s="38"/>
      <c r="G128" s="38"/>
      <c r="H128" s="38"/>
      <c r="I128" s="54"/>
      <c r="J128" s="43"/>
    </row>
    <row r="129" spans="1:10" ht="12.75">
      <c r="A129" s="39" t="s">
        <v>135</v>
      </c>
      <c r="B129" s="38"/>
      <c r="C129" s="38"/>
      <c r="D129" s="38"/>
      <c r="E129" s="38"/>
      <c r="F129" s="38"/>
      <c r="G129" s="38"/>
      <c r="H129" s="41" t="s">
        <v>9</v>
      </c>
      <c r="I129" s="44">
        <v>203.1</v>
      </c>
      <c r="J129" s="45" t="s">
        <v>11</v>
      </c>
    </row>
    <row r="130" spans="1:10" ht="12.75">
      <c r="A130" s="39" t="s">
        <v>136</v>
      </c>
      <c r="B130" s="38"/>
      <c r="C130" s="38"/>
      <c r="D130" s="38"/>
      <c r="E130" s="38"/>
      <c r="F130" s="38"/>
      <c r="G130" s="38"/>
      <c r="H130" s="41" t="s">
        <v>9</v>
      </c>
      <c r="I130" s="44">
        <v>212.84</v>
      </c>
      <c r="J130" s="45" t="s">
        <v>11</v>
      </c>
    </row>
    <row r="131" spans="1:10" ht="12.75">
      <c r="A131" s="39" t="s">
        <v>14</v>
      </c>
      <c r="B131" s="38"/>
      <c r="C131" s="38"/>
      <c r="D131" s="38"/>
      <c r="E131" s="38"/>
      <c r="F131" s="38"/>
      <c r="G131" s="38"/>
      <c r="H131" s="41" t="s">
        <v>9</v>
      </c>
      <c r="I131" s="44">
        <v>1.25</v>
      </c>
      <c r="J131" s="45" t="s">
        <v>10</v>
      </c>
    </row>
    <row r="132" spans="1:10" ht="12">
      <c r="A132" s="46" t="s">
        <v>31</v>
      </c>
      <c r="B132" s="47"/>
      <c r="C132" s="47"/>
      <c r="D132" s="47"/>
      <c r="E132" s="37"/>
      <c r="F132" s="37"/>
      <c r="G132" s="37"/>
      <c r="H132" s="41" t="s">
        <v>9</v>
      </c>
      <c r="I132" s="51">
        <f>AVERAGE(I129,I130)*I131</f>
        <v>259.9625</v>
      </c>
      <c r="J132" s="48" t="s">
        <v>16</v>
      </c>
    </row>
    <row r="133" spans="1:10" ht="12">
      <c r="A133" s="39"/>
      <c r="B133" s="38"/>
      <c r="C133" s="38"/>
      <c r="D133" s="38"/>
      <c r="E133" s="38"/>
      <c r="F133" s="38"/>
      <c r="G133" s="38"/>
      <c r="H133" s="38"/>
      <c r="I133" s="54"/>
      <c r="J133" s="43"/>
    </row>
    <row r="134" spans="1:10" ht="12.75">
      <c r="A134" s="49" t="s">
        <v>106</v>
      </c>
      <c r="B134" s="38"/>
      <c r="C134" s="38"/>
      <c r="D134" s="38"/>
      <c r="E134" s="38"/>
      <c r="F134" s="38"/>
      <c r="G134" s="38"/>
      <c r="H134" s="38"/>
      <c r="I134" s="54"/>
      <c r="J134" s="43"/>
    </row>
    <row r="135" spans="1:10" ht="12.75">
      <c r="A135" s="39" t="s">
        <v>107</v>
      </c>
      <c r="B135" s="38"/>
      <c r="C135" s="38"/>
      <c r="D135" s="38"/>
      <c r="E135" s="38"/>
      <c r="F135" s="38"/>
      <c r="G135" s="38"/>
      <c r="H135" s="41" t="s">
        <v>9</v>
      </c>
      <c r="I135" s="44">
        <v>103.75</v>
      </c>
      <c r="J135" s="45" t="s">
        <v>11</v>
      </c>
    </row>
    <row r="136" spans="1:10" ht="12.75">
      <c r="A136" s="39" t="s">
        <v>108</v>
      </c>
      <c r="B136" s="38"/>
      <c r="C136" s="38"/>
      <c r="D136" s="38"/>
      <c r="E136" s="38"/>
      <c r="F136" s="38"/>
      <c r="G136" s="38"/>
      <c r="H136" s="41" t="s">
        <v>9</v>
      </c>
      <c r="I136" s="44">
        <v>119.18</v>
      </c>
      <c r="J136" s="45" t="s">
        <v>11</v>
      </c>
    </row>
    <row r="137" spans="1:10" ht="12.75">
      <c r="A137" s="39"/>
      <c r="B137" s="38"/>
      <c r="C137" s="38"/>
      <c r="D137" s="38"/>
      <c r="E137" s="38"/>
      <c r="F137" s="38"/>
      <c r="G137" s="38"/>
      <c r="H137" s="41"/>
      <c r="I137" s="44"/>
      <c r="J137" s="45"/>
    </row>
    <row r="138" spans="1:10" ht="12.75">
      <c r="A138" s="39" t="s">
        <v>14</v>
      </c>
      <c r="B138" s="38"/>
      <c r="C138" s="38"/>
      <c r="D138" s="38"/>
      <c r="E138" s="38"/>
      <c r="F138" s="38"/>
      <c r="G138" s="38"/>
      <c r="H138" s="41" t="s">
        <v>9</v>
      </c>
      <c r="I138" s="44">
        <v>1.25</v>
      </c>
      <c r="J138" s="45" t="s">
        <v>10</v>
      </c>
    </row>
    <row r="139" spans="1:10" ht="12">
      <c r="A139" s="39" t="s">
        <v>31</v>
      </c>
      <c r="B139" s="38"/>
      <c r="C139" s="38"/>
      <c r="D139" s="38"/>
      <c r="E139" s="38"/>
      <c r="F139" s="38"/>
      <c r="G139" s="38"/>
      <c r="H139" s="41" t="s">
        <v>9</v>
      </c>
      <c r="I139" s="51">
        <f>AVERAGE((I135,I136))*I138</f>
        <v>139.33125</v>
      </c>
      <c r="J139" s="48" t="s">
        <v>16</v>
      </c>
    </row>
    <row r="140" spans="1:10" ht="12">
      <c r="A140" s="39"/>
      <c r="B140" s="38"/>
      <c r="C140" s="38"/>
      <c r="D140" s="38"/>
      <c r="E140" s="38"/>
      <c r="F140" s="38"/>
      <c r="G140" s="38"/>
      <c r="H140" s="38"/>
      <c r="I140" s="54"/>
      <c r="J140" s="43"/>
    </row>
    <row r="141" spans="1:10" ht="12.75">
      <c r="A141" s="49" t="s">
        <v>29</v>
      </c>
      <c r="B141" s="38"/>
      <c r="C141" s="38"/>
      <c r="D141" s="38"/>
      <c r="E141" s="38"/>
      <c r="F141" s="38"/>
      <c r="G141" s="38"/>
      <c r="H141" s="38"/>
      <c r="I141" s="54"/>
      <c r="J141" s="43"/>
    </row>
    <row r="142" spans="1:10" ht="12.75">
      <c r="A142" s="39" t="s">
        <v>135</v>
      </c>
      <c r="B142" s="38"/>
      <c r="C142" s="38"/>
      <c r="D142" s="38"/>
      <c r="E142" s="38"/>
      <c r="F142" s="38"/>
      <c r="G142" s="38"/>
      <c r="H142" s="41" t="s">
        <v>9</v>
      </c>
      <c r="I142" s="44">
        <v>263.98</v>
      </c>
      <c r="J142" s="45" t="s">
        <v>11</v>
      </c>
    </row>
    <row r="143" spans="1:10" ht="12.75">
      <c r="A143" s="39" t="s">
        <v>136</v>
      </c>
      <c r="B143" s="38"/>
      <c r="C143" s="38"/>
      <c r="D143" s="38"/>
      <c r="E143" s="38"/>
      <c r="F143" s="38"/>
      <c r="G143" s="38"/>
      <c r="H143" s="41" t="s">
        <v>9</v>
      </c>
      <c r="I143" s="44">
        <v>282.15</v>
      </c>
      <c r="J143" s="45" t="s">
        <v>11</v>
      </c>
    </row>
    <row r="144" spans="1:10" ht="12.75">
      <c r="A144" s="39" t="s">
        <v>14</v>
      </c>
      <c r="B144" s="38"/>
      <c r="C144" s="38"/>
      <c r="D144" s="38"/>
      <c r="E144" s="38"/>
      <c r="F144" s="38"/>
      <c r="G144" s="38"/>
      <c r="H144" s="41" t="s">
        <v>9</v>
      </c>
      <c r="I144" s="44">
        <v>1.25</v>
      </c>
      <c r="J144" s="45" t="s">
        <v>10</v>
      </c>
    </row>
    <row r="145" spans="1:10" ht="12">
      <c r="A145" s="46" t="s">
        <v>31</v>
      </c>
      <c r="B145" s="47"/>
      <c r="C145" s="47"/>
      <c r="D145" s="47"/>
      <c r="E145" s="37"/>
      <c r="F145" s="37"/>
      <c r="G145" s="37"/>
      <c r="H145" s="41" t="s">
        <v>9</v>
      </c>
      <c r="I145" s="51">
        <f>AVERAGE(I142,I143)*I144</f>
        <v>341.33125</v>
      </c>
      <c r="J145" s="48" t="s">
        <v>16</v>
      </c>
    </row>
    <row r="146" spans="1:10" ht="12">
      <c r="A146" s="39"/>
      <c r="B146" s="38"/>
      <c r="C146" s="38"/>
      <c r="D146" s="38"/>
      <c r="E146" s="38"/>
      <c r="F146" s="38"/>
      <c r="G146" s="38"/>
      <c r="H146" s="38"/>
      <c r="I146" s="54"/>
      <c r="J146" s="43"/>
    </row>
    <row r="147" spans="1:10" ht="13.5" thickBot="1">
      <c r="A147" s="40" t="s">
        <v>13</v>
      </c>
      <c r="B147" s="38"/>
      <c r="C147" s="38"/>
      <c r="D147" s="38"/>
      <c r="E147" s="38"/>
      <c r="F147" s="38"/>
      <c r="G147" s="38"/>
      <c r="H147" s="41" t="s">
        <v>9</v>
      </c>
      <c r="I147" s="53">
        <f>ROUNDUP(SUM(I132,I139,I145)/27,0)</f>
        <v>28</v>
      </c>
      <c r="J147" s="42" t="s">
        <v>12</v>
      </c>
    </row>
    <row r="148" spans="1:10" ht="12.75" thickTop="1">
      <c r="A148" s="9"/>
      <c r="B148" s="10"/>
      <c r="C148" s="10"/>
      <c r="D148" s="10"/>
      <c r="E148" s="10"/>
      <c r="F148" s="10"/>
      <c r="G148" s="10"/>
      <c r="H148" s="10"/>
      <c r="I148" s="52"/>
      <c r="J148" s="31"/>
    </row>
    <row r="149" spans="1:10" ht="12.75">
      <c r="A149" s="11" t="s">
        <v>109</v>
      </c>
      <c r="B149" s="10"/>
      <c r="C149" s="10"/>
      <c r="D149" s="10"/>
      <c r="E149" s="10"/>
      <c r="F149" s="10"/>
      <c r="G149" s="10"/>
      <c r="H149" s="10"/>
      <c r="I149" s="10"/>
      <c r="J149" s="31"/>
    </row>
    <row r="150" spans="1:10" ht="12">
      <c r="A150" s="9"/>
      <c r="B150" s="10"/>
      <c r="C150" s="10"/>
      <c r="D150" s="10"/>
      <c r="E150" s="10"/>
      <c r="F150" s="10"/>
      <c r="G150" s="10"/>
      <c r="H150" s="10"/>
      <c r="I150" s="10"/>
      <c r="J150" s="31"/>
    </row>
    <row r="151" spans="1:10" ht="12.75">
      <c r="A151" s="15" t="s">
        <v>34</v>
      </c>
      <c r="B151" s="10"/>
      <c r="C151" s="10"/>
      <c r="D151" s="10"/>
      <c r="E151" s="10"/>
      <c r="F151" s="10"/>
      <c r="G151" s="10"/>
      <c r="H151" s="10"/>
      <c r="I151" s="10"/>
      <c r="J151" s="31"/>
    </row>
    <row r="152" spans="1:10" ht="12.75">
      <c r="A152" s="9" t="s">
        <v>110</v>
      </c>
      <c r="B152" s="10"/>
      <c r="C152" s="10"/>
      <c r="D152" s="10"/>
      <c r="E152" s="10"/>
      <c r="F152" s="10"/>
      <c r="G152" s="10"/>
      <c r="H152" s="5" t="s">
        <v>9</v>
      </c>
      <c r="I152" s="14">
        <v>14</v>
      </c>
      <c r="J152" s="30" t="s">
        <v>10</v>
      </c>
    </row>
    <row r="153" spans="1:10" ht="12.75">
      <c r="A153" s="9" t="s">
        <v>111</v>
      </c>
      <c r="B153" s="10"/>
      <c r="C153" s="10"/>
      <c r="D153" s="10"/>
      <c r="E153" s="10"/>
      <c r="F153" s="10"/>
      <c r="G153" s="10"/>
      <c r="H153" s="5" t="s">
        <v>9</v>
      </c>
      <c r="I153" s="14">
        <v>8.5</v>
      </c>
      <c r="J153" s="30" t="s">
        <v>10</v>
      </c>
    </row>
    <row r="154" spans="1:10" ht="12.75">
      <c r="A154" s="9" t="s">
        <v>112</v>
      </c>
      <c r="B154" s="10"/>
      <c r="C154" s="10"/>
      <c r="D154" s="10"/>
      <c r="E154" s="10"/>
      <c r="F154" s="10"/>
      <c r="G154" s="10"/>
      <c r="H154" s="5" t="s">
        <v>9</v>
      </c>
      <c r="I154" s="14">
        <v>11</v>
      </c>
      <c r="J154" s="30" t="s">
        <v>10</v>
      </c>
    </row>
    <row r="155" spans="1:10" ht="12.75">
      <c r="A155" s="9" t="s">
        <v>114</v>
      </c>
      <c r="B155" s="10"/>
      <c r="C155" s="10"/>
      <c r="D155" s="10"/>
      <c r="E155" s="10"/>
      <c r="F155" s="10"/>
      <c r="G155" s="10"/>
      <c r="H155" s="5" t="s">
        <v>9</v>
      </c>
      <c r="I155" s="14">
        <v>2.5</v>
      </c>
      <c r="J155" s="30" t="s">
        <v>10</v>
      </c>
    </row>
    <row r="156" spans="1:10" ht="12.75">
      <c r="A156" s="9" t="s">
        <v>115</v>
      </c>
      <c r="B156" s="10"/>
      <c r="C156" s="10"/>
      <c r="D156" s="10"/>
      <c r="E156" s="10"/>
      <c r="F156" s="10"/>
      <c r="G156" s="10"/>
      <c r="H156" s="5" t="s">
        <v>9</v>
      </c>
      <c r="I156" s="14">
        <v>2</v>
      </c>
      <c r="J156" s="30" t="s">
        <v>10</v>
      </c>
    </row>
    <row r="157" spans="1:10" ht="12.75">
      <c r="A157" s="9" t="s">
        <v>113</v>
      </c>
      <c r="B157" s="10"/>
      <c r="C157" s="10"/>
      <c r="D157" s="10"/>
      <c r="E157" s="10"/>
      <c r="F157" s="10"/>
      <c r="G157" s="10"/>
      <c r="H157" s="5" t="s">
        <v>9</v>
      </c>
      <c r="I157" s="14">
        <f>2*(1+6/12)</f>
        <v>3</v>
      </c>
      <c r="J157" s="30" t="s">
        <v>11</v>
      </c>
    </row>
    <row r="158" spans="1:10" ht="12">
      <c r="A158" s="8" t="s">
        <v>31</v>
      </c>
      <c r="B158" s="2"/>
      <c r="C158" s="2"/>
      <c r="D158" s="2"/>
      <c r="H158" s="5" t="s">
        <v>9</v>
      </c>
      <c r="I158" s="12">
        <f>(I152*I154*I155)+(I153*I154*I156)+(I157*I154)</f>
        <v>605</v>
      </c>
      <c r="J158" s="18" t="s">
        <v>16</v>
      </c>
    </row>
    <row r="159" spans="1:10" ht="12">
      <c r="A159" s="9"/>
      <c r="B159" s="10"/>
      <c r="C159" s="10"/>
      <c r="D159" s="10"/>
      <c r="E159" s="10"/>
      <c r="F159" s="10"/>
      <c r="G159" s="10"/>
      <c r="H159" s="10"/>
      <c r="I159" s="10"/>
      <c r="J159" s="31"/>
    </row>
    <row r="160" spans="1:10" ht="12.75">
      <c r="A160" s="15" t="s">
        <v>32</v>
      </c>
      <c r="B160" s="10"/>
      <c r="C160" s="10"/>
      <c r="D160" s="10"/>
      <c r="E160" s="10"/>
      <c r="F160" s="10"/>
      <c r="G160" s="10"/>
      <c r="H160" s="10"/>
      <c r="I160" s="10"/>
      <c r="J160" s="31"/>
    </row>
    <row r="161" spans="1:10" ht="12.75">
      <c r="A161" s="9" t="s">
        <v>110</v>
      </c>
      <c r="B161" s="10"/>
      <c r="C161" s="10"/>
      <c r="D161" s="10"/>
      <c r="E161" s="10"/>
      <c r="F161" s="10"/>
      <c r="G161" s="10"/>
      <c r="H161" s="5" t="s">
        <v>9</v>
      </c>
      <c r="I161" s="14">
        <v>14</v>
      </c>
      <c r="J161" s="30" t="s">
        <v>10</v>
      </c>
    </row>
    <row r="162" spans="1:10" ht="12.75">
      <c r="A162" s="9" t="s">
        <v>111</v>
      </c>
      <c r="B162" s="10"/>
      <c r="C162" s="10"/>
      <c r="D162" s="10"/>
      <c r="E162" s="10"/>
      <c r="F162" s="10"/>
      <c r="G162" s="10"/>
      <c r="H162" s="5" t="s">
        <v>9</v>
      </c>
      <c r="I162" s="14">
        <f>6+2</f>
        <v>8</v>
      </c>
      <c r="J162" s="30" t="s">
        <v>10</v>
      </c>
    </row>
    <row r="163" spans="1:10" ht="12.75">
      <c r="A163" s="9" t="s">
        <v>116</v>
      </c>
      <c r="B163" s="10"/>
      <c r="C163" s="10"/>
      <c r="D163" s="10"/>
      <c r="E163" s="10"/>
      <c r="F163" s="10"/>
      <c r="G163" s="10"/>
      <c r="H163" s="5" t="s">
        <v>9</v>
      </c>
      <c r="I163" s="14">
        <f>6+6/12+2</f>
        <v>8.5</v>
      </c>
      <c r="J163" s="30" t="s">
        <v>10</v>
      </c>
    </row>
    <row r="164" spans="1:10" ht="12.75">
      <c r="A164" s="9" t="s">
        <v>112</v>
      </c>
      <c r="B164" s="10"/>
      <c r="C164" s="10"/>
      <c r="D164" s="10"/>
      <c r="E164" s="10"/>
      <c r="F164" s="10"/>
      <c r="G164" s="10"/>
      <c r="H164" s="5" t="s">
        <v>9</v>
      </c>
      <c r="I164" s="14">
        <v>11</v>
      </c>
      <c r="J164" s="30" t="s">
        <v>10</v>
      </c>
    </row>
    <row r="165" spans="1:10" ht="12.75">
      <c r="A165" s="9" t="s">
        <v>114</v>
      </c>
      <c r="B165" s="10"/>
      <c r="C165" s="10"/>
      <c r="D165" s="10"/>
      <c r="E165" s="10"/>
      <c r="F165" s="10"/>
      <c r="G165" s="10"/>
      <c r="H165" s="5" t="s">
        <v>9</v>
      </c>
      <c r="I165" s="14">
        <v>2.5</v>
      </c>
      <c r="J165" s="30" t="s">
        <v>10</v>
      </c>
    </row>
    <row r="166" spans="1:10" ht="12.75">
      <c r="A166" s="9" t="s">
        <v>115</v>
      </c>
      <c r="B166" s="10"/>
      <c r="C166" s="10"/>
      <c r="D166" s="10"/>
      <c r="E166" s="10"/>
      <c r="F166" s="10"/>
      <c r="G166" s="10"/>
      <c r="H166" s="5" t="s">
        <v>9</v>
      </c>
      <c r="I166" s="14">
        <v>2</v>
      </c>
      <c r="J166" s="30" t="s">
        <v>10</v>
      </c>
    </row>
    <row r="167" spans="1:10" ht="12.75">
      <c r="A167" s="9" t="s">
        <v>117</v>
      </c>
      <c r="B167" s="10"/>
      <c r="C167" s="10"/>
      <c r="D167" s="10"/>
      <c r="E167" s="10"/>
      <c r="F167" s="10"/>
      <c r="G167" s="10"/>
      <c r="H167" s="5" t="s">
        <v>9</v>
      </c>
      <c r="I167" s="14">
        <v>2</v>
      </c>
      <c r="J167" s="30" t="s">
        <v>10</v>
      </c>
    </row>
    <row r="168" spans="1:10" ht="12.75">
      <c r="A168" s="9" t="s">
        <v>113</v>
      </c>
      <c r="B168" s="10"/>
      <c r="C168" s="10"/>
      <c r="D168" s="10"/>
      <c r="E168" s="10"/>
      <c r="F168" s="10"/>
      <c r="G168" s="10"/>
      <c r="H168" s="5" t="s">
        <v>9</v>
      </c>
      <c r="I168" s="14">
        <f>2*(1+6/12)</f>
        <v>3</v>
      </c>
      <c r="J168" s="30" t="s">
        <v>11</v>
      </c>
    </row>
    <row r="169" spans="1:10" ht="12">
      <c r="A169" s="8" t="s">
        <v>31</v>
      </c>
      <c r="B169" s="2"/>
      <c r="C169" s="2"/>
      <c r="D169" s="2"/>
      <c r="H169" s="5" t="s">
        <v>9</v>
      </c>
      <c r="I169" s="12">
        <f>(I161*I164*I165)+(I162*I164*I166)+(I163*I164*I167)+(I168*I164)</f>
        <v>781</v>
      </c>
      <c r="J169" s="18" t="s">
        <v>16</v>
      </c>
    </row>
    <row r="170" spans="1:10" ht="12">
      <c r="A170" s="9"/>
      <c r="B170" s="10"/>
      <c r="C170" s="10"/>
      <c r="D170" s="10"/>
      <c r="E170" s="10"/>
      <c r="F170" s="10"/>
      <c r="G170" s="10"/>
      <c r="H170" s="10"/>
      <c r="I170" s="10"/>
      <c r="J170" s="31"/>
    </row>
    <row r="171" spans="1:10" ht="13.5" thickBot="1">
      <c r="A171" s="17" t="s">
        <v>13</v>
      </c>
      <c r="B171" s="10"/>
      <c r="C171" s="10"/>
      <c r="D171" s="10"/>
      <c r="E171" s="10"/>
      <c r="F171" s="10"/>
      <c r="G171" s="10"/>
      <c r="H171" s="5" t="s">
        <v>9</v>
      </c>
      <c r="I171" s="13">
        <f>ROUNDUP(SUM(I158,I169)/27,0)</f>
        <v>52</v>
      </c>
      <c r="J171" s="6" t="s">
        <v>12</v>
      </c>
    </row>
    <row r="172" spans="1:10" ht="12.75" thickTop="1">
      <c r="A172" s="9"/>
      <c r="B172" s="10"/>
      <c r="C172" s="10"/>
      <c r="D172" s="10"/>
      <c r="E172" s="10"/>
      <c r="F172" s="10"/>
      <c r="G172" s="10"/>
      <c r="H172" s="10"/>
      <c r="I172" s="10"/>
      <c r="J172" s="31"/>
    </row>
    <row r="173" spans="1:10" ht="12.75">
      <c r="A173" s="11" t="s">
        <v>81</v>
      </c>
      <c r="B173" s="10"/>
      <c r="C173" s="10"/>
      <c r="D173" s="10"/>
      <c r="E173" s="10"/>
      <c r="F173" s="10"/>
      <c r="G173" s="10"/>
      <c r="H173" s="10"/>
      <c r="I173" s="10"/>
      <c r="J173" s="31"/>
    </row>
    <row r="174" spans="1:10" ht="12">
      <c r="A174" s="9"/>
      <c r="B174" s="10"/>
      <c r="C174" s="10"/>
      <c r="D174" s="10"/>
      <c r="E174" s="10"/>
      <c r="F174" s="10"/>
      <c r="G174" s="10"/>
      <c r="H174" s="10"/>
      <c r="I174" s="10"/>
      <c r="J174" s="31"/>
    </row>
    <row r="175" spans="1:10" ht="12.75">
      <c r="A175" s="15" t="s">
        <v>29</v>
      </c>
      <c r="B175" s="10"/>
      <c r="C175" s="10"/>
      <c r="D175" s="10"/>
      <c r="E175" s="10"/>
      <c r="F175" s="10"/>
      <c r="G175" s="10"/>
      <c r="H175" s="10"/>
      <c r="I175" s="10"/>
      <c r="J175" s="31"/>
    </row>
    <row r="176" spans="1:10" ht="12.75">
      <c r="A176" s="8" t="s">
        <v>119</v>
      </c>
      <c r="B176" s="2"/>
      <c r="C176" s="2"/>
      <c r="D176" s="2"/>
      <c r="H176" s="5" t="s">
        <v>9</v>
      </c>
      <c r="I176" s="14">
        <f>26+6/12</f>
        <v>26.5</v>
      </c>
      <c r="J176" s="30" t="s">
        <v>10</v>
      </c>
    </row>
    <row r="177" spans="1:10" ht="12.75">
      <c r="A177" s="8" t="s">
        <v>120</v>
      </c>
      <c r="B177" s="2"/>
      <c r="C177" s="2"/>
      <c r="D177" s="2"/>
      <c r="H177" s="5" t="s">
        <v>9</v>
      </c>
      <c r="I177" s="14">
        <f>26+6/12+6.25/12</f>
        <v>27.020833333333332</v>
      </c>
      <c r="J177" s="30" t="s">
        <v>10</v>
      </c>
    </row>
    <row r="178" spans="1:10" ht="12.75">
      <c r="A178" s="9" t="s">
        <v>14</v>
      </c>
      <c r="B178" s="10"/>
      <c r="C178" s="10"/>
      <c r="D178" s="10"/>
      <c r="E178" s="10"/>
      <c r="F178" s="10"/>
      <c r="G178" s="10"/>
      <c r="H178" s="5" t="s">
        <v>9</v>
      </c>
      <c r="I178" s="14">
        <f>1+3/12</f>
        <v>1.25</v>
      </c>
      <c r="J178" s="30" t="s">
        <v>10</v>
      </c>
    </row>
    <row r="179" spans="1:10" ht="12.75">
      <c r="A179" s="9" t="s">
        <v>121</v>
      </c>
      <c r="B179" s="10"/>
      <c r="C179" s="10"/>
      <c r="D179" s="10"/>
      <c r="E179" s="10"/>
      <c r="F179" s="10"/>
      <c r="G179" s="10"/>
      <c r="H179" s="5" t="s">
        <v>9</v>
      </c>
      <c r="I179" s="14">
        <v>0.958</v>
      </c>
      <c r="J179" s="30" t="s">
        <v>10</v>
      </c>
    </row>
    <row r="180" spans="1:10" ht="12.75">
      <c r="A180" s="9" t="s">
        <v>122</v>
      </c>
      <c r="B180" s="10"/>
      <c r="C180" s="10"/>
      <c r="D180" s="10"/>
      <c r="E180" s="10"/>
      <c r="F180" s="10"/>
      <c r="G180" s="10"/>
      <c r="H180" s="5" t="s">
        <v>9</v>
      </c>
      <c r="I180" s="14">
        <v>11.773</v>
      </c>
      <c r="J180" s="30" t="s">
        <v>10</v>
      </c>
    </row>
    <row r="181" spans="1:10" ht="12.75">
      <c r="A181" s="9" t="s">
        <v>123</v>
      </c>
      <c r="B181" s="10"/>
      <c r="C181" s="10"/>
      <c r="D181" s="10"/>
      <c r="E181" s="10"/>
      <c r="F181" s="10"/>
      <c r="G181" s="10"/>
      <c r="H181" s="5" t="s">
        <v>9</v>
      </c>
      <c r="I181" s="14">
        <v>0.5</v>
      </c>
      <c r="J181" s="30" t="s">
        <v>10</v>
      </c>
    </row>
    <row r="182" spans="1:10" ht="12">
      <c r="A182" s="8" t="s">
        <v>82</v>
      </c>
      <c r="B182" s="2"/>
      <c r="C182" s="2"/>
      <c r="D182" s="2"/>
      <c r="H182" s="5" t="s">
        <v>9</v>
      </c>
      <c r="I182" s="12">
        <f>I176*AVERAGE(I179:I180)</f>
        <v>168.68574999999998</v>
      </c>
      <c r="J182" s="18" t="s">
        <v>11</v>
      </c>
    </row>
    <row r="183" spans="1:10" ht="12">
      <c r="A183" s="8" t="s">
        <v>83</v>
      </c>
      <c r="B183" s="2"/>
      <c r="C183" s="2"/>
      <c r="D183" s="2"/>
      <c r="H183" s="5" t="s">
        <v>9</v>
      </c>
      <c r="I183" s="12">
        <f>I177*I181</f>
        <v>13.510416666666666</v>
      </c>
      <c r="J183" s="18" t="s">
        <v>11</v>
      </c>
    </row>
    <row r="184" spans="1:10" ht="12">
      <c r="A184" s="8" t="s">
        <v>84</v>
      </c>
      <c r="B184" s="2"/>
      <c r="C184" s="2"/>
      <c r="D184" s="2"/>
      <c r="H184" s="5" t="s">
        <v>9</v>
      </c>
      <c r="I184" s="12">
        <f>AVERAGE(I176:I177)*I178</f>
        <v>33.45052083333333</v>
      </c>
      <c r="J184" s="18" t="s">
        <v>11</v>
      </c>
    </row>
    <row r="185" spans="1:10" ht="12">
      <c r="A185" s="8" t="s">
        <v>85</v>
      </c>
      <c r="B185" s="2"/>
      <c r="C185" s="2"/>
      <c r="D185" s="2"/>
      <c r="H185" s="5" t="s">
        <v>9</v>
      </c>
      <c r="I185" s="12">
        <f>AVERAGE(I179,I181)*I178</f>
        <v>0.91125</v>
      </c>
      <c r="J185" s="18" t="s">
        <v>11</v>
      </c>
    </row>
    <row r="186" spans="1:10" ht="12">
      <c r="A186" s="8" t="s">
        <v>86</v>
      </c>
      <c r="B186" s="2"/>
      <c r="C186" s="2"/>
      <c r="D186" s="2"/>
      <c r="H186" s="5" t="s">
        <v>9</v>
      </c>
      <c r="I186" s="12">
        <f>SUM(I182:I185)</f>
        <v>216.55793749999998</v>
      </c>
      <c r="J186" s="18" t="s">
        <v>11</v>
      </c>
    </row>
    <row r="187" spans="1:10" ht="12">
      <c r="A187" s="9"/>
      <c r="B187" s="10"/>
      <c r="C187" s="10"/>
      <c r="D187" s="10"/>
      <c r="E187" s="10"/>
      <c r="F187" s="10"/>
      <c r="G187" s="10"/>
      <c r="H187" s="10"/>
      <c r="I187" s="10"/>
      <c r="J187" s="31"/>
    </row>
    <row r="188" spans="1:10" ht="12.75">
      <c r="A188" s="15" t="s">
        <v>33</v>
      </c>
      <c r="B188" s="10"/>
      <c r="C188" s="10"/>
      <c r="D188" s="10"/>
      <c r="E188" s="10"/>
      <c r="F188" s="10"/>
      <c r="G188" s="10"/>
      <c r="H188" s="10"/>
      <c r="I188" s="10"/>
      <c r="J188" s="31"/>
    </row>
    <row r="189" spans="1:10" ht="12.75">
      <c r="A189" s="8" t="s">
        <v>119</v>
      </c>
      <c r="B189" s="2"/>
      <c r="C189" s="2"/>
      <c r="D189" s="2"/>
      <c r="H189" s="5" t="s">
        <v>9</v>
      </c>
      <c r="I189" s="14">
        <f>20+6/12</f>
        <v>20.5</v>
      </c>
      <c r="J189" s="30" t="s">
        <v>10</v>
      </c>
    </row>
    <row r="190" spans="1:10" ht="12.75">
      <c r="A190" s="8" t="s">
        <v>120</v>
      </c>
      <c r="B190" s="2"/>
      <c r="C190" s="2"/>
      <c r="D190" s="2"/>
      <c r="H190" s="5" t="s">
        <v>9</v>
      </c>
      <c r="I190" s="14">
        <f>20+6/12+8.625/12</f>
        <v>21.21875</v>
      </c>
      <c r="J190" s="30" t="s">
        <v>10</v>
      </c>
    </row>
    <row r="191" spans="1:10" ht="12.75">
      <c r="A191" s="9" t="s">
        <v>14</v>
      </c>
      <c r="B191" s="10"/>
      <c r="C191" s="10"/>
      <c r="D191" s="10"/>
      <c r="E191" s="10"/>
      <c r="F191" s="10"/>
      <c r="G191" s="10"/>
      <c r="H191" s="5" t="s">
        <v>9</v>
      </c>
      <c r="I191" s="14">
        <f>1+3/12</f>
        <v>1.25</v>
      </c>
      <c r="J191" s="30" t="s">
        <v>10</v>
      </c>
    </row>
    <row r="192" spans="1:10" ht="12.75">
      <c r="A192" s="9" t="s">
        <v>121</v>
      </c>
      <c r="B192" s="10"/>
      <c r="C192" s="10"/>
      <c r="D192" s="10"/>
      <c r="E192" s="10"/>
      <c r="F192" s="10"/>
      <c r="G192" s="10"/>
      <c r="H192" s="5" t="s">
        <v>9</v>
      </c>
      <c r="I192" s="14">
        <v>1.046</v>
      </c>
      <c r="J192" s="30" t="s">
        <v>10</v>
      </c>
    </row>
    <row r="193" spans="1:10" ht="12.75">
      <c r="A193" s="9" t="s">
        <v>122</v>
      </c>
      <c r="B193" s="10"/>
      <c r="C193" s="10"/>
      <c r="D193" s="10"/>
      <c r="E193" s="10"/>
      <c r="F193" s="10"/>
      <c r="G193" s="10"/>
      <c r="H193" s="5" t="s">
        <v>9</v>
      </c>
      <c r="I193" s="14">
        <v>11.812</v>
      </c>
      <c r="J193" s="30" t="s">
        <v>10</v>
      </c>
    </row>
    <row r="194" spans="1:10" ht="12.75">
      <c r="A194" s="9" t="s">
        <v>123</v>
      </c>
      <c r="B194" s="10"/>
      <c r="C194" s="10"/>
      <c r="D194" s="10"/>
      <c r="E194" s="10"/>
      <c r="F194" s="10"/>
      <c r="G194" s="10"/>
      <c r="H194" s="5" t="s">
        <v>9</v>
      </c>
      <c r="I194" s="14">
        <v>0.5</v>
      </c>
      <c r="J194" s="30" t="s">
        <v>10</v>
      </c>
    </row>
    <row r="195" spans="1:10" ht="12">
      <c r="A195" s="8" t="s">
        <v>82</v>
      </c>
      <c r="B195" s="2"/>
      <c r="C195" s="2"/>
      <c r="D195" s="2"/>
      <c r="H195" s="5" t="s">
        <v>9</v>
      </c>
      <c r="I195" s="12">
        <f>I189*AVERAGE(I192:I193)</f>
        <v>131.7945</v>
      </c>
      <c r="J195" s="18" t="s">
        <v>11</v>
      </c>
    </row>
    <row r="196" spans="1:10" ht="12">
      <c r="A196" s="8" t="s">
        <v>83</v>
      </c>
      <c r="B196" s="2"/>
      <c r="C196" s="2"/>
      <c r="D196" s="2"/>
      <c r="H196" s="5" t="s">
        <v>9</v>
      </c>
      <c r="I196" s="12">
        <f>I190*I194</f>
        <v>10.609375</v>
      </c>
      <c r="J196" s="18" t="s">
        <v>11</v>
      </c>
    </row>
    <row r="197" spans="1:10" ht="12">
      <c r="A197" s="8" t="s">
        <v>84</v>
      </c>
      <c r="B197" s="2"/>
      <c r="C197" s="2"/>
      <c r="D197" s="2"/>
      <c r="H197" s="5" t="s">
        <v>9</v>
      </c>
      <c r="I197" s="12">
        <f>AVERAGE(I189:I190)*I191</f>
        <v>26.07421875</v>
      </c>
      <c r="J197" s="18" t="s">
        <v>11</v>
      </c>
    </row>
    <row r="198" spans="1:10" ht="12">
      <c r="A198" s="8" t="s">
        <v>85</v>
      </c>
      <c r="B198" s="2"/>
      <c r="C198" s="2"/>
      <c r="D198" s="2"/>
      <c r="H198" s="5" t="s">
        <v>9</v>
      </c>
      <c r="I198" s="12">
        <f>AVERAGE(I192,I194)*I191</f>
        <v>0.96625</v>
      </c>
      <c r="J198" s="18" t="s">
        <v>11</v>
      </c>
    </row>
    <row r="199" spans="1:10" ht="12">
      <c r="A199" s="8" t="s">
        <v>86</v>
      </c>
      <c r="B199" s="2"/>
      <c r="C199" s="2"/>
      <c r="D199" s="2"/>
      <c r="H199" s="5" t="s">
        <v>9</v>
      </c>
      <c r="I199" s="12">
        <f>SUM(I195:I198)</f>
        <v>169.44434375</v>
      </c>
      <c r="J199" s="18" t="s">
        <v>11</v>
      </c>
    </row>
    <row r="200" spans="1:10" ht="12">
      <c r="A200" s="9"/>
      <c r="B200" s="10"/>
      <c r="C200" s="10"/>
      <c r="D200" s="10"/>
      <c r="E200" s="10"/>
      <c r="F200" s="10"/>
      <c r="G200" s="10"/>
      <c r="H200" s="10"/>
      <c r="I200" s="10"/>
      <c r="J200" s="31"/>
    </row>
    <row r="201" spans="1:10" ht="12.75">
      <c r="A201" s="15" t="s">
        <v>35</v>
      </c>
      <c r="B201" s="10"/>
      <c r="C201" s="10"/>
      <c r="D201" s="10"/>
      <c r="E201" s="10"/>
      <c r="F201" s="10"/>
      <c r="G201" s="10"/>
      <c r="H201" s="10"/>
      <c r="I201" s="10"/>
      <c r="J201" s="31"/>
    </row>
    <row r="202" spans="1:10" ht="12.75">
      <c r="A202" s="8" t="s">
        <v>119</v>
      </c>
      <c r="B202" s="2"/>
      <c r="C202" s="2"/>
      <c r="D202" s="2"/>
      <c r="H202" s="5" t="s">
        <v>9</v>
      </c>
      <c r="I202" s="14">
        <f>16+10.25/12</f>
        <v>16.854166666666668</v>
      </c>
      <c r="J202" s="30" t="s">
        <v>10</v>
      </c>
    </row>
    <row r="203" spans="1:10" ht="12.75">
      <c r="A203" s="8" t="s">
        <v>120</v>
      </c>
      <c r="B203" s="2"/>
      <c r="C203" s="2"/>
      <c r="D203" s="2"/>
      <c r="H203" s="5" t="s">
        <v>9</v>
      </c>
      <c r="I203" s="14">
        <f>18+1.125/12</f>
        <v>18.09375</v>
      </c>
      <c r="J203" s="30" t="s">
        <v>10</v>
      </c>
    </row>
    <row r="204" spans="1:10" ht="12.75">
      <c r="A204" s="9" t="s">
        <v>14</v>
      </c>
      <c r="B204" s="10"/>
      <c r="C204" s="10"/>
      <c r="D204" s="10"/>
      <c r="E204" s="10"/>
      <c r="F204" s="10"/>
      <c r="G204" s="10"/>
      <c r="H204" s="5" t="s">
        <v>9</v>
      </c>
      <c r="I204" s="14">
        <f>1+3/12</f>
        <v>1.25</v>
      </c>
      <c r="J204" s="30" t="s">
        <v>10</v>
      </c>
    </row>
    <row r="205" spans="1:10" ht="12.75">
      <c r="A205" s="9" t="s">
        <v>123</v>
      </c>
      <c r="B205" s="10"/>
      <c r="C205" s="10"/>
      <c r="D205" s="10"/>
      <c r="E205" s="10"/>
      <c r="F205" s="10"/>
      <c r="G205" s="10"/>
      <c r="H205" s="5" t="s">
        <v>9</v>
      </c>
      <c r="I205" s="14">
        <v>0.5</v>
      </c>
      <c r="J205" s="30" t="s">
        <v>10</v>
      </c>
    </row>
    <row r="206" spans="1:10" ht="12.75">
      <c r="A206" s="8" t="s">
        <v>64</v>
      </c>
      <c r="B206" s="2"/>
      <c r="C206" s="2"/>
      <c r="D206" s="2"/>
      <c r="H206" s="5" t="s">
        <v>9</v>
      </c>
      <c r="I206" s="14">
        <v>103.501</v>
      </c>
      <c r="J206" s="30" t="s">
        <v>11</v>
      </c>
    </row>
    <row r="207" spans="1:10" ht="12">
      <c r="A207" s="8" t="s">
        <v>83</v>
      </c>
      <c r="B207" s="2"/>
      <c r="C207" s="2"/>
      <c r="D207" s="2"/>
      <c r="H207" s="5" t="s">
        <v>9</v>
      </c>
      <c r="I207" s="12">
        <f>I203*I205</f>
        <v>9.046875</v>
      </c>
      <c r="J207" s="18" t="s">
        <v>11</v>
      </c>
    </row>
    <row r="208" spans="1:10" ht="12">
      <c r="A208" s="8" t="s">
        <v>84</v>
      </c>
      <c r="B208" s="2"/>
      <c r="C208" s="2"/>
      <c r="D208" s="2"/>
      <c r="H208" s="5" t="s">
        <v>9</v>
      </c>
      <c r="I208" s="12">
        <f>AVERAGE(I202:I203)*I204</f>
        <v>21.84244791666667</v>
      </c>
      <c r="J208" s="18" t="s">
        <v>11</v>
      </c>
    </row>
    <row r="209" spans="1:10" ht="12">
      <c r="A209" s="8" t="s">
        <v>86</v>
      </c>
      <c r="B209" s="2"/>
      <c r="C209" s="2"/>
      <c r="D209" s="2"/>
      <c r="H209" s="5" t="s">
        <v>9</v>
      </c>
      <c r="I209" s="12">
        <f>SUM(I206:I208)</f>
        <v>134.39032291666666</v>
      </c>
      <c r="J209" s="18" t="s">
        <v>11</v>
      </c>
    </row>
    <row r="210" spans="1:10" ht="12">
      <c r="A210" s="9"/>
      <c r="B210" s="10"/>
      <c r="C210" s="10"/>
      <c r="D210" s="10"/>
      <c r="E210" s="10"/>
      <c r="F210" s="10"/>
      <c r="G210" s="10"/>
      <c r="H210" s="10"/>
      <c r="I210" s="10"/>
      <c r="J210" s="31"/>
    </row>
    <row r="211" spans="1:10" ht="13.5" thickBot="1">
      <c r="A211" s="17" t="s">
        <v>13</v>
      </c>
      <c r="B211" s="10"/>
      <c r="C211" s="10"/>
      <c r="D211" s="10"/>
      <c r="E211" s="10"/>
      <c r="F211" s="10"/>
      <c r="G211" s="10"/>
      <c r="H211" s="5" t="s">
        <v>9</v>
      </c>
      <c r="I211" s="13">
        <f>ROUNDUP(SUM(I186,I199,I209)/9,0)</f>
        <v>58</v>
      </c>
      <c r="J211" s="6" t="s">
        <v>87</v>
      </c>
    </row>
    <row r="212" spans="1:10" ht="12.75" thickTop="1">
      <c r="A212" s="9"/>
      <c r="B212" s="10"/>
      <c r="C212" s="10"/>
      <c r="D212" s="10"/>
      <c r="E212" s="10"/>
      <c r="F212" s="10"/>
      <c r="G212" s="10"/>
      <c r="H212" s="10"/>
      <c r="I212" s="10"/>
      <c r="J212" s="31"/>
    </row>
    <row r="213" spans="1:10" ht="12.75">
      <c r="A213" s="11" t="s">
        <v>88</v>
      </c>
      <c r="B213" s="10"/>
      <c r="C213" s="10"/>
      <c r="D213" s="10"/>
      <c r="E213" s="10"/>
      <c r="F213" s="10"/>
      <c r="G213" s="10"/>
      <c r="H213" s="10"/>
      <c r="I213" s="10"/>
      <c r="J213" s="31"/>
    </row>
    <row r="214" spans="1:10" ht="12">
      <c r="A214" s="9"/>
      <c r="B214" s="10"/>
      <c r="C214" s="10"/>
      <c r="D214" s="10"/>
      <c r="E214" s="10"/>
      <c r="F214" s="10"/>
      <c r="G214" s="10"/>
      <c r="H214" s="10"/>
      <c r="I214" s="10"/>
      <c r="J214" s="31"/>
    </row>
    <row r="215" spans="1:10" ht="12.75">
      <c r="A215" s="15" t="s">
        <v>89</v>
      </c>
      <c r="B215" s="10"/>
      <c r="C215" s="10"/>
      <c r="D215" s="10"/>
      <c r="E215" s="10"/>
      <c r="F215" s="10"/>
      <c r="G215" s="10"/>
      <c r="H215" s="10"/>
      <c r="I215" s="10"/>
      <c r="J215" s="31"/>
    </row>
    <row r="216" spans="1:10" ht="12.75">
      <c r="A216" s="8" t="s">
        <v>20</v>
      </c>
      <c r="B216" s="2"/>
      <c r="C216" s="2"/>
      <c r="D216" s="2"/>
      <c r="H216" s="5" t="s">
        <v>9</v>
      </c>
      <c r="I216" s="14">
        <v>25.918</v>
      </c>
      <c r="J216" s="18" t="s">
        <v>10</v>
      </c>
    </row>
    <row r="217" spans="1:10" ht="12.75">
      <c r="A217" s="9" t="s">
        <v>14</v>
      </c>
      <c r="B217" s="10"/>
      <c r="C217" s="10"/>
      <c r="D217" s="10"/>
      <c r="E217" s="10"/>
      <c r="F217" s="10"/>
      <c r="G217" s="10"/>
      <c r="H217" s="5" t="s">
        <v>9</v>
      </c>
      <c r="I217" s="14">
        <v>3</v>
      </c>
      <c r="J217" s="30" t="s">
        <v>10</v>
      </c>
    </row>
    <row r="218" spans="1:10" ht="12">
      <c r="A218" s="8" t="s">
        <v>90</v>
      </c>
      <c r="B218" s="2"/>
      <c r="C218" s="2"/>
      <c r="D218" s="2"/>
      <c r="H218" s="5" t="s">
        <v>9</v>
      </c>
      <c r="I218" s="12">
        <f>I216*I217</f>
        <v>77.75399999999999</v>
      </c>
      <c r="J218" s="18" t="s">
        <v>11</v>
      </c>
    </row>
    <row r="219" spans="1:10" ht="12">
      <c r="A219" s="9"/>
      <c r="B219" s="10"/>
      <c r="C219" s="10"/>
      <c r="D219" s="10"/>
      <c r="E219" s="10"/>
      <c r="F219" s="10"/>
      <c r="G219" s="10"/>
      <c r="H219" s="10"/>
      <c r="I219" s="10"/>
      <c r="J219" s="31"/>
    </row>
    <row r="220" spans="1:10" ht="13.5" thickBot="1">
      <c r="A220" s="17" t="s">
        <v>13</v>
      </c>
      <c r="B220" s="10"/>
      <c r="C220" s="10"/>
      <c r="D220" s="10"/>
      <c r="E220" s="10"/>
      <c r="F220" s="10"/>
      <c r="G220" s="10"/>
      <c r="H220" s="5" t="s">
        <v>9</v>
      </c>
      <c r="I220" s="13">
        <f>ROUNDUP(SUM(I218)/9,0)</f>
        <v>9</v>
      </c>
      <c r="J220" s="6" t="s">
        <v>87</v>
      </c>
    </row>
    <row r="221" spans="1:10" ht="12.75" thickTop="1">
      <c r="A221" s="9"/>
      <c r="B221" s="10"/>
      <c r="C221" s="10"/>
      <c r="D221" s="10"/>
      <c r="E221" s="10"/>
      <c r="F221" s="10"/>
      <c r="G221" s="10"/>
      <c r="H221" s="10"/>
      <c r="I221" s="10"/>
      <c r="J221" s="31"/>
    </row>
    <row r="222" spans="1:10" ht="12.75">
      <c r="A222" s="11" t="s">
        <v>26</v>
      </c>
      <c r="B222" s="10"/>
      <c r="C222" s="10"/>
      <c r="D222" s="10"/>
      <c r="E222" s="10"/>
      <c r="F222" s="10"/>
      <c r="G222" s="10"/>
      <c r="H222" s="10"/>
      <c r="I222" s="10"/>
      <c r="J222" s="31"/>
    </row>
    <row r="223" spans="1:10" ht="12">
      <c r="A223" s="9"/>
      <c r="B223" s="10"/>
      <c r="C223" s="10"/>
      <c r="D223" s="10"/>
      <c r="E223" s="10"/>
      <c r="F223" s="10"/>
      <c r="G223" s="10"/>
      <c r="H223" s="10"/>
      <c r="I223" s="10"/>
      <c r="J223" s="31"/>
    </row>
    <row r="224" spans="1:10" ht="12.75">
      <c r="A224" s="15" t="s">
        <v>29</v>
      </c>
      <c r="B224" s="10"/>
      <c r="C224" s="10"/>
      <c r="D224" s="10"/>
      <c r="E224" s="10"/>
      <c r="F224" s="10"/>
      <c r="G224" s="10"/>
      <c r="H224" s="10"/>
      <c r="I224" s="10"/>
      <c r="J224" s="31"/>
    </row>
    <row r="225" spans="1:10" ht="12.75">
      <c r="A225" s="9" t="s">
        <v>18</v>
      </c>
      <c r="B225" s="10"/>
      <c r="C225" s="10"/>
      <c r="D225" s="10"/>
      <c r="E225" s="10"/>
      <c r="F225" s="10"/>
      <c r="G225" s="10"/>
      <c r="H225" s="5" t="s">
        <v>9</v>
      </c>
      <c r="I225" s="14">
        <v>44.7528</v>
      </c>
      <c r="J225" s="30" t="s">
        <v>11</v>
      </c>
    </row>
    <row r="226" spans="1:10" ht="12">
      <c r="A226" s="9" t="s">
        <v>30</v>
      </c>
      <c r="B226" s="10"/>
      <c r="C226" s="10"/>
      <c r="D226" s="10"/>
      <c r="E226" s="10"/>
      <c r="F226" s="10"/>
      <c r="G226" s="10"/>
      <c r="H226" s="5" t="s">
        <v>9</v>
      </c>
      <c r="I226" s="12">
        <f>AVERAGE(I179:I180)-1-6/12</f>
        <v>4.8655</v>
      </c>
      <c r="J226" s="18" t="s">
        <v>10</v>
      </c>
    </row>
    <row r="227" spans="1:10" ht="12">
      <c r="A227" s="8" t="s">
        <v>31</v>
      </c>
      <c r="B227" s="2"/>
      <c r="C227" s="2"/>
      <c r="D227" s="2"/>
      <c r="H227" s="5" t="s">
        <v>9</v>
      </c>
      <c r="I227" s="12">
        <f>I225*I226</f>
        <v>217.7447484</v>
      </c>
      <c r="J227" s="18" t="s">
        <v>16</v>
      </c>
    </row>
    <row r="228" spans="1:10" ht="12">
      <c r="A228" s="9"/>
      <c r="B228" s="10"/>
      <c r="C228" s="10"/>
      <c r="D228" s="10"/>
      <c r="E228" s="10"/>
      <c r="F228" s="10"/>
      <c r="G228" s="10"/>
      <c r="H228" s="10"/>
      <c r="I228" s="10"/>
      <c r="J228" s="31"/>
    </row>
    <row r="229" spans="1:10" ht="12.75">
      <c r="A229" s="15" t="s">
        <v>33</v>
      </c>
      <c r="B229" s="10"/>
      <c r="C229" s="10"/>
      <c r="D229" s="10"/>
      <c r="E229" s="10"/>
      <c r="F229" s="10"/>
      <c r="G229" s="10"/>
      <c r="H229" s="10"/>
      <c r="I229" s="10"/>
      <c r="J229" s="31"/>
    </row>
    <row r="230" spans="1:10" ht="12.75">
      <c r="A230" s="9" t="s">
        <v>18</v>
      </c>
      <c r="B230" s="10"/>
      <c r="C230" s="10"/>
      <c r="D230" s="10"/>
      <c r="E230" s="10"/>
      <c r="F230" s="10"/>
      <c r="G230" s="10"/>
      <c r="H230" s="5" t="s">
        <v>9</v>
      </c>
      <c r="I230" s="14">
        <v>55.6924</v>
      </c>
      <c r="J230" s="30" t="s">
        <v>11</v>
      </c>
    </row>
    <row r="231" spans="1:10" ht="12">
      <c r="A231" s="9" t="s">
        <v>30</v>
      </c>
      <c r="B231" s="10"/>
      <c r="C231" s="10"/>
      <c r="D231" s="10"/>
      <c r="E231" s="10"/>
      <c r="F231" s="10"/>
      <c r="G231" s="10"/>
      <c r="H231" s="5" t="s">
        <v>9</v>
      </c>
      <c r="I231" s="12">
        <f>AVERAGE(I192:I193)-1-6/12</f>
        <v>4.928999999999999</v>
      </c>
      <c r="J231" s="18" t="s">
        <v>10</v>
      </c>
    </row>
    <row r="232" spans="1:10" ht="12">
      <c r="A232" s="8" t="str">
        <f>A227</f>
        <v>Volume</v>
      </c>
      <c r="B232" s="2"/>
      <c r="C232" s="2"/>
      <c r="D232" s="2"/>
      <c r="H232" s="5" t="s">
        <v>9</v>
      </c>
      <c r="I232" s="12">
        <f>I230*I231</f>
        <v>274.50783959999995</v>
      </c>
      <c r="J232" s="18" t="s">
        <v>16</v>
      </c>
    </row>
    <row r="233" spans="1:10" ht="12">
      <c r="A233" s="9"/>
      <c r="B233" s="10"/>
      <c r="C233" s="10"/>
      <c r="D233" s="10"/>
      <c r="E233" s="10"/>
      <c r="F233" s="10"/>
      <c r="G233" s="10"/>
      <c r="H233" s="10"/>
      <c r="I233" s="10"/>
      <c r="J233" s="31"/>
    </row>
    <row r="234" spans="1:10" ht="12.75">
      <c r="A234" s="15" t="s">
        <v>35</v>
      </c>
      <c r="B234" s="10"/>
      <c r="C234" s="10"/>
      <c r="D234" s="10"/>
      <c r="E234" s="10"/>
      <c r="F234" s="10"/>
      <c r="G234" s="10"/>
      <c r="H234" s="10"/>
      <c r="I234" s="10"/>
      <c r="J234" s="31"/>
    </row>
    <row r="235" spans="1:10" ht="12.75">
      <c r="A235" s="8" t="s">
        <v>66</v>
      </c>
      <c r="B235" s="2"/>
      <c r="C235" s="2"/>
      <c r="D235" s="2"/>
      <c r="H235" s="5" t="s">
        <v>9</v>
      </c>
      <c r="I235" s="14">
        <v>92.106</v>
      </c>
      <c r="J235" s="30" t="s">
        <v>11</v>
      </c>
    </row>
    <row r="236" spans="1:10" ht="12.75">
      <c r="A236" s="9" t="s">
        <v>65</v>
      </c>
      <c r="B236" s="10"/>
      <c r="C236" s="10"/>
      <c r="D236" s="10"/>
      <c r="E236" s="10"/>
      <c r="F236" s="10"/>
      <c r="G236" s="10"/>
      <c r="H236" s="5" t="s">
        <v>9</v>
      </c>
      <c r="I236" s="14">
        <v>2</v>
      </c>
      <c r="J236" s="18" t="s">
        <v>10</v>
      </c>
    </row>
    <row r="237" spans="1:10" ht="12">
      <c r="A237" s="8" t="s">
        <v>31</v>
      </c>
      <c r="B237" s="2"/>
      <c r="C237" s="2"/>
      <c r="D237" s="2"/>
      <c r="H237" s="5" t="s">
        <v>9</v>
      </c>
      <c r="I237" s="12">
        <f>I235*I236</f>
        <v>184.212</v>
      </c>
      <c r="J237" s="18" t="s">
        <v>16</v>
      </c>
    </row>
    <row r="238" spans="1:10" ht="12">
      <c r="A238" s="9"/>
      <c r="B238" s="10"/>
      <c r="C238" s="10"/>
      <c r="D238" s="10"/>
      <c r="E238" s="10"/>
      <c r="F238" s="10"/>
      <c r="G238" s="10"/>
      <c r="H238" s="10"/>
      <c r="I238" s="10"/>
      <c r="J238" s="31"/>
    </row>
    <row r="239" spans="1:10" ht="13.5" thickBot="1">
      <c r="A239" s="17" t="s">
        <v>13</v>
      </c>
      <c r="B239" s="10"/>
      <c r="C239" s="10"/>
      <c r="D239" s="10"/>
      <c r="E239" s="10"/>
      <c r="F239" s="10"/>
      <c r="G239" s="10"/>
      <c r="H239" s="5" t="s">
        <v>9</v>
      </c>
      <c r="I239" s="13">
        <f>ROUNDUP(SUM(I227,I232,I237)/27,0)</f>
        <v>26</v>
      </c>
      <c r="J239" s="6" t="s">
        <v>12</v>
      </c>
    </row>
    <row r="240" ht="12.75" thickTop="1">
      <c r="J240" s="16"/>
    </row>
    <row r="241" spans="1:10" ht="12.75">
      <c r="A241" s="11" t="s">
        <v>128</v>
      </c>
      <c r="B241" s="10"/>
      <c r="C241" s="10"/>
      <c r="D241" s="10"/>
      <c r="E241" s="10"/>
      <c r="F241" s="10"/>
      <c r="G241" s="10"/>
      <c r="H241" s="10"/>
      <c r="I241" s="10"/>
      <c r="J241" s="31"/>
    </row>
    <row r="242" spans="1:10" ht="12">
      <c r="A242" s="9"/>
      <c r="B242" s="10"/>
      <c r="C242" s="10"/>
      <c r="D242" s="10"/>
      <c r="E242" s="10"/>
      <c r="F242" s="10"/>
      <c r="G242" s="10"/>
      <c r="H242" s="10"/>
      <c r="I242" s="10"/>
      <c r="J242" s="31"/>
    </row>
    <row r="243" spans="1:10" ht="12">
      <c r="A243" s="9" t="s">
        <v>67</v>
      </c>
      <c r="B243" s="10"/>
      <c r="C243" s="10"/>
      <c r="D243" s="10"/>
      <c r="E243" s="10"/>
      <c r="F243" s="10"/>
      <c r="G243" s="10"/>
      <c r="H243" s="10"/>
      <c r="I243" s="10"/>
      <c r="J243" s="31"/>
    </row>
    <row r="244" spans="1:10" ht="12.75">
      <c r="A244" s="15" t="s">
        <v>29</v>
      </c>
      <c r="B244" s="10"/>
      <c r="C244" s="10"/>
      <c r="D244" s="10"/>
      <c r="E244" s="10"/>
      <c r="F244" s="10"/>
      <c r="G244" s="10"/>
      <c r="H244" s="10"/>
      <c r="I244" s="10"/>
      <c r="J244" s="31"/>
    </row>
    <row r="245" spans="1:10" ht="12.75">
      <c r="A245" s="8" t="s">
        <v>18</v>
      </c>
      <c r="B245" s="2"/>
      <c r="C245" s="2"/>
      <c r="D245" s="2"/>
      <c r="H245" s="5" t="s">
        <v>9</v>
      </c>
      <c r="I245" s="14">
        <v>467.937</v>
      </c>
      <c r="J245" s="18" t="s">
        <v>11</v>
      </c>
    </row>
    <row r="246" spans="1:10" ht="12.75">
      <c r="A246" s="8" t="s">
        <v>19</v>
      </c>
      <c r="B246" s="2"/>
      <c r="C246" s="2"/>
      <c r="D246" s="2"/>
      <c r="H246" s="5" t="s">
        <v>9</v>
      </c>
      <c r="I246" s="14">
        <v>3</v>
      </c>
      <c r="J246" s="18" t="s">
        <v>10</v>
      </c>
    </row>
    <row r="247" spans="1:10" ht="12">
      <c r="A247" s="8" t="s">
        <v>31</v>
      </c>
      <c r="B247" s="2"/>
      <c r="C247" s="2"/>
      <c r="D247" s="2"/>
      <c r="H247" s="5" t="s">
        <v>9</v>
      </c>
      <c r="I247" s="12">
        <f>I245*I246</f>
        <v>1403.8110000000001</v>
      </c>
      <c r="J247" s="18" t="s">
        <v>16</v>
      </c>
    </row>
    <row r="248" spans="1:10" ht="12">
      <c r="A248" s="9"/>
      <c r="B248" s="10"/>
      <c r="C248" s="10"/>
      <c r="D248" s="10"/>
      <c r="E248" s="10"/>
      <c r="F248" s="10"/>
      <c r="G248" s="10"/>
      <c r="H248" s="10"/>
      <c r="I248" s="10"/>
      <c r="J248" s="31"/>
    </row>
    <row r="249" spans="1:10" ht="12.75">
      <c r="A249" s="15" t="s">
        <v>33</v>
      </c>
      <c r="B249" s="10"/>
      <c r="C249" s="10"/>
      <c r="D249" s="10"/>
      <c r="E249" s="10"/>
      <c r="F249" s="10"/>
      <c r="G249" s="10"/>
      <c r="H249" s="10"/>
      <c r="I249" s="10"/>
      <c r="J249" s="31"/>
    </row>
    <row r="250" spans="1:10" ht="12.75">
      <c r="A250" s="8" t="s">
        <v>18</v>
      </c>
      <c r="B250" s="2"/>
      <c r="C250" s="2"/>
      <c r="D250" s="2"/>
      <c r="H250" s="5" t="s">
        <v>9</v>
      </c>
      <c r="I250" s="14">
        <v>400.797</v>
      </c>
      <c r="J250" s="18" t="s">
        <v>11</v>
      </c>
    </row>
    <row r="251" spans="1:10" ht="12.75">
      <c r="A251" s="8" t="s">
        <v>19</v>
      </c>
      <c r="B251" s="2"/>
      <c r="C251" s="2"/>
      <c r="D251" s="2"/>
      <c r="H251" s="5" t="s">
        <v>9</v>
      </c>
      <c r="I251" s="14">
        <v>3</v>
      </c>
      <c r="J251" s="18" t="s">
        <v>10</v>
      </c>
    </row>
    <row r="252" spans="1:10" ht="12">
      <c r="A252" s="8" t="s">
        <v>31</v>
      </c>
      <c r="B252" s="2"/>
      <c r="C252" s="2"/>
      <c r="D252" s="2"/>
      <c r="H252" s="5" t="s">
        <v>9</v>
      </c>
      <c r="I252" s="12">
        <f>I250*I251</f>
        <v>1202.391</v>
      </c>
      <c r="J252" s="18" t="s">
        <v>16</v>
      </c>
    </row>
    <row r="253" spans="1:10" ht="12">
      <c r="A253" s="9"/>
      <c r="B253" s="10"/>
      <c r="C253" s="10"/>
      <c r="D253" s="10"/>
      <c r="E253" s="10"/>
      <c r="F253" s="10"/>
      <c r="G253" s="10"/>
      <c r="H253" s="10"/>
      <c r="I253" s="10"/>
      <c r="J253" s="31"/>
    </row>
    <row r="254" spans="1:10" ht="13.5" thickBot="1">
      <c r="A254" s="17" t="s">
        <v>13</v>
      </c>
      <c r="B254" s="10"/>
      <c r="C254" s="10"/>
      <c r="D254" s="10"/>
      <c r="E254" s="10"/>
      <c r="F254" s="10"/>
      <c r="G254" s="10"/>
      <c r="H254" s="5" t="s">
        <v>9</v>
      </c>
      <c r="I254" s="13">
        <f>ROUNDUP(SUM(I247,I252)/27,0)</f>
        <v>97</v>
      </c>
      <c r="J254" s="6" t="s">
        <v>12</v>
      </c>
    </row>
    <row r="255" ht="12.75" thickTop="1"/>
  </sheetData>
  <sheetProtection/>
  <mergeCells count="11">
    <mergeCell ref="F3:H3"/>
    <mergeCell ref="D4:E4"/>
    <mergeCell ref="F4:H4"/>
    <mergeCell ref="D5:E5"/>
    <mergeCell ref="F5:J5"/>
    <mergeCell ref="D1:E1"/>
    <mergeCell ref="F1:G1"/>
    <mergeCell ref="I1:J1"/>
    <mergeCell ref="D2:E2"/>
    <mergeCell ref="F2:H2"/>
    <mergeCell ref="D3:E3"/>
  </mergeCells>
  <printOptions horizontalCentered="1"/>
  <pageMargins left="0.75" right="0.25" top="0.25" bottom="0.25" header="0.43" footer="0.35"/>
  <pageSetup horizontalDpi="600" verticalDpi="600" orientation="portrait" r:id="rId2"/>
  <headerFooter alignWithMargins="0">
    <oddHeader>&amp;C                                                             &amp;P&amp;R&amp;N</oddHeader>
  </headerFooter>
  <rowBreaks count="3" manualBreakCount="3">
    <brk id="60" max="9" man="1"/>
    <brk id="148" max="9" man="1"/>
    <brk id="200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7"/>
  <sheetViews>
    <sheetView showGridLines="0" view="pageBreakPreview" zoomScaleSheetLayoutView="100" zoomScalePageLayoutView="0" workbookViewId="0" topLeftCell="A88">
      <selection activeCell="N22" sqref="N22:N23"/>
    </sheetView>
  </sheetViews>
  <sheetFormatPr defaultColWidth="9.140625" defaultRowHeight="12.75"/>
  <cols>
    <col min="1" max="10" width="9.7109375" style="0" customWidth="1"/>
    <col min="11" max="11" width="9.140625" style="16" customWidth="1"/>
  </cols>
  <sheetData>
    <row r="1" spans="1:10" ht="12.75" customHeight="1">
      <c r="A1" s="2"/>
      <c r="B1" s="2"/>
      <c r="C1" s="2"/>
      <c r="D1" s="67" t="s">
        <v>0</v>
      </c>
      <c r="E1" s="67"/>
      <c r="F1" s="68">
        <v>121021</v>
      </c>
      <c r="G1" s="68"/>
      <c r="H1" s="2" t="s">
        <v>1</v>
      </c>
      <c r="I1" s="70" t="s">
        <v>24</v>
      </c>
      <c r="J1" s="70"/>
    </row>
    <row r="2" spans="1:10" ht="12.75" customHeight="1">
      <c r="A2" s="2"/>
      <c r="B2" s="2"/>
      <c r="C2" s="2"/>
      <c r="D2" s="67" t="s">
        <v>2</v>
      </c>
      <c r="E2" s="67"/>
      <c r="F2" s="71"/>
      <c r="G2" s="69"/>
      <c r="H2" s="69"/>
      <c r="I2" s="1" t="s">
        <v>4</v>
      </c>
      <c r="J2" s="3" t="s">
        <v>3</v>
      </c>
    </row>
    <row r="3" spans="1:10" ht="12.75" customHeight="1">
      <c r="A3" s="2"/>
      <c r="B3" s="2"/>
      <c r="C3" s="2"/>
      <c r="D3" s="67" t="s">
        <v>5</v>
      </c>
      <c r="E3" s="67"/>
      <c r="F3" s="68" t="s">
        <v>22</v>
      </c>
      <c r="G3" s="69"/>
      <c r="H3" s="69"/>
      <c r="I3" s="1" t="s">
        <v>6</v>
      </c>
      <c r="J3" s="4">
        <v>43866</v>
      </c>
    </row>
    <row r="4" spans="1:10" ht="12.75" customHeight="1">
      <c r="A4" s="2"/>
      <c r="B4" s="2"/>
      <c r="C4" s="2"/>
      <c r="D4" s="67" t="s">
        <v>7</v>
      </c>
      <c r="E4" s="67"/>
      <c r="F4" s="68" t="s">
        <v>134</v>
      </c>
      <c r="G4" s="69"/>
      <c r="H4" s="69"/>
      <c r="I4" s="1" t="s">
        <v>6</v>
      </c>
      <c r="J4" s="4">
        <v>44019</v>
      </c>
    </row>
    <row r="5" spans="1:10" ht="12.75" customHeight="1">
      <c r="A5" s="2"/>
      <c r="B5" s="2"/>
      <c r="C5" s="2"/>
      <c r="D5" s="67" t="s">
        <v>8</v>
      </c>
      <c r="E5" s="67"/>
      <c r="F5" s="68" t="s">
        <v>36</v>
      </c>
      <c r="G5" s="68"/>
      <c r="H5" s="68"/>
      <c r="I5" s="68"/>
      <c r="J5" s="68"/>
    </row>
    <row r="6" spans="1:4" ht="12.75" customHeight="1">
      <c r="A6" s="2"/>
      <c r="B6" s="2"/>
      <c r="C6" s="2"/>
      <c r="D6" s="2"/>
    </row>
    <row r="7" spans="1:4" ht="12.75" customHeight="1">
      <c r="A7" s="2"/>
      <c r="B7" s="2"/>
      <c r="C7" s="2"/>
      <c r="D7" s="2"/>
    </row>
    <row r="8" spans="1:10" ht="12.75" customHeight="1">
      <c r="A8" s="11" t="s">
        <v>28</v>
      </c>
      <c r="B8" s="10"/>
      <c r="C8" s="10"/>
      <c r="D8" s="10"/>
      <c r="E8" s="10"/>
      <c r="F8" s="10"/>
      <c r="G8" s="10"/>
      <c r="H8" s="10"/>
      <c r="I8" s="10"/>
      <c r="J8" s="31"/>
    </row>
    <row r="9" spans="1:10" ht="12.75" customHeight="1">
      <c r="A9" s="9"/>
      <c r="B9" s="10"/>
      <c r="C9" s="10"/>
      <c r="D9" s="10"/>
      <c r="E9" s="10"/>
      <c r="F9" s="10"/>
      <c r="G9" s="10"/>
      <c r="H9" s="10"/>
      <c r="I9" s="10"/>
      <c r="J9" s="31"/>
    </row>
    <row r="10" spans="1:10" ht="12.75" customHeight="1">
      <c r="A10" s="8" t="s">
        <v>182</v>
      </c>
      <c r="B10" s="2"/>
      <c r="C10" s="2"/>
      <c r="D10" s="2"/>
      <c r="H10" s="5" t="s">
        <v>9</v>
      </c>
      <c r="I10" s="12">
        <v>179</v>
      </c>
      <c r="J10" s="18" t="s">
        <v>27</v>
      </c>
    </row>
    <row r="11" spans="1:10" ht="12.75" customHeight="1">
      <c r="A11" s="9"/>
      <c r="B11" s="10"/>
      <c r="C11" s="10"/>
      <c r="D11" s="10"/>
      <c r="E11" s="10"/>
      <c r="F11" s="10"/>
      <c r="G11" s="10"/>
      <c r="H11" s="10"/>
      <c r="I11" s="10"/>
      <c r="J11" s="31"/>
    </row>
    <row r="12" spans="1:10" ht="12.75" customHeight="1" thickBot="1">
      <c r="A12" s="17" t="s">
        <v>13</v>
      </c>
      <c r="B12" s="10"/>
      <c r="C12" s="10"/>
      <c r="D12" s="10"/>
      <c r="E12" s="10"/>
      <c r="F12" s="10"/>
      <c r="G12" s="10"/>
      <c r="H12" s="5" t="s">
        <v>9</v>
      </c>
      <c r="I12" s="13">
        <f>ROUNDUP(SUM(I10:I10),0)</f>
        <v>179</v>
      </c>
      <c r="J12" s="6" t="s">
        <v>27</v>
      </c>
    </row>
    <row r="13" spans="1:4" ht="12.75" customHeight="1" thickTop="1">
      <c r="A13" s="2"/>
      <c r="B13" s="2"/>
      <c r="C13" s="2"/>
      <c r="D13" s="2"/>
    </row>
    <row r="14" spans="1:10" s="16" customFormat="1" ht="12.75">
      <c r="A14" s="55" t="s">
        <v>139</v>
      </c>
      <c r="B14" s="10"/>
      <c r="C14" s="10"/>
      <c r="D14" s="10"/>
      <c r="E14" s="10"/>
      <c r="F14" s="10"/>
      <c r="G14" s="10"/>
      <c r="H14" s="10"/>
      <c r="I14" s="10"/>
      <c r="J14" s="31"/>
    </row>
    <row r="15" spans="1:10" s="16" customFormat="1" ht="12">
      <c r="A15" s="9"/>
      <c r="B15" s="10"/>
      <c r="C15" s="10"/>
      <c r="D15" s="10"/>
      <c r="E15" s="10"/>
      <c r="F15" s="10"/>
      <c r="G15" s="10"/>
      <c r="H15" s="10"/>
      <c r="I15" s="10"/>
      <c r="J15" s="31"/>
    </row>
    <row r="16" spans="1:10" s="16" customFormat="1" ht="12.75">
      <c r="A16" s="8" t="s">
        <v>91</v>
      </c>
      <c r="B16" s="2"/>
      <c r="C16" s="2"/>
      <c r="D16" s="2"/>
      <c r="E16"/>
      <c r="F16"/>
      <c r="G16"/>
      <c r="H16" s="5" t="s">
        <v>9</v>
      </c>
      <c r="I16" s="14">
        <f>12+6/12</f>
        <v>12.5</v>
      </c>
      <c r="J16" s="30" t="s">
        <v>10</v>
      </c>
    </row>
    <row r="17" spans="1:10" s="16" customFormat="1" ht="12.75">
      <c r="A17" s="8" t="s">
        <v>53</v>
      </c>
      <c r="B17" s="2"/>
      <c r="C17" s="2"/>
      <c r="D17" s="2"/>
      <c r="E17"/>
      <c r="F17"/>
      <c r="G17"/>
      <c r="H17" s="5" t="s">
        <v>9</v>
      </c>
      <c r="I17" s="14">
        <f>6+4/12</f>
        <v>6.333333333333333</v>
      </c>
      <c r="J17" s="30" t="s">
        <v>10</v>
      </c>
    </row>
    <row r="18" spans="1:10" s="16" customFormat="1" ht="12.75">
      <c r="A18" s="8" t="s">
        <v>54</v>
      </c>
      <c r="B18" s="2"/>
      <c r="C18" s="2"/>
      <c r="D18" s="2"/>
      <c r="E18"/>
      <c r="F18"/>
      <c r="G18"/>
      <c r="H18" s="5" t="s">
        <v>9</v>
      </c>
      <c r="I18" s="14">
        <f>2+9/12</f>
        <v>2.75</v>
      </c>
      <c r="J18" s="30" t="s">
        <v>10</v>
      </c>
    </row>
    <row r="19" spans="1:10" s="16" customFormat="1" ht="12">
      <c r="A19" s="56" t="s">
        <v>31</v>
      </c>
      <c r="B19" s="10"/>
      <c r="C19" s="10"/>
      <c r="D19" s="10"/>
      <c r="E19" s="10"/>
      <c r="F19" s="10"/>
      <c r="G19" s="10"/>
      <c r="H19" s="5" t="s">
        <v>9</v>
      </c>
      <c r="I19" s="12">
        <f>I16*(I17+I18)</f>
        <v>113.54166666666666</v>
      </c>
      <c r="J19" s="18" t="s">
        <v>11</v>
      </c>
    </row>
    <row r="20" spans="1:10" s="16" customFormat="1" ht="12">
      <c r="A20" s="9"/>
      <c r="B20" s="10"/>
      <c r="C20" s="10"/>
      <c r="D20" s="10"/>
      <c r="E20" s="10"/>
      <c r="F20" s="10"/>
      <c r="G20" s="10"/>
      <c r="H20" s="10"/>
      <c r="I20" s="10"/>
      <c r="J20" s="31"/>
    </row>
    <row r="21" spans="1:10" s="16" customFormat="1" ht="13.5" thickBot="1">
      <c r="A21" s="17" t="s">
        <v>13</v>
      </c>
      <c r="B21" s="10"/>
      <c r="C21" s="10"/>
      <c r="D21" s="10"/>
      <c r="E21" s="10"/>
      <c r="F21" s="10"/>
      <c r="G21" s="10"/>
      <c r="H21" s="5" t="s">
        <v>9</v>
      </c>
      <c r="I21" s="13">
        <f>ROUNDUP(I19,0)</f>
        <v>114</v>
      </c>
      <c r="J21" s="6" t="s">
        <v>11</v>
      </c>
    </row>
    <row r="22" spans="1:10" s="16" customFormat="1" ht="13.5" thickTop="1">
      <c r="A22" s="17"/>
      <c r="B22" s="10"/>
      <c r="C22" s="10"/>
      <c r="D22" s="10"/>
      <c r="E22" s="10"/>
      <c r="F22" s="10"/>
      <c r="G22" s="10"/>
      <c r="H22" s="10"/>
      <c r="I22" s="10"/>
      <c r="J22" s="31"/>
    </row>
    <row r="23" spans="1:10" s="16" customFormat="1" ht="12.75">
      <c r="A23" s="50" t="s">
        <v>140</v>
      </c>
      <c r="B23" s="10"/>
      <c r="C23" s="10"/>
      <c r="D23" s="10"/>
      <c r="E23" s="10"/>
      <c r="F23" s="10"/>
      <c r="G23" s="10"/>
      <c r="H23" s="10"/>
      <c r="I23" s="10"/>
      <c r="J23" s="31"/>
    </row>
    <row r="24" spans="1:10" s="16" customFormat="1" ht="12.75">
      <c r="A24" s="17"/>
      <c r="B24" s="10"/>
      <c r="C24" s="10"/>
      <c r="D24" s="10"/>
      <c r="E24" s="10"/>
      <c r="F24" s="10"/>
      <c r="G24" s="10"/>
      <c r="H24" s="10"/>
      <c r="I24" s="10"/>
      <c r="J24" s="31"/>
    </row>
    <row r="25" spans="1:10" s="16" customFormat="1" ht="12.75">
      <c r="A25" s="9" t="s">
        <v>60</v>
      </c>
      <c r="B25" s="10"/>
      <c r="C25" s="10"/>
      <c r="D25" s="10"/>
      <c r="E25" s="10"/>
      <c r="F25" s="10"/>
      <c r="G25" s="10"/>
      <c r="H25" s="5" t="s">
        <v>9</v>
      </c>
      <c r="I25" s="14">
        <v>94.5</v>
      </c>
      <c r="J25" s="30" t="s">
        <v>10</v>
      </c>
    </row>
    <row r="26" spans="1:10" s="16" customFormat="1" ht="12">
      <c r="A26" s="9" t="s">
        <v>61</v>
      </c>
      <c r="B26" s="10"/>
      <c r="C26" s="10"/>
      <c r="D26" s="10"/>
      <c r="E26" s="10"/>
      <c r="F26" s="10"/>
      <c r="G26" s="10"/>
      <c r="H26" s="5" t="s">
        <v>9</v>
      </c>
      <c r="I26" s="12">
        <f>I25*2</f>
        <v>189</v>
      </c>
      <c r="J26" s="18" t="s">
        <v>10</v>
      </c>
    </row>
    <row r="27" spans="1:10" s="16" customFormat="1" ht="12">
      <c r="A27" s="9"/>
      <c r="B27" s="10"/>
      <c r="C27" s="10"/>
      <c r="D27" s="10"/>
      <c r="E27" s="10"/>
      <c r="F27" s="10"/>
      <c r="G27" s="10"/>
      <c r="H27" s="10"/>
      <c r="I27" s="10"/>
      <c r="J27" s="31"/>
    </row>
    <row r="28" spans="1:10" s="16" customFormat="1" ht="13.5" thickBot="1">
      <c r="A28" s="17" t="s">
        <v>13</v>
      </c>
      <c r="B28" s="10"/>
      <c r="C28" s="10"/>
      <c r="D28" s="10"/>
      <c r="E28" s="10"/>
      <c r="F28" s="10"/>
      <c r="G28" s="10"/>
      <c r="H28" s="5" t="s">
        <v>9</v>
      </c>
      <c r="I28" s="13">
        <f>ROUNDUP(I26,0)</f>
        <v>189</v>
      </c>
      <c r="J28" s="6" t="s">
        <v>10</v>
      </c>
    </row>
    <row r="29" spans="1:10" s="16" customFormat="1" ht="13.5" thickTop="1">
      <c r="A29" s="17"/>
      <c r="B29" s="10"/>
      <c r="C29" s="10"/>
      <c r="D29" s="10"/>
      <c r="E29" s="10"/>
      <c r="F29" s="10"/>
      <c r="G29" s="10"/>
      <c r="H29" s="10"/>
      <c r="I29" s="10"/>
      <c r="J29" s="31"/>
    </row>
    <row r="30" s="16" customFormat="1" ht="12.75">
      <c r="A30" s="11" t="s">
        <v>71</v>
      </c>
    </row>
    <row r="31" s="16" customFormat="1" ht="12"/>
    <row r="32" s="16" customFormat="1" ht="12.75">
      <c r="A32" s="15" t="s">
        <v>42</v>
      </c>
    </row>
    <row r="33" spans="1:2" s="16" customFormat="1" ht="24.75">
      <c r="A33" s="20" t="s">
        <v>37</v>
      </c>
      <c r="B33" s="20" t="s">
        <v>43</v>
      </c>
    </row>
    <row r="34" spans="1:2" s="16" customFormat="1" ht="12">
      <c r="A34" s="21" t="s">
        <v>44</v>
      </c>
      <c r="B34" s="32">
        <v>17</v>
      </c>
    </row>
    <row r="35" spans="1:2" s="16" customFormat="1" ht="12">
      <c r="A35" s="21" t="s">
        <v>45</v>
      </c>
      <c r="B35" s="32">
        <v>32</v>
      </c>
    </row>
    <row r="36" spans="1:2" s="16" customFormat="1" ht="12">
      <c r="A36" s="21" t="s">
        <v>46</v>
      </c>
      <c r="B36" s="32">
        <v>96</v>
      </c>
    </row>
    <row r="37" spans="1:2" s="16" customFormat="1" ht="12">
      <c r="A37" s="21" t="s">
        <v>47</v>
      </c>
      <c r="B37" s="32">
        <v>17</v>
      </c>
    </row>
    <row r="38" spans="1:2" s="16" customFormat="1" ht="12">
      <c r="A38" s="21" t="s">
        <v>48</v>
      </c>
      <c r="B38" s="32">
        <v>8</v>
      </c>
    </row>
    <row r="39" spans="1:2" s="16" customFormat="1" ht="12">
      <c r="A39" s="21" t="s">
        <v>49</v>
      </c>
      <c r="B39" s="32">
        <v>14</v>
      </c>
    </row>
    <row r="40" spans="1:2" s="16" customFormat="1" ht="12">
      <c r="A40" s="21" t="s">
        <v>50</v>
      </c>
      <c r="B40" s="32">
        <v>12</v>
      </c>
    </row>
    <row r="41" spans="1:2" s="16" customFormat="1" ht="12">
      <c r="A41" s="21" t="s">
        <v>51</v>
      </c>
      <c r="B41" s="32">
        <v>39</v>
      </c>
    </row>
    <row r="42" spans="1:2" s="16" customFormat="1" ht="12">
      <c r="A42" s="21" t="s">
        <v>52</v>
      </c>
      <c r="B42" s="32">
        <v>18</v>
      </c>
    </row>
    <row r="43" spans="1:2" s="16" customFormat="1" ht="12">
      <c r="A43" s="21" t="s">
        <v>74</v>
      </c>
      <c r="B43" s="32">
        <v>18</v>
      </c>
    </row>
    <row r="44" s="16" customFormat="1" ht="12"/>
    <row r="45" spans="1:10" s="16" customFormat="1" ht="12">
      <c r="A45" s="18" t="s">
        <v>72</v>
      </c>
      <c r="H45" s="5" t="s">
        <v>9</v>
      </c>
      <c r="I45" s="12">
        <f>SUM(B34:B43)/12</f>
        <v>22.583333333333332</v>
      </c>
      <c r="J45" s="18" t="s">
        <v>10</v>
      </c>
    </row>
    <row r="46" s="16" customFormat="1" ht="12"/>
    <row r="47" spans="1:10" s="16" customFormat="1" ht="12.75">
      <c r="A47" s="25" t="s">
        <v>55</v>
      </c>
      <c r="H47" s="5" t="s">
        <v>9</v>
      </c>
      <c r="I47" s="19">
        <v>0.2</v>
      </c>
      <c r="J47" s="30" t="s">
        <v>23</v>
      </c>
    </row>
    <row r="48" spans="1:10" s="16" customFormat="1" ht="12">
      <c r="A48" s="26" t="s">
        <v>73</v>
      </c>
      <c r="H48" s="5" t="s">
        <v>9</v>
      </c>
      <c r="I48" s="12">
        <f>SUM(1+I47)*I45</f>
        <v>27.099999999999998</v>
      </c>
      <c r="J48" s="18" t="s">
        <v>10</v>
      </c>
    </row>
    <row r="49" s="16" customFormat="1" ht="12"/>
    <row r="50" spans="1:10" s="16" customFormat="1" ht="13.5" thickBot="1">
      <c r="A50" s="17" t="s">
        <v>13</v>
      </c>
      <c r="B50" s="10"/>
      <c r="C50" s="10"/>
      <c r="D50" s="10"/>
      <c r="E50" s="10"/>
      <c r="F50" s="10"/>
      <c r="G50" s="10"/>
      <c r="H50" s="5" t="s">
        <v>9</v>
      </c>
      <c r="I50" s="13">
        <f>ROUNDUP(I48,0)</f>
        <v>28</v>
      </c>
      <c r="J50" s="6" t="s">
        <v>10</v>
      </c>
    </row>
    <row r="51" s="16" customFormat="1" ht="12.75" thickTop="1"/>
    <row r="52" spans="1:10" s="16" customFormat="1" ht="12.75">
      <c r="A52" s="11" t="s">
        <v>70</v>
      </c>
      <c r="B52" s="10"/>
      <c r="C52" s="10"/>
      <c r="D52" s="10"/>
      <c r="E52" s="10"/>
      <c r="F52" s="10"/>
      <c r="G52" s="10"/>
      <c r="H52" s="10"/>
      <c r="I52" s="10"/>
      <c r="J52" s="31"/>
    </row>
    <row r="53" spans="1:10" s="16" customFormat="1" ht="12">
      <c r="A53" s="9"/>
      <c r="B53" s="10"/>
      <c r="C53" s="10"/>
      <c r="D53" s="10"/>
      <c r="E53" s="10"/>
      <c r="F53" s="10"/>
      <c r="G53" s="10"/>
      <c r="H53" s="10"/>
      <c r="I53" s="10"/>
      <c r="J53" s="31"/>
    </row>
    <row r="54" spans="1:10" s="16" customFormat="1" ht="12.75">
      <c r="A54" s="15" t="s">
        <v>41</v>
      </c>
      <c r="B54" s="10"/>
      <c r="C54" s="10"/>
      <c r="D54" s="10"/>
      <c r="E54" s="10"/>
      <c r="F54" s="10"/>
      <c r="G54" s="10"/>
      <c r="H54" s="10"/>
      <c r="I54" s="10"/>
      <c r="J54" s="31"/>
    </row>
    <row r="55" spans="1:9" s="16" customFormat="1" ht="24.75">
      <c r="A55" s="20" t="s">
        <v>37</v>
      </c>
      <c r="B55" s="20" t="s">
        <v>38</v>
      </c>
      <c r="C55" s="20" t="s">
        <v>39</v>
      </c>
      <c r="D55" s="23" t="s">
        <v>40</v>
      </c>
      <c r="E55"/>
      <c r="F55"/>
      <c r="G55"/>
      <c r="H55"/>
      <c r="I55"/>
    </row>
    <row r="56" spans="1:10" s="16" customFormat="1" ht="12">
      <c r="A56" s="21">
        <v>1</v>
      </c>
      <c r="B56" s="32">
        <v>13.125</v>
      </c>
      <c r="C56" s="32">
        <v>45</v>
      </c>
      <c r="D56" s="22">
        <f>B56*C56</f>
        <v>590.625</v>
      </c>
      <c r="E56" s="10"/>
      <c r="F56" s="10"/>
      <c r="G56" s="10"/>
      <c r="H56" s="10"/>
      <c r="I56" s="10"/>
      <c r="J56" s="31"/>
    </row>
    <row r="57" spans="1:10" s="16" customFormat="1" ht="12">
      <c r="A57" s="21">
        <v>2</v>
      </c>
      <c r="B57" s="32">
        <v>30</v>
      </c>
      <c r="C57" s="32">
        <v>9</v>
      </c>
      <c r="D57" s="22">
        <f aca="true" t="shared" si="0" ref="D57:D73">B57*C57</f>
        <v>270</v>
      </c>
      <c r="E57" s="10"/>
      <c r="F57" s="10"/>
      <c r="G57" s="10"/>
      <c r="H57" s="10"/>
      <c r="I57" s="10"/>
      <c r="J57" s="31"/>
    </row>
    <row r="58" spans="1:10" s="16" customFormat="1" ht="12">
      <c r="A58" s="21">
        <v>3</v>
      </c>
      <c r="B58" s="32">
        <v>19</v>
      </c>
      <c r="C58" s="32">
        <v>17</v>
      </c>
      <c r="D58" s="22">
        <f t="shared" si="0"/>
        <v>323</v>
      </c>
      <c r="E58" s="10"/>
      <c r="F58" s="10"/>
      <c r="G58" s="10"/>
      <c r="H58" s="10"/>
      <c r="I58" s="10"/>
      <c r="J58" s="31"/>
    </row>
    <row r="59" spans="1:10" s="16" customFormat="1" ht="12">
      <c r="A59" s="21">
        <v>4</v>
      </c>
      <c r="B59" s="32">
        <v>60</v>
      </c>
      <c r="C59" s="32">
        <v>24</v>
      </c>
      <c r="D59" s="22">
        <f t="shared" si="0"/>
        <v>1440</v>
      </c>
      <c r="E59" s="10"/>
      <c r="F59" s="10"/>
      <c r="G59" s="10"/>
      <c r="H59" s="10"/>
      <c r="I59" s="10"/>
      <c r="J59" s="31"/>
    </row>
    <row r="60" spans="1:10" s="16" customFormat="1" ht="12">
      <c r="A60" s="21">
        <v>5</v>
      </c>
      <c r="B60" s="32">
        <v>58</v>
      </c>
      <c r="C60" s="32">
        <v>36</v>
      </c>
      <c r="D60" s="22">
        <f t="shared" si="0"/>
        <v>2088</v>
      </c>
      <c r="E60" s="10"/>
      <c r="F60" s="10"/>
      <c r="G60" s="10"/>
      <c r="H60" s="10"/>
      <c r="I60" s="10"/>
      <c r="J60" s="31"/>
    </row>
    <row r="61" spans="1:10" s="16" customFormat="1" ht="12">
      <c r="A61" s="21">
        <v>6</v>
      </c>
      <c r="B61" s="32">
        <v>45</v>
      </c>
      <c r="C61" s="32">
        <v>22</v>
      </c>
      <c r="D61" s="22">
        <f t="shared" si="0"/>
        <v>990</v>
      </c>
      <c r="E61" s="10"/>
      <c r="F61" s="10"/>
      <c r="G61" s="10"/>
      <c r="H61" s="10"/>
      <c r="I61" s="10"/>
      <c r="J61" s="31"/>
    </row>
    <row r="62" spans="1:10" s="16" customFormat="1" ht="12">
      <c r="A62" s="21">
        <v>7</v>
      </c>
      <c r="B62" s="32">
        <v>22</v>
      </c>
      <c r="C62" s="32">
        <v>17</v>
      </c>
      <c r="D62" s="22">
        <f t="shared" si="0"/>
        <v>374</v>
      </c>
      <c r="E62" s="10"/>
      <c r="F62" s="10"/>
      <c r="G62" s="10"/>
      <c r="H62" s="10"/>
      <c r="I62" s="10"/>
      <c r="J62" s="31"/>
    </row>
    <row r="63" spans="1:10" s="16" customFormat="1" ht="12">
      <c r="A63" s="21">
        <v>8</v>
      </c>
      <c r="B63" s="32">
        <v>36</v>
      </c>
      <c r="C63" s="32">
        <v>6</v>
      </c>
      <c r="D63" s="22">
        <f t="shared" si="0"/>
        <v>216</v>
      </c>
      <c r="E63" s="10"/>
      <c r="F63" s="10"/>
      <c r="G63" s="10"/>
      <c r="H63" s="10"/>
      <c r="I63" s="10"/>
      <c r="J63" s="31"/>
    </row>
    <row r="64" spans="1:10" s="16" customFormat="1" ht="12">
      <c r="A64" s="21">
        <v>9</v>
      </c>
      <c r="B64" s="32">
        <v>20</v>
      </c>
      <c r="C64" s="32">
        <v>26</v>
      </c>
      <c r="D64" s="22">
        <f t="shared" si="0"/>
        <v>520</v>
      </c>
      <c r="E64" s="10"/>
      <c r="F64" s="10"/>
      <c r="G64" s="10"/>
      <c r="H64" s="10"/>
      <c r="I64" s="10"/>
      <c r="J64" s="31"/>
    </row>
    <row r="65" spans="1:10" s="16" customFormat="1" ht="12">
      <c r="A65" s="21">
        <v>10</v>
      </c>
      <c r="B65" s="32">
        <v>36</v>
      </c>
      <c r="C65" s="32">
        <v>22</v>
      </c>
      <c r="D65" s="22">
        <f t="shared" si="0"/>
        <v>792</v>
      </c>
      <c r="E65" s="10"/>
      <c r="F65" s="10"/>
      <c r="G65" s="10"/>
      <c r="H65" s="10"/>
      <c r="I65" s="10"/>
      <c r="J65" s="31"/>
    </row>
    <row r="66" spans="1:10" s="16" customFormat="1" ht="12">
      <c r="A66" s="21">
        <v>11</v>
      </c>
      <c r="B66" s="32">
        <v>40</v>
      </c>
      <c r="C66" s="32">
        <v>11</v>
      </c>
      <c r="D66" s="22">
        <f t="shared" si="0"/>
        <v>440</v>
      </c>
      <c r="E66" s="10"/>
      <c r="F66" s="10"/>
      <c r="G66" s="10"/>
      <c r="H66" s="10"/>
      <c r="I66" s="10"/>
      <c r="J66" s="31"/>
    </row>
    <row r="67" spans="1:10" s="16" customFormat="1" ht="12">
      <c r="A67" s="21">
        <v>12</v>
      </c>
      <c r="B67" s="32">
        <v>33</v>
      </c>
      <c r="C67" s="32">
        <v>11</v>
      </c>
      <c r="D67" s="22">
        <f t="shared" si="0"/>
        <v>363</v>
      </c>
      <c r="E67" s="10"/>
      <c r="F67" s="10"/>
      <c r="G67" s="10"/>
      <c r="H67" s="10"/>
      <c r="I67" s="10"/>
      <c r="J67" s="31"/>
    </row>
    <row r="68" spans="1:10" s="16" customFormat="1" ht="12">
      <c r="A68" s="21">
        <v>13</v>
      </c>
      <c r="B68" s="32">
        <v>52</v>
      </c>
      <c r="C68" s="32">
        <v>22</v>
      </c>
      <c r="D68" s="22">
        <f t="shared" si="0"/>
        <v>1144</v>
      </c>
      <c r="E68" s="10"/>
      <c r="F68" s="10"/>
      <c r="G68" s="10"/>
      <c r="H68" s="10"/>
      <c r="I68" s="10"/>
      <c r="J68" s="31"/>
    </row>
    <row r="69" spans="1:10" s="16" customFormat="1" ht="12">
      <c r="A69" s="21">
        <v>14</v>
      </c>
      <c r="B69" s="32">
        <v>20</v>
      </c>
      <c r="C69" s="32">
        <v>16</v>
      </c>
      <c r="D69" s="22">
        <f t="shared" si="0"/>
        <v>320</v>
      </c>
      <c r="E69" s="10"/>
      <c r="F69" s="10"/>
      <c r="G69" s="10"/>
      <c r="H69" s="10"/>
      <c r="I69" s="10"/>
      <c r="J69" s="31"/>
    </row>
    <row r="70" spans="1:10" s="16" customFormat="1" ht="12">
      <c r="A70" s="21">
        <v>15</v>
      </c>
      <c r="B70" s="32">
        <v>20</v>
      </c>
      <c r="C70" s="32">
        <v>16</v>
      </c>
      <c r="D70" s="22">
        <f t="shared" si="0"/>
        <v>320</v>
      </c>
      <c r="E70" s="10"/>
      <c r="F70" s="10"/>
      <c r="G70" s="10"/>
      <c r="H70" s="10"/>
      <c r="I70" s="10"/>
      <c r="J70" s="31"/>
    </row>
    <row r="71" spans="1:10" s="16" customFormat="1" ht="12">
      <c r="A71" s="21">
        <v>16</v>
      </c>
      <c r="B71" s="32">
        <v>18</v>
      </c>
      <c r="C71" s="32">
        <v>11</v>
      </c>
      <c r="D71" s="22">
        <f t="shared" si="0"/>
        <v>198</v>
      </c>
      <c r="E71" s="10"/>
      <c r="F71" s="10"/>
      <c r="G71" s="10"/>
      <c r="H71" s="10"/>
      <c r="I71" s="10"/>
      <c r="J71" s="31"/>
    </row>
    <row r="72" spans="1:10" s="16" customFormat="1" ht="12">
      <c r="A72" s="21">
        <v>17</v>
      </c>
      <c r="B72" s="32">
        <v>21</v>
      </c>
      <c r="C72" s="32">
        <v>12</v>
      </c>
      <c r="D72" s="22">
        <f t="shared" si="0"/>
        <v>252</v>
      </c>
      <c r="E72" s="10"/>
      <c r="F72" s="10"/>
      <c r="G72" s="10"/>
      <c r="H72" s="10"/>
      <c r="I72" s="10"/>
      <c r="J72" s="31"/>
    </row>
    <row r="73" spans="1:11" ht="12">
      <c r="A73" s="21">
        <v>18</v>
      </c>
      <c r="B73" s="32">
        <v>18</v>
      </c>
      <c r="C73" s="32">
        <v>6</v>
      </c>
      <c r="D73" s="22">
        <f t="shared" si="0"/>
        <v>108</v>
      </c>
      <c r="E73" s="16"/>
      <c r="F73" s="16"/>
      <c r="G73" s="16"/>
      <c r="H73" s="16"/>
      <c r="I73" s="16"/>
      <c r="J73" s="16"/>
      <c r="K73"/>
    </row>
    <row r="74" spans="1:11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/>
    </row>
    <row r="75" spans="1:11" ht="12">
      <c r="A75" s="16" t="s">
        <v>21</v>
      </c>
      <c r="B75" s="16"/>
      <c r="C75" s="16"/>
      <c r="D75" s="16"/>
      <c r="E75" s="16"/>
      <c r="F75" s="16"/>
      <c r="G75" s="16"/>
      <c r="H75" s="5" t="s">
        <v>9</v>
      </c>
      <c r="I75" s="12">
        <f>SUM(D56:D73)/144</f>
        <v>74.64322916666667</v>
      </c>
      <c r="J75" s="18" t="s">
        <v>11</v>
      </c>
      <c r="K75"/>
    </row>
    <row r="76" spans="1:11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/>
    </row>
    <row r="77" spans="1:11" ht="12.75">
      <c r="A77" s="25" t="s">
        <v>55</v>
      </c>
      <c r="B77" s="16"/>
      <c r="C77" s="16"/>
      <c r="D77" s="16"/>
      <c r="E77" s="16"/>
      <c r="F77" s="16"/>
      <c r="G77" s="16"/>
      <c r="H77" s="5" t="s">
        <v>9</v>
      </c>
      <c r="I77" s="19">
        <v>0.2</v>
      </c>
      <c r="J77" s="30" t="s">
        <v>23</v>
      </c>
      <c r="K77"/>
    </row>
    <row r="78" spans="1:11" ht="12">
      <c r="A78" s="25" t="s">
        <v>56</v>
      </c>
      <c r="B78" s="16"/>
      <c r="C78" s="16"/>
      <c r="D78" s="16"/>
      <c r="E78" s="16"/>
      <c r="F78" s="16"/>
      <c r="G78" s="16"/>
      <c r="H78" s="5" t="s">
        <v>9</v>
      </c>
      <c r="I78" s="12">
        <f>(1+I77)*I75</f>
        <v>89.571875</v>
      </c>
      <c r="J78" s="18" t="s">
        <v>11</v>
      </c>
      <c r="K78"/>
    </row>
    <row r="79" spans="1:11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/>
    </row>
    <row r="80" spans="1:11" ht="13.5" thickBot="1">
      <c r="A80" s="17" t="s">
        <v>13</v>
      </c>
      <c r="B80" s="10"/>
      <c r="C80" s="10"/>
      <c r="D80" s="10"/>
      <c r="E80" s="10"/>
      <c r="F80" s="10"/>
      <c r="G80" s="10"/>
      <c r="H80" s="5" t="s">
        <v>9</v>
      </c>
      <c r="I80" s="13">
        <f>ROUNDUP(I78,0)</f>
        <v>90</v>
      </c>
      <c r="J80" s="6" t="s">
        <v>11</v>
      </c>
      <c r="K80"/>
    </row>
    <row r="81" spans="10:11" ht="12.75" thickTop="1">
      <c r="J81" s="16"/>
      <c r="K81"/>
    </row>
    <row r="82" spans="10:11" ht="12">
      <c r="J82" s="16"/>
      <c r="K82"/>
    </row>
    <row r="83" spans="10:11" ht="12">
      <c r="J83" s="16"/>
      <c r="K83"/>
    </row>
    <row r="84" ht="12">
      <c r="K84"/>
    </row>
    <row r="85" ht="12">
      <c r="K85"/>
    </row>
    <row r="86" ht="12">
      <c r="K86"/>
    </row>
    <row r="87" ht="12">
      <c r="K87"/>
    </row>
    <row r="88" ht="12">
      <c r="K88"/>
    </row>
    <row r="89" ht="12">
      <c r="K89"/>
    </row>
    <row r="90" ht="12">
      <c r="K90"/>
    </row>
    <row r="91" ht="12">
      <c r="K91"/>
    </row>
    <row r="92" spans="1:10" s="16" customFormat="1" ht="12">
      <c r="A92"/>
      <c r="B92"/>
      <c r="C92"/>
      <c r="D92"/>
      <c r="E92"/>
      <c r="F92"/>
      <c r="G92"/>
      <c r="H92"/>
      <c r="I92"/>
      <c r="J92"/>
    </row>
    <row r="93" spans="1:10" s="16" customFormat="1" ht="12">
      <c r="A93"/>
      <c r="B93"/>
      <c r="C93"/>
      <c r="D93"/>
      <c r="E93"/>
      <c r="F93"/>
      <c r="G93"/>
      <c r="H93"/>
      <c r="I93"/>
      <c r="J93"/>
    </row>
    <row r="94" spans="1:10" s="16" customFormat="1" ht="12">
      <c r="A94"/>
      <c r="B94"/>
      <c r="C94"/>
      <c r="D94"/>
      <c r="E94"/>
      <c r="F94"/>
      <c r="G94"/>
      <c r="H94"/>
      <c r="I94"/>
      <c r="J94"/>
    </row>
    <row r="95" s="16" customFormat="1" ht="12"/>
    <row r="96" spans="1:11" ht="1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/>
    </row>
    <row r="97" s="16" customFormat="1" ht="12"/>
    <row r="98" s="16" customFormat="1" ht="12"/>
    <row r="99" spans="1:10" s="16" customFormat="1" ht="12">
      <c r="A99"/>
      <c r="B99"/>
      <c r="C99"/>
      <c r="D99"/>
      <c r="E99"/>
      <c r="F99"/>
      <c r="G99"/>
      <c r="H99"/>
      <c r="I99"/>
      <c r="J99"/>
    </row>
    <row r="100" s="16" customFormat="1" ht="12"/>
    <row r="101" s="16" customFormat="1" ht="12"/>
    <row r="102" s="16" customFormat="1" ht="12"/>
    <row r="103" s="16" customFormat="1" ht="12"/>
    <row r="104" s="16" customFormat="1" ht="12"/>
    <row r="105" spans="1:10" ht="1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</sheetData>
  <sheetProtection/>
  <mergeCells count="11">
    <mergeCell ref="D4:E4"/>
    <mergeCell ref="F4:H4"/>
    <mergeCell ref="D5:E5"/>
    <mergeCell ref="F5:J5"/>
    <mergeCell ref="D1:E1"/>
    <mergeCell ref="F1:G1"/>
    <mergeCell ref="I1:J1"/>
    <mergeCell ref="D2:E2"/>
    <mergeCell ref="F2:H2"/>
    <mergeCell ref="D3:E3"/>
    <mergeCell ref="F3:H3"/>
  </mergeCells>
  <printOptions horizontalCentered="1"/>
  <pageMargins left="0.75" right="0.25" top="0.25" bottom="0.25" header="0.43" footer="0.35"/>
  <pageSetup horizontalDpi="600" verticalDpi="600" orientation="portrait" r:id="rId2"/>
  <headerFooter alignWithMargins="0">
    <oddHeader>&amp;C                                                             &amp;P&amp;R&amp;N</oddHeader>
  </headerFooter>
  <rowBreaks count="1" manualBreakCount="1">
    <brk id="51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"/>
  <sheetViews>
    <sheetView showGridLines="0"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0" width="9.7109375" style="0" customWidth="1"/>
    <col min="11" max="11" width="9.140625" style="16" customWidth="1"/>
  </cols>
  <sheetData>
    <row r="1" spans="1:10" ht="12.75" customHeight="1">
      <c r="A1" s="2"/>
      <c r="B1" s="2"/>
      <c r="C1" s="2"/>
      <c r="D1" s="67" t="s">
        <v>0</v>
      </c>
      <c r="E1" s="67"/>
      <c r="F1" s="68">
        <v>121021</v>
      </c>
      <c r="G1" s="68"/>
      <c r="H1" s="2" t="s">
        <v>1</v>
      </c>
      <c r="I1" s="70" t="s">
        <v>24</v>
      </c>
      <c r="J1" s="70"/>
    </row>
    <row r="2" spans="1:10" ht="12.75" customHeight="1">
      <c r="A2" s="2"/>
      <c r="B2" s="2"/>
      <c r="C2" s="2"/>
      <c r="D2" s="67" t="s">
        <v>2</v>
      </c>
      <c r="E2" s="67"/>
      <c r="F2" s="71"/>
      <c r="G2" s="69"/>
      <c r="H2" s="69"/>
      <c r="I2" s="1" t="s">
        <v>4</v>
      </c>
      <c r="J2" s="3" t="s">
        <v>3</v>
      </c>
    </row>
    <row r="3" spans="1:10" ht="12.75" customHeight="1">
      <c r="A3" s="2"/>
      <c r="B3" s="2"/>
      <c r="C3" s="2"/>
      <c r="D3" s="67" t="s">
        <v>5</v>
      </c>
      <c r="E3" s="67"/>
      <c r="F3" s="68" t="s">
        <v>126</v>
      </c>
      <c r="G3" s="69"/>
      <c r="H3" s="69"/>
      <c r="I3" s="1" t="s">
        <v>6</v>
      </c>
      <c r="J3" s="4">
        <v>44019</v>
      </c>
    </row>
    <row r="4" spans="1:10" ht="12.75" customHeight="1">
      <c r="A4" s="2"/>
      <c r="B4" s="2"/>
      <c r="C4" s="2"/>
      <c r="D4" s="67" t="s">
        <v>7</v>
      </c>
      <c r="E4" s="67"/>
      <c r="F4" s="68" t="s">
        <v>137</v>
      </c>
      <c r="G4" s="69"/>
      <c r="H4" s="69"/>
      <c r="I4" s="1" t="s">
        <v>6</v>
      </c>
      <c r="J4" s="4">
        <v>44053</v>
      </c>
    </row>
    <row r="5" spans="1:10" ht="12.75" customHeight="1">
      <c r="A5" s="2"/>
      <c r="B5" s="2"/>
      <c r="C5" s="2"/>
      <c r="D5" s="67" t="s">
        <v>8</v>
      </c>
      <c r="E5" s="67"/>
      <c r="F5" s="68" t="s">
        <v>69</v>
      </c>
      <c r="G5" s="68"/>
      <c r="H5" s="68"/>
      <c r="I5" s="68"/>
      <c r="J5" s="68"/>
    </row>
    <row r="6" spans="1:4" ht="12.75" customHeight="1">
      <c r="A6" s="2"/>
      <c r="B6" s="2"/>
      <c r="C6" s="2"/>
      <c r="D6" s="2"/>
    </row>
    <row r="7" spans="1:4" ht="12.75" customHeight="1">
      <c r="A7" s="2"/>
      <c r="B7" s="2"/>
      <c r="C7" s="2"/>
      <c r="D7" s="2"/>
    </row>
    <row r="8" spans="1:10" s="16" customFormat="1" ht="12.75">
      <c r="A8" s="11" t="s">
        <v>28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s="16" customFormat="1" ht="12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0" s="16" customFormat="1" ht="12">
      <c r="A10" s="8" t="s">
        <v>132</v>
      </c>
      <c r="B10" s="2"/>
      <c r="C10" s="2"/>
      <c r="D10" s="2"/>
      <c r="E10"/>
      <c r="F10"/>
      <c r="G10"/>
      <c r="H10" s="5" t="s">
        <v>9</v>
      </c>
      <c r="I10" s="51">
        <v>480</v>
      </c>
      <c r="J10" s="7" t="s">
        <v>27</v>
      </c>
    </row>
    <row r="11" spans="1:10" s="16" customFormat="1" ht="12">
      <c r="A11" s="9"/>
      <c r="B11" s="10"/>
      <c r="C11" s="10"/>
      <c r="D11" s="10"/>
      <c r="E11" s="10"/>
      <c r="F11" s="10"/>
      <c r="G11" s="10"/>
      <c r="H11" s="10"/>
      <c r="I11" s="52"/>
      <c r="J11" s="10"/>
    </row>
    <row r="12" spans="1:10" s="16" customFormat="1" ht="13.5" thickBot="1">
      <c r="A12" s="17" t="s">
        <v>13</v>
      </c>
      <c r="B12" s="10"/>
      <c r="C12" s="10"/>
      <c r="D12" s="10"/>
      <c r="E12" s="10"/>
      <c r="F12" s="10"/>
      <c r="G12" s="10"/>
      <c r="H12" s="5" t="s">
        <v>9</v>
      </c>
      <c r="I12" s="53">
        <f>ROUNDUP(SUM(I10),0)</f>
        <v>480</v>
      </c>
      <c r="J12" s="6" t="s">
        <v>27</v>
      </c>
    </row>
    <row r="13" spans="1:10" s="16" customFormat="1" ht="12.75" thickTop="1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spans="1:10" s="16" customFormat="1" ht="12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0" s="16" customFormat="1" ht="12.75">
      <c r="A15" s="11" t="s">
        <v>75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s="16" customFormat="1" ht="12">
      <c r="A16" s="9"/>
      <c r="B16" s="10"/>
      <c r="C16" s="10"/>
      <c r="D16" s="10"/>
      <c r="E16" s="10"/>
      <c r="F16" s="10"/>
      <c r="G16" s="10"/>
      <c r="H16" s="10"/>
      <c r="I16" s="10"/>
      <c r="J16" s="10"/>
    </row>
    <row r="17" spans="1:10" s="16" customFormat="1" ht="12.75">
      <c r="A17" s="9" t="s">
        <v>96</v>
      </c>
      <c r="B17" s="10"/>
      <c r="C17" s="10"/>
      <c r="D17" s="10"/>
      <c r="E17" s="10"/>
      <c r="F17" s="10"/>
      <c r="G17" s="10"/>
      <c r="H17" s="5" t="s">
        <v>9</v>
      </c>
      <c r="I17" s="14">
        <v>36</v>
      </c>
      <c r="J17" s="15" t="s">
        <v>11</v>
      </c>
    </row>
    <row r="18" spans="1:10" s="16" customFormat="1" ht="12.75">
      <c r="A18" s="9" t="s">
        <v>97</v>
      </c>
      <c r="B18" s="10"/>
      <c r="C18" s="10"/>
      <c r="D18" s="10"/>
      <c r="E18" s="10"/>
      <c r="F18" s="10"/>
      <c r="G18" s="10"/>
      <c r="H18" s="5" t="s">
        <v>9</v>
      </c>
      <c r="I18" s="14">
        <f>1+6/12</f>
        <v>1.5</v>
      </c>
      <c r="J18" s="15" t="s">
        <v>10</v>
      </c>
    </row>
    <row r="19" spans="1:10" s="16" customFormat="1" ht="12.75">
      <c r="A19" s="9" t="s">
        <v>94</v>
      </c>
      <c r="B19" s="10"/>
      <c r="C19" s="10"/>
      <c r="D19" s="10"/>
      <c r="E19" s="10"/>
      <c r="F19" s="10"/>
      <c r="G19" s="10"/>
      <c r="H19" s="5" t="s">
        <v>9</v>
      </c>
      <c r="I19" s="14">
        <v>5.807</v>
      </c>
      <c r="J19" s="15" t="s">
        <v>11</v>
      </c>
    </row>
    <row r="20" spans="1:10" s="16" customFormat="1" ht="12.75">
      <c r="A20" s="9" t="s">
        <v>95</v>
      </c>
      <c r="B20" s="10"/>
      <c r="C20" s="10"/>
      <c r="D20" s="10"/>
      <c r="E20" s="10"/>
      <c r="F20" s="10"/>
      <c r="G20" s="10"/>
      <c r="H20" s="5" t="s">
        <v>9</v>
      </c>
      <c r="I20" s="14">
        <f>1+1.5/12</f>
        <v>1.125</v>
      </c>
      <c r="J20" s="15" t="s">
        <v>10</v>
      </c>
    </row>
    <row r="21" spans="1:10" s="16" customFormat="1" ht="12.75">
      <c r="A21" s="8" t="s">
        <v>92</v>
      </c>
      <c r="B21" s="2"/>
      <c r="C21" s="2"/>
      <c r="D21" s="2"/>
      <c r="E21"/>
      <c r="F21"/>
      <c r="G21"/>
      <c r="H21" s="5" t="s">
        <v>9</v>
      </c>
      <c r="I21" s="14">
        <v>23.677</v>
      </c>
      <c r="J21" s="15" t="s">
        <v>11</v>
      </c>
    </row>
    <row r="22" spans="1:10" s="16" customFormat="1" ht="12.75">
      <c r="A22" s="9" t="s">
        <v>93</v>
      </c>
      <c r="B22" s="10"/>
      <c r="C22" s="10"/>
      <c r="D22" s="10"/>
      <c r="E22" s="10"/>
      <c r="F22" s="10"/>
      <c r="G22" s="10"/>
      <c r="H22" s="5" t="s">
        <v>9</v>
      </c>
      <c r="I22" s="14">
        <f>11/12</f>
        <v>0.9166666666666666</v>
      </c>
      <c r="J22" s="15" t="s">
        <v>10</v>
      </c>
    </row>
    <row r="23" spans="1:10" s="16" customFormat="1" ht="12">
      <c r="A23" s="9" t="s">
        <v>31</v>
      </c>
      <c r="B23" s="10"/>
      <c r="C23" s="10"/>
      <c r="D23" s="10"/>
      <c r="E23" s="10"/>
      <c r="F23" s="10"/>
      <c r="G23" s="10"/>
      <c r="H23" s="5" t="s">
        <v>9</v>
      </c>
      <c r="I23" s="12">
        <f>(I21*I22)+(I19*I20)+(I17*I18)</f>
        <v>82.23679166666666</v>
      </c>
      <c r="J23" s="7" t="s">
        <v>16</v>
      </c>
    </row>
    <row r="24" spans="1:10" s="16" customFormat="1" ht="12">
      <c r="A24" s="9"/>
      <c r="B24" s="10"/>
      <c r="C24" s="10"/>
      <c r="D24" s="10"/>
      <c r="E24" s="10"/>
      <c r="F24" s="10"/>
      <c r="G24" s="10"/>
      <c r="H24" s="10"/>
      <c r="I24" s="10"/>
      <c r="J24" s="10"/>
    </row>
    <row r="25" spans="1:10" s="16" customFormat="1" ht="13.5" thickBot="1">
      <c r="A25" s="17" t="s">
        <v>13</v>
      </c>
      <c r="B25" s="10"/>
      <c r="C25" s="10"/>
      <c r="D25" s="10"/>
      <c r="E25" s="10"/>
      <c r="F25" s="10"/>
      <c r="G25" s="10"/>
      <c r="H25" s="5" t="s">
        <v>9</v>
      </c>
      <c r="I25" s="13">
        <f>ROUNDUP(I23/27,0)</f>
        <v>4</v>
      </c>
      <c r="J25" s="6" t="s">
        <v>12</v>
      </c>
    </row>
    <row r="26" spans="1:10" s="16" customFormat="1" ht="12.75" thickTop="1">
      <c r="A26"/>
      <c r="B26"/>
      <c r="C26"/>
      <c r="D26"/>
      <c r="E26"/>
      <c r="F26"/>
      <c r="G26"/>
      <c r="H26"/>
      <c r="I26"/>
      <c r="J26"/>
    </row>
    <row r="27" s="16" customFormat="1" ht="12"/>
    <row r="28" s="16" customFormat="1" ht="12"/>
    <row r="29" s="16" customFormat="1" ht="12"/>
    <row r="30" s="16" customFormat="1" ht="12"/>
    <row r="31" s="16" customFormat="1" ht="12"/>
    <row r="32" s="16" customFormat="1" ht="12"/>
    <row r="33" s="16" customFormat="1" ht="12"/>
    <row r="34" s="16" customFormat="1" ht="12"/>
  </sheetData>
  <sheetProtection/>
  <mergeCells count="11">
    <mergeCell ref="D4:E4"/>
    <mergeCell ref="F4:H4"/>
    <mergeCell ref="D5:E5"/>
    <mergeCell ref="F5:J5"/>
    <mergeCell ref="D1:E1"/>
    <mergeCell ref="F1:G1"/>
    <mergeCell ref="I1:J1"/>
    <mergeCell ref="D2:E2"/>
    <mergeCell ref="F2:H2"/>
    <mergeCell ref="D3:E3"/>
    <mergeCell ref="F3:H3"/>
  </mergeCells>
  <printOptions horizontalCentered="1"/>
  <pageMargins left="0.75" right="0.25" top="0.25" bottom="0.25" header="0.43" footer="0.35"/>
  <pageSetup horizontalDpi="600" verticalDpi="600" orientation="portrait" r:id="rId2"/>
  <headerFooter alignWithMargins="0">
    <oddHeader>&amp;C                                                             &amp;P&amp;R&amp;N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V163"/>
  <sheetViews>
    <sheetView showGridLines="0" view="pageBreakPreview" zoomScaleSheetLayoutView="100" zoomScalePageLayoutView="0" workbookViewId="0" topLeftCell="D94">
      <selection activeCell="R23" sqref="R23"/>
    </sheetView>
  </sheetViews>
  <sheetFormatPr defaultColWidth="9.140625" defaultRowHeight="12.75"/>
  <cols>
    <col min="1" max="10" width="9.7109375" style="0" customWidth="1"/>
    <col min="11" max="11" width="9.140625" style="16" customWidth="1"/>
  </cols>
  <sheetData>
    <row r="1" spans="1:10" ht="12.75" customHeight="1">
      <c r="A1" s="2"/>
      <c r="B1" s="2"/>
      <c r="C1" s="2"/>
      <c r="D1" s="67" t="s">
        <v>0</v>
      </c>
      <c r="E1" s="67"/>
      <c r="F1" s="68">
        <v>121021</v>
      </c>
      <c r="G1" s="68"/>
      <c r="H1" s="2" t="s">
        <v>1</v>
      </c>
      <c r="I1" s="70" t="s">
        <v>24</v>
      </c>
      <c r="J1" s="70"/>
    </row>
    <row r="2" spans="1:10" ht="12.75" customHeight="1">
      <c r="A2" s="2"/>
      <c r="B2" s="2"/>
      <c r="C2" s="2"/>
      <c r="D2" s="67" t="s">
        <v>2</v>
      </c>
      <c r="E2" s="67"/>
      <c r="F2" s="71"/>
      <c r="G2" s="69"/>
      <c r="H2" s="69"/>
      <c r="I2" s="1" t="s">
        <v>4</v>
      </c>
      <c r="J2" s="29" t="s">
        <v>3</v>
      </c>
    </row>
    <row r="3" spans="1:10" ht="12.75" customHeight="1">
      <c r="A3" s="2"/>
      <c r="B3" s="2"/>
      <c r="C3" s="2"/>
      <c r="D3" s="67" t="s">
        <v>5</v>
      </c>
      <c r="E3" s="67"/>
      <c r="F3" s="68" t="s">
        <v>22</v>
      </c>
      <c r="G3" s="69"/>
      <c r="H3" s="69"/>
      <c r="I3" s="1" t="s">
        <v>6</v>
      </c>
      <c r="J3" s="4">
        <v>43866</v>
      </c>
    </row>
    <row r="4" spans="1:10" ht="12.75" customHeight="1">
      <c r="A4" s="2"/>
      <c r="B4" s="2"/>
      <c r="C4" s="2"/>
      <c r="D4" s="67" t="s">
        <v>7</v>
      </c>
      <c r="E4" s="67"/>
      <c r="F4" s="68" t="s">
        <v>137</v>
      </c>
      <c r="G4" s="69"/>
      <c r="H4" s="69"/>
      <c r="I4" s="1" t="s">
        <v>6</v>
      </c>
      <c r="J4" s="4">
        <v>44053</v>
      </c>
    </row>
    <row r="5" spans="1:10" ht="12.75" customHeight="1">
      <c r="A5" s="2"/>
      <c r="B5" s="2"/>
      <c r="C5" s="2"/>
      <c r="D5" s="67" t="s">
        <v>8</v>
      </c>
      <c r="E5" s="67"/>
      <c r="F5" s="68" t="s">
        <v>57</v>
      </c>
      <c r="G5" s="68"/>
      <c r="H5" s="68"/>
      <c r="I5" s="68"/>
      <c r="J5" s="68"/>
    </row>
    <row r="6" spans="1:10" ht="12.75" customHeight="1">
      <c r="A6" s="2"/>
      <c r="B6" s="2"/>
      <c r="C6" s="2"/>
      <c r="D6" s="2"/>
      <c r="J6" s="16"/>
    </row>
    <row r="7" spans="1:10" ht="12.75" customHeight="1">
      <c r="A7" s="2"/>
      <c r="B7" s="2"/>
      <c r="C7" s="2"/>
      <c r="D7" s="2"/>
      <c r="J7" s="16"/>
    </row>
    <row r="8" spans="1:10" ht="12.75" customHeight="1">
      <c r="A8" s="55" t="s">
        <v>173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2.75" customHeight="1">
      <c r="A9" s="56"/>
      <c r="B9" s="52"/>
      <c r="C9" s="52"/>
      <c r="D9" s="52"/>
      <c r="E9" s="52"/>
      <c r="F9" s="52"/>
      <c r="G9" s="52"/>
      <c r="H9" s="52"/>
      <c r="I9" s="52"/>
      <c r="J9" s="52"/>
    </row>
    <row r="10" spans="1:10" ht="12.75" customHeight="1" thickBot="1">
      <c r="A10" s="57" t="s">
        <v>13</v>
      </c>
      <c r="B10" s="52"/>
      <c r="C10" s="52"/>
      <c r="D10" s="52"/>
      <c r="E10" s="52"/>
      <c r="F10" s="52"/>
      <c r="G10" s="52"/>
      <c r="H10" s="58" t="s">
        <v>9</v>
      </c>
      <c r="I10" s="53">
        <f>I19</f>
        <v>2</v>
      </c>
      <c r="J10" s="59" t="s">
        <v>12</v>
      </c>
    </row>
    <row r="11" spans="1:10" ht="12.75" customHeight="1" thickTop="1">
      <c r="A11" s="2"/>
      <c r="B11" s="2"/>
      <c r="C11" s="2"/>
      <c r="D11" s="2"/>
      <c r="J11" s="16"/>
    </row>
    <row r="12" spans="1:10" ht="12.75" customHeight="1">
      <c r="A12" s="60" t="s">
        <v>180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 customHeight="1">
      <c r="A13" s="18" t="s">
        <v>20</v>
      </c>
      <c r="B13" s="18"/>
      <c r="C13" s="18"/>
      <c r="D13" s="18"/>
      <c r="E13" s="18"/>
      <c r="F13" s="18"/>
      <c r="G13" s="18"/>
      <c r="H13" s="58" t="s">
        <v>9</v>
      </c>
      <c r="I13" s="14">
        <f>9.84+9.4</f>
        <v>19.240000000000002</v>
      </c>
      <c r="J13" s="30" t="s">
        <v>10</v>
      </c>
    </row>
    <row r="14" spans="1:10" ht="12.75" customHeight="1">
      <c r="A14" s="18" t="s">
        <v>14</v>
      </c>
      <c r="B14" s="18"/>
      <c r="C14" s="18"/>
      <c r="D14" s="18"/>
      <c r="E14" s="18"/>
      <c r="F14" s="18"/>
      <c r="G14" s="18"/>
      <c r="H14" s="58" t="s">
        <v>9</v>
      </c>
      <c r="I14" s="14">
        <v>1</v>
      </c>
      <c r="J14" s="30" t="s">
        <v>10</v>
      </c>
    </row>
    <row r="15" spans="1:10" ht="12.75" customHeight="1">
      <c r="A15" s="18" t="s">
        <v>181</v>
      </c>
      <c r="B15" s="18"/>
      <c r="C15" s="18"/>
      <c r="D15" s="18"/>
      <c r="E15" s="18"/>
      <c r="F15" s="18"/>
      <c r="G15" s="18"/>
      <c r="H15" s="58" t="s">
        <v>9</v>
      </c>
      <c r="I15" s="14">
        <v>1.5</v>
      </c>
      <c r="J15" s="30" t="s">
        <v>10</v>
      </c>
    </row>
    <row r="16" spans="1:10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20" ht="12.75" customHeight="1">
      <c r="A17" s="18" t="s">
        <v>31</v>
      </c>
      <c r="B17" s="18"/>
      <c r="C17" s="18"/>
      <c r="D17" s="18"/>
      <c r="E17" s="18"/>
      <c r="F17" s="18"/>
      <c r="G17" s="18"/>
      <c r="H17" s="58" t="s">
        <v>9</v>
      </c>
      <c r="I17" s="51">
        <f>I13*I14*I15</f>
        <v>28.860000000000003</v>
      </c>
      <c r="J17" s="30" t="s">
        <v>16</v>
      </c>
      <c r="K17" s="8"/>
      <c r="L17" s="10"/>
      <c r="M17" s="10"/>
      <c r="N17" s="10"/>
      <c r="O17" s="10"/>
      <c r="P17" s="10"/>
      <c r="Q17" s="10"/>
      <c r="R17" s="5"/>
      <c r="S17" s="14"/>
      <c r="T17" s="30"/>
    </row>
    <row r="18" spans="1:20" ht="12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0"/>
      <c r="M18" s="10"/>
      <c r="N18" s="10"/>
      <c r="O18" s="10"/>
      <c r="P18" s="10"/>
      <c r="Q18" s="10"/>
      <c r="R18" s="5"/>
      <c r="T18" s="6"/>
    </row>
    <row r="19" spans="1:20" ht="12.75" customHeight="1" thickBot="1">
      <c r="A19" s="17" t="s">
        <v>118</v>
      </c>
      <c r="B19" s="10"/>
      <c r="C19" s="10"/>
      <c r="D19" s="10"/>
      <c r="E19" s="10"/>
      <c r="F19" s="10"/>
      <c r="G19" s="10"/>
      <c r="H19" s="5" t="s">
        <v>9</v>
      </c>
      <c r="I19" s="33">
        <f>ROUNDUP(SUM(I17)/27,0)</f>
        <v>2</v>
      </c>
      <c r="J19" s="6" t="s">
        <v>12</v>
      </c>
      <c r="K19" s="17"/>
      <c r="L19" s="10"/>
      <c r="M19" s="10"/>
      <c r="N19" s="10"/>
      <c r="O19" s="10"/>
      <c r="P19" s="10"/>
      <c r="Q19" s="10"/>
      <c r="R19" s="35"/>
      <c r="T19" s="6"/>
    </row>
    <row r="20" spans="1:10" ht="12.75" customHeight="1" thickTop="1">
      <c r="A20" s="2"/>
      <c r="B20" s="2"/>
      <c r="C20" s="2"/>
      <c r="D20" s="2"/>
      <c r="J20" s="16"/>
    </row>
    <row r="21" spans="1:10" ht="12.75" customHeight="1">
      <c r="A21" s="11" t="s">
        <v>28</v>
      </c>
      <c r="B21" s="10"/>
      <c r="C21" s="10"/>
      <c r="D21" s="10"/>
      <c r="E21" s="10"/>
      <c r="F21" s="10"/>
      <c r="G21" s="10"/>
      <c r="H21" s="10"/>
      <c r="I21" s="10"/>
      <c r="J21" s="31"/>
    </row>
    <row r="22" spans="1:10" ht="12.75" customHeight="1">
      <c r="A22" s="9"/>
      <c r="B22" s="10"/>
      <c r="C22" s="10"/>
      <c r="D22" s="10"/>
      <c r="E22" s="10"/>
      <c r="F22" s="10"/>
      <c r="G22" s="10"/>
      <c r="H22" s="10"/>
      <c r="I22" s="10"/>
      <c r="J22" s="31"/>
    </row>
    <row r="23" spans="1:10" ht="12.75" customHeight="1">
      <c r="A23" s="8" t="s">
        <v>183</v>
      </c>
      <c r="B23" s="2"/>
      <c r="C23" s="2"/>
      <c r="D23" s="2"/>
      <c r="H23" s="5" t="s">
        <v>9</v>
      </c>
      <c r="I23" s="12">
        <v>504</v>
      </c>
      <c r="J23" s="18" t="s">
        <v>27</v>
      </c>
    </row>
    <row r="24" spans="1:10" ht="12.75" customHeight="1">
      <c r="A24" s="8" t="s">
        <v>184</v>
      </c>
      <c r="B24" s="2"/>
      <c r="C24" s="2"/>
      <c r="D24" s="2"/>
      <c r="H24" s="5" t="s">
        <v>9</v>
      </c>
      <c r="I24" s="12">
        <v>67</v>
      </c>
      <c r="J24" s="18" t="s">
        <v>27</v>
      </c>
    </row>
    <row r="25" spans="1:10" ht="12.75" customHeight="1">
      <c r="A25" s="9"/>
      <c r="B25" s="10"/>
      <c r="C25" s="10"/>
      <c r="D25" s="10"/>
      <c r="E25" s="10"/>
      <c r="F25" s="10"/>
      <c r="G25" s="10"/>
      <c r="H25" s="10"/>
      <c r="I25" s="10"/>
      <c r="J25" s="31"/>
    </row>
    <row r="26" spans="1:10" ht="12.75" customHeight="1" thickBot="1">
      <c r="A26" s="17" t="s">
        <v>13</v>
      </c>
      <c r="B26" s="10"/>
      <c r="C26" s="10"/>
      <c r="D26" s="10"/>
      <c r="E26" s="10"/>
      <c r="F26" s="10"/>
      <c r="G26" s="10"/>
      <c r="H26" s="5" t="s">
        <v>9</v>
      </c>
      <c r="I26" s="13">
        <f>ROUNDUP(SUM(I23:I24),0)</f>
        <v>571</v>
      </c>
      <c r="J26" s="6" t="s">
        <v>27</v>
      </c>
    </row>
    <row r="27" spans="1:10" ht="12.75" customHeight="1" thickTop="1">
      <c r="A27" s="2"/>
      <c r="B27" s="2"/>
      <c r="C27" s="2"/>
      <c r="D27" s="2"/>
      <c r="J27" s="16"/>
    </row>
    <row r="28" spans="1:10" s="16" customFormat="1" ht="12.75">
      <c r="A28" s="55" t="s">
        <v>138</v>
      </c>
      <c r="B28" s="10"/>
      <c r="C28" s="10"/>
      <c r="D28" s="10"/>
      <c r="E28" s="10"/>
      <c r="F28" s="10"/>
      <c r="G28" s="10"/>
      <c r="H28" s="10"/>
      <c r="I28" s="10"/>
      <c r="J28" s="31"/>
    </row>
    <row r="29" spans="1:10" s="16" customFormat="1" ht="12">
      <c r="A29" s="9"/>
      <c r="B29" s="10"/>
      <c r="C29" s="10"/>
      <c r="D29" s="10"/>
      <c r="E29" s="10"/>
      <c r="F29" s="10"/>
      <c r="G29" s="10"/>
      <c r="H29" s="10"/>
      <c r="I29" s="10"/>
      <c r="J29" s="31"/>
    </row>
    <row r="30" spans="1:10" s="16" customFormat="1" ht="12.75">
      <c r="A30" s="15" t="s">
        <v>62</v>
      </c>
      <c r="B30" s="10"/>
      <c r="C30" s="10"/>
      <c r="D30" s="10"/>
      <c r="E30" s="10"/>
      <c r="F30" s="10"/>
      <c r="G30" s="10"/>
      <c r="H30" s="10"/>
      <c r="I30" s="10"/>
      <c r="J30" s="31"/>
    </row>
    <row r="31" spans="1:10" s="16" customFormat="1" ht="12.75">
      <c r="A31" s="9" t="s">
        <v>99</v>
      </c>
      <c r="B31" s="10"/>
      <c r="C31" s="10"/>
      <c r="D31" s="10"/>
      <c r="E31" s="10"/>
      <c r="F31" s="10"/>
      <c r="G31" s="10"/>
      <c r="H31" s="5" t="s">
        <v>9</v>
      </c>
      <c r="I31" s="14">
        <v>39.66</v>
      </c>
      <c r="J31" s="30" t="s">
        <v>11</v>
      </c>
    </row>
    <row r="32" spans="1:10" s="16" customFormat="1" ht="12.75">
      <c r="A32" s="9" t="s">
        <v>14</v>
      </c>
      <c r="B32" s="10"/>
      <c r="C32" s="10"/>
      <c r="E32" s="10"/>
      <c r="F32" s="10"/>
      <c r="G32" s="10"/>
      <c r="H32" s="5" t="s">
        <v>9</v>
      </c>
      <c r="I32" s="14">
        <v>1</v>
      </c>
      <c r="J32" s="30" t="s">
        <v>10</v>
      </c>
    </row>
    <row r="33" spans="1:10" s="16" customFormat="1" ht="12">
      <c r="A33" s="16" t="s">
        <v>31</v>
      </c>
      <c r="H33" s="5" t="s">
        <v>9</v>
      </c>
      <c r="I33" s="12">
        <f>I31*I32</f>
        <v>39.66</v>
      </c>
      <c r="J33" s="18" t="s">
        <v>16</v>
      </c>
    </row>
    <row r="34" spans="1:10" s="16" customFormat="1" ht="12">
      <c r="A34" s="9"/>
      <c r="B34" s="10"/>
      <c r="C34" s="10"/>
      <c r="D34" s="10"/>
      <c r="E34" s="10"/>
      <c r="F34" s="10"/>
      <c r="G34" s="10"/>
      <c r="H34" s="10"/>
      <c r="I34" s="10"/>
      <c r="J34" s="31"/>
    </row>
    <row r="35" spans="1:10" s="16" customFormat="1" ht="12.75">
      <c r="A35" s="15" t="s">
        <v>63</v>
      </c>
      <c r="B35" s="10"/>
      <c r="C35" s="10"/>
      <c r="D35" s="10"/>
      <c r="E35" s="10"/>
      <c r="F35" s="10"/>
      <c r="G35" s="10"/>
      <c r="H35" s="10"/>
      <c r="I35" s="10"/>
      <c r="J35" s="31"/>
    </row>
    <row r="36" spans="1:10" s="16" customFormat="1" ht="12.75">
      <c r="A36" s="9" t="str">
        <f>A31</f>
        <v>Elevation Area</v>
      </c>
      <c r="B36" s="10"/>
      <c r="C36" s="10"/>
      <c r="D36" s="10"/>
      <c r="E36" s="10"/>
      <c r="F36" s="10"/>
      <c r="G36" s="10"/>
      <c r="H36" s="5" t="s">
        <v>9</v>
      </c>
      <c r="I36" s="14">
        <v>44.64</v>
      </c>
      <c r="J36" s="30" t="str">
        <f>J31</f>
        <v>SF</v>
      </c>
    </row>
    <row r="37" spans="1:10" s="16" customFormat="1" ht="12">
      <c r="A37" s="9" t="str">
        <f>A32</f>
        <v>Width</v>
      </c>
      <c r="B37" s="10"/>
      <c r="C37" s="10"/>
      <c r="D37" s="10"/>
      <c r="E37" s="10"/>
      <c r="F37" s="10"/>
      <c r="G37" s="10"/>
      <c r="H37" s="5" t="s">
        <v>9</v>
      </c>
      <c r="I37" s="12">
        <f>I32</f>
        <v>1</v>
      </c>
      <c r="J37" s="18" t="str">
        <f>J32</f>
        <v>FT</v>
      </c>
    </row>
    <row r="38" spans="1:10" s="16" customFormat="1" ht="12">
      <c r="A38" s="9" t="str">
        <f>A33</f>
        <v>Volume</v>
      </c>
      <c r="H38" s="5" t="s">
        <v>9</v>
      </c>
      <c r="I38" s="12">
        <f>I36*I37</f>
        <v>44.64</v>
      </c>
      <c r="J38" s="18" t="str">
        <f>J33</f>
        <v>CF</v>
      </c>
    </row>
    <row r="39" spans="1:10" s="16" customFormat="1" ht="12">
      <c r="A39" s="9"/>
      <c r="B39" s="10"/>
      <c r="C39" s="10"/>
      <c r="D39" s="10"/>
      <c r="E39" s="10"/>
      <c r="F39" s="10"/>
      <c r="G39" s="10"/>
      <c r="H39" s="10"/>
      <c r="I39" s="10"/>
      <c r="J39" s="31"/>
    </row>
    <row r="40" spans="1:10" s="16" customFormat="1" ht="13.5" thickBot="1">
      <c r="A40" s="17" t="s">
        <v>13</v>
      </c>
      <c r="B40" s="10"/>
      <c r="C40" s="10"/>
      <c r="D40" s="10"/>
      <c r="E40" s="10"/>
      <c r="F40" s="10"/>
      <c r="G40" s="10"/>
      <c r="H40" s="5" t="s">
        <v>9</v>
      </c>
      <c r="I40" s="13">
        <f>ROUNDUP(SUM(I33,I38)/27,0)</f>
        <v>4</v>
      </c>
      <c r="J40" s="6" t="s">
        <v>12</v>
      </c>
    </row>
    <row r="41" spans="1:10" s="16" customFormat="1" ht="12.75" thickTop="1">
      <c r="A41" s="9"/>
      <c r="B41" s="10"/>
      <c r="C41" s="10"/>
      <c r="D41" s="10"/>
      <c r="E41" s="10"/>
      <c r="F41" s="10"/>
      <c r="G41" s="10"/>
      <c r="H41" s="10"/>
      <c r="I41" s="10"/>
      <c r="J41" s="31"/>
    </row>
    <row r="42" spans="1:10" s="16" customFormat="1" ht="12.75">
      <c r="A42" s="11" t="s">
        <v>98</v>
      </c>
      <c r="B42" s="10"/>
      <c r="C42" s="10"/>
      <c r="D42" s="10"/>
      <c r="E42" s="10"/>
      <c r="F42" s="10"/>
      <c r="G42" s="10"/>
      <c r="H42" s="10"/>
      <c r="I42" s="10"/>
      <c r="J42" s="31"/>
    </row>
    <row r="43" spans="1:10" s="16" customFormat="1" ht="12">
      <c r="A43" s="9"/>
      <c r="B43" s="10"/>
      <c r="C43" s="10"/>
      <c r="D43" s="10"/>
      <c r="E43" s="10"/>
      <c r="F43" s="10"/>
      <c r="G43" s="10"/>
      <c r="H43" s="10"/>
      <c r="I43" s="10"/>
      <c r="J43" s="31"/>
    </row>
    <row r="44" spans="1:10" s="16" customFormat="1" ht="12.75">
      <c r="A44" s="9" t="s">
        <v>142</v>
      </c>
      <c r="B44" s="10"/>
      <c r="C44" s="10"/>
      <c r="D44" s="10"/>
      <c r="E44" s="10"/>
      <c r="F44" s="10"/>
      <c r="G44" s="10"/>
      <c r="H44" s="5" t="s">
        <v>9</v>
      </c>
      <c r="I44" s="14">
        <f>(2+3/12)-5/12</f>
        <v>1.8333333333333333</v>
      </c>
      <c r="J44" s="30" t="s">
        <v>10</v>
      </c>
    </row>
    <row r="45" spans="1:10" s="16" customFormat="1" ht="12.75">
      <c r="A45" s="9" t="s">
        <v>143</v>
      </c>
      <c r="B45" s="10"/>
      <c r="C45" s="10"/>
      <c r="D45" s="10"/>
      <c r="E45" s="10"/>
      <c r="F45" s="10"/>
      <c r="G45" s="10"/>
      <c r="H45" s="5" t="s">
        <v>9</v>
      </c>
      <c r="I45" s="14">
        <f>(3+7.5/12)-5/12</f>
        <v>3.2083333333333335</v>
      </c>
      <c r="J45" s="30" t="s">
        <v>10</v>
      </c>
    </row>
    <row r="46" spans="1:10" s="16" customFormat="1" ht="12.75">
      <c r="A46" s="9" t="s">
        <v>144</v>
      </c>
      <c r="B46" s="10"/>
      <c r="C46" s="10"/>
      <c r="D46" s="10"/>
      <c r="E46" s="10"/>
      <c r="F46" s="10"/>
      <c r="G46" s="10"/>
      <c r="H46" s="5" t="s">
        <v>9</v>
      </c>
      <c r="I46" s="14">
        <f>(1+8/12)</f>
        <v>1.6666666666666665</v>
      </c>
      <c r="J46" s="30" t="s">
        <v>10</v>
      </c>
    </row>
    <row r="47" spans="1:10" s="16" customFormat="1" ht="12">
      <c r="A47" s="9" t="s">
        <v>145</v>
      </c>
      <c r="B47" s="10"/>
      <c r="C47" s="10"/>
      <c r="D47" s="10"/>
      <c r="E47" s="10"/>
      <c r="F47" s="10"/>
      <c r="G47" s="10"/>
      <c r="H47" s="5" t="s">
        <v>9</v>
      </c>
      <c r="I47" s="12">
        <f>I44</f>
        <v>1.8333333333333333</v>
      </c>
      <c r="J47" s="18" t="str">
        <f>J44</f>
        <v>FT</v>
      </c>
    </row>
    <row r="48" spans="1:10" s="16" customFormat="1" ht="12.75">
      <c r="A48" s="9" t="s">
        <v>146</v>
      </c>
      <c r="B48" s="10"/>
      <c r="C48" s="10"/>
      <c r="D48" s="10"/>
      <c r="E48" s="10"/>
      <c r="F48" s="10"/>
      <c r="G48" s="10"/>
      <c r="H48" s="5" t="s">
        <v>9</v>
      </c>
      <c r="I48" s="14">
        <f>(1+9/12)</f>
        <v>1.75</v>
      </c>
      <c r="J48" s="30" t="s">
        <v>10</v>
      </c>
    </row>
    <row r="49" spans="1:10" s="16" customFormat="1" ht="12.75">
      <c r="A49" s="9" t="s">
        <v>147</v>
      </c>
      <c r="B49" s="10"/>
      <c r="C49" s="10"/>
      <c r="D49" s="10"/>
      <c r="E49" s="10"/>
      <c r="F49" s="10"/>
      <c r="G49" s="10"/>
      <c r="H49" s="5" t="s">
        <v>9</v>
      </c>
      <c r="I49" s="14">
        <f>(1+1.5/12)</f>
        <v>1.125</v>
      </c>
      <c r="J49" s="30" t="str">
        <f>J44</f>
        <v>FT</v>
      </c>
    </row>
    <row r="50" spans="1:10" s="16" customFormat="1" ht="12">
      <c r="A50" s="16" t="s">
        <v>31</v>
      </c>
      <c r="H50" s="5" t="s">
        <v>9</v>
      </c>
      <c r="I50" s="12">
        <f>(I44*I45*I46)+(I47*I48*I49)</f>
        <v>13.41261574074074</v>
      </c>
      <c r="J50" s="18" t="s">
        <v>16</v>
      </c>
    </row>
    <row r="51" spans="1:10" s="16" customFormat="1" ht="12">
      <c r="A51" s="9"/>
      <c r="B51" s="10"/>
      <c r="C51" s="10"/>
      <c r="D51" s="10"/>
      <c r="E51" s="10"/>
      <c r="F51" s="10"/>
      <c r="G51" s="10"/>
      <c r="H51" s="10"/>
      <c r="I51" s="10"/>
      <c r="J51" s="31"/>
    </row>
    <row r="52" spans="1:10" s="16" customFormat="1" ht="13.5" thickBot="1">
      <c r="A52" s="17" t="s">
        <v>13</v>
      </c>
      <c r="B52" s="10"/>
      <c r="C52" s="10"/>
      <c r="D52" s="10"/>
      <c r="E52" s="10"/>
      <c r="F52" s="10"/>
      <c r="G52" s="10"/>
      <c r="H52" s="5" t="s">
        <v>9</v>
      </c>
      <c r="I52" s="13">
        <f>ROUNDUP(I50/27,0)</f>
        <v>1</v>
      </c>
      <c r="J52" s="6" t="s">
        <v>12</v>
      </c>
    </row>
    <row r="53" spans="1:10" s="16" customFormat="1" ht="12.75" thickTop="1">
      <c r="A53" s="9"/>
      <c r="B53" s="10"/>
      <c r="C53" s="10"/>
      <c r="D53" s="10"/>
      <c r="E53" s="10"/>
      <c r="F53" s="10"/>
      <c r="G53" s="10"/>
      <c r="H53" s="10"/>
      <c r="I53" s="10"/>
      <c r="J53" s="31"/>
    </row>
    <row r="54" spans="1:10" s="16" customFormat="1" ht="12.75">
      <c r="A54" s="11" t="s">
        <v>77</v>
      </c>
      <c r="B54" s="10"/>
      <c r="C54" s="10"/>
      <c r="D54" s="10"/>
      <c r="E54" s="10"/>
      <c r="F54" s="10"/>
      <c r="G54" s="10"/>
      <c r="H54" s="10"/>
      <c r="I54" s="10"/>
      <c r="J54" s="31"/>
    </row>
    <row r="55" spans="1:10" s="16" customFormat="1" ht="12">
      <c r="A55" s="9"/>
      <c r="B55" s="10"/>
      <c r="C55" s="10"/>
      <c r="D55" s="10"/>
      <c r="E55" s="10"/>
      <c r="F55" s="10"/>
      <c r="G55" s="10"/>
      <c r="H55" s="10"/>
      <c r="I55" s="10"/>
      <c r="J55" s="31"/>
    </row>
    <row r="56" spans="1:2" s="16" customFormat="1" ht="24.75">
      <c r="A56" s="20" t="s">
        <v>37</v>
      </c>
      <c r="B56" s="20" t="s">
        <v>43</v>
      </c>
    </row>
    <row r="57" spans="1:2" s="16" customFormat="1" ht="12">
      <c r="A57" s="21" t="s">
        <v>44</v>
      </c>
      <c r="B57" s="24">
        <v>7.5</v>
      </c>
    </row>
    <row r="58" spans="1:2" s="16" customFormat="1" ht="12">
      <c r="A58" s="21" t="s">
        <v>45</v>
      </c>
      <c r="B58" s="24">
        <v>17</v>
      </c>
    </row>
    <row r="59" spans="1:2" s="16" customFormat="1" ht="12">
      <c r="A59" s="21" t="s">
        <v>46</v>
      </c>
      <c r="B59" s="24">
        <v>72</v>
      </c>
    </row>
    <row r="60" s="16" customFormat="1" ht="12"/>
    <row r="61" spans="1:10" s="16" customFormat="1" ht="12">
      <c r="A61" s="16" t="s">
        <v>21</v>
      </c>
      <c r="H61" s="5" t="s">
        <v>9</v>
      </c>
      <c r="I61" s="12">
        <f>SUM(B57:B59)/12</f>
        <v>8.041666666666666</v>
      </c>
      <c r="J61" s="18" t="s">
        <v>10</v>
      </c>
    </row>
    <row r="62" s="16" customFormat="1" ht="12"/>
    <row r="63" spans="1:10" s="16" customFormat="1" ht="12.75">
      <c r="A63" s="25" t="s">
        <v>55</v>
      </c>
      <c r="H63" s="5" t="s">
        <v>9</v>
      </c>
      <c r="I63" s="19">
        <v>0.2</v>
      </c>
      <c r="J63" s="30" t="s">
        <v>23</v>
      </c>
    </row>
    <row r="64" spans="1:10" s="16" customFormat="1" ht="12">
      <c r="A64" s="25" t="s">
        <v>56</v>
      </c>
      <c r="H64" s="5" t="s">
        <v>9</v>
      </c>
      <c r="I64" s="12">
        <f>I61*(I63+1)</f>
        <v>9.649999999999999</v>
      </c>
      <c r="J64" s="18" t="s">
        <v>10</v>
      </c>
    </row>
    <row r="65" s="16" customFormat="1" ht="12"/>
    <row r="66" spans="1:10" s="16" customFormat="1" ht="13.5" thickBot="1">
      <c r="A66" s="17" t="s">
        <v>13</v>
      </c>
      <c r="B66" s="10"/>
      <c r="C66" s="10"/>
      <c r="D66" s="10"/>
      <c r="E66" s="10"/>
      <c r="F66" s="10"/>
      <c r="G66" s="10"/>
      <c r="H66" s="5" t="s">
        <v>9</v>
      </c>
      <c r="I66" s="13">
        <f>ROUNDUP(I64,0)</f>
        <v>10</v>
      </c>
      <c r="J66" s="6" t="s">
        <v>10</v>
      </c>
    </row>
    <row r="67" spans="1:10" s="16" customFormat="1" ht="12.75" thickTop="1">
      <c r="A67" s="9"/>
      <c r="B67" s="10"/>
      <c r="C67" s="10"/>
      <c r="D67" s="10"/>
      <c r="E67" s="10"/>
      <c r="F67" s="10"/>
      <c r="G67" s="10"/>
      <c r="H67" s="10"/>
      <c r="I67" s="10"/>
      <c r="J67" s="31"/>
    </row>
    <row r="68" spans="1:10" s="16" customFormat="1" ht="12.75">
      <c r="A68" s="11" t="s">
        <v>124</v>
      </c>
      <c r="B68" s="10"/>
      <c r="C68" s="10"/>
      <c r="D68" s="10"/>
      <c r="E68" s="10"/>
      <c r="F68" s="10"/>
      <c r="G68" s="10"/>
      <c r="H68" s="10"/>
      <c r="I68" s="10"/>
      <c r="J68" s="31"/>
    </row>
    <row r="69" spans="1:10" s="16" customFormat="1" ht="12">
      <c r="A69" s="9"/>
      <c r="B69" s="10"/>
      <c r="C69" s="10"/>
      <c r="D69" s="10"/>
      <c r="E69" s="10"/>
      <c r="F69" s="10"/>
      <c r="G69" s="10"/>
      <c r="H69" s="10"/>
      <c r="I69" s="10"/>
      <c r="J69" s="31"/>
    </row>
    <row r="70" spans="1:10" s="16" customFormat="1" ht="12.75">
      <c r="A70" s="15" t="s">
        <v>57</v>
      </c>
      <c r="B70" s="10"/>
      <c r="C70" s="10"/>
      <c r="D70" s="10"/>
      <c r="E70" s="10"/>
      <c r="F70" s="10"/>
      <c r="G70" s="10"/>
      <c r="H70" s="10"/>
      <c r="I70" s="10"/>
      <c r="J70" s="31"/>
    </row>
    <row r="71" spans="1:10" s="16" customFormat="1" ht="12.75">
      <c r="A71" s="16" t="s">
        <v>18</v>
      </c>
      <c r="H71" s="5" t="s">
        <v>9</v>
      </c>
      <c r="I71" s="14">
        <f>589.52+1016.356+552.595</f>
        <v>2158.471</v>
      </c>
      <c r="J71" s="30" t="s">
        <v>11</v>
      </c>
    </row>
    <row r="72" spans="1:10" s="16" customFormat="1" ht="12.75">
      <c r="A72" s="16" t="s">
        <v>19</v>
      </c>
      <c r="H72" s="5" t="s">
        <v>9</v>
      </c>
      <c r="I72" s="14">
        <v>3</v>
      </c>
      <c r="J72" s="30" t="s">
        <v>10</v>
      </c>
    </row>
    <row r="73" spans="1:10" s="16" customFormat="1" ht="12">
      <c r="A73" s="16" t="s">
        <v>31</v>
      </c>
      <c r="H73" s="5" t="s">
        <v>9</v>
      </c>
      <c r="I73" s="12">
        <f>I71*I72</f>
        <v>6475.4130000000005</v>
      </c>
      <c r="J73" s="18" t="s">
        <v>16</v>
      </c>
    </row>
    <row r="74" spans="1:10" s="16" customFormat="1" ht="12">
      <c r="A74" s="9"/>
      <c r="B74" s="10"/>
      <c r="C74" s="10"/>
      <c r="D74" s="10"/>
      <c r="E74" s="10"/>
      <c r="F74" s="10"/>
      <c r="G74" s="10"/>
      <c r="H74" s="10"/>
      <c r="I74" s="10"/>
      <c r="J74" s="31"/>
    </row>
    <row r="75" spans="1:10" s="16" customFormat="1" ht="12.75">
      <c r="A75" s="15" t="s">
        <v>58</v>
      </c>
      <c r="B75" s="10"/>
      <c r="C75" s="10"/>
      <c r="D75" s="10"/>
      <c r="E75" s="10"/>
      <c r="F75" s="10"/>
      <c r="G75" s="10"/>
      <c r="H75" s="10"/>
      <c r="I75" s="10"/>
      <c r="J75" s="31"/>
    </row>
    <row r="76" spans="1:10" s="16" customFormat="1" ht="12.75">
      <c r="A76" s="16" t="s">
        <v>59</v>
      </c>
      <c r="H76" s="5" t="s">
        <v>9</v>
      </c>
      <c r="I76" s="14">
        <v>471.207</v>
      </c>
      <c r="J76" s="30" t="s">
        <v>11</v>
      </c>
    </row>
    <row r="77" spans="1:10" s="16" customFormat="1" ht="12.75">
      <c r="A77" s="18" t="s">
        <v>100</v>
      </c>
      <c r="H77" s="5" t="s">
        <v>9</v>
      </c>
      <c r="I77" s="14">
        <v>164.29</v>
      </c>
      <c r="J77" s="30" t="s">
        <v>11</v>
      </c>
    </row>
    <row r="78" spans="1:10" s="16" customFormat="1" ht="12.75">
      <c r="A78" s="18" t="s">
        <v>101</v>
      </c>
      <c r="H78" s="5" t="s">
        <v>9</v>
      </c>
      <c r="I78" s="14">
        <v>14.416</v>
      </c>
      <c r="J78" s="30" t="s">
        <v>11</v>
      </c>
    </row>
    <row r="79" spans="1:10" s="16" customFormat="1" ht="12.75">
      <c r="A79" s="18" t="s">
        <v>102</v>
      </c>
      <c r="H79" s="5" t="s">
        <v>9</v>
      </c>
      <c r="I79" s="14">
        <v>1</v>
      </c>
      <c r="J79" s="30" t="s">
        <v>10</v>
      </c>
    </row>
    <row r="80" spans="1:10" s="16" customFormat="1" ht="12.75">
      <c r="A80" s="18" t="s">
        <v>103</v>
      </c>
      <c r="H80" s="5" t="s">
        <v>9</v>
      </c>
      <c r="I80" s="14">
        <v>1</v>
      </c>
      <c r="J80" s="30" t="s">
        <v>10</v>
      </c>
    </row>
    <row r="81" spans="1:10" s="16" customFormat="1" ht="12">
      <c r="A81" s="16" t="s">
        <v>31</v>
      </c>
      <c r="H81" s="5" t="s">
        <v>9</v>
      </c>
      <c r="I81" s="12">
        <f>(AVERAGE(I76:I77)*I79)+(AVERAGE(I77:I78)*I80)</f>
        <v>407.1015</v>
      </c>
      <c r="J81" s="18" t="s">
        <v>16</v>
      </c>
    </row>
    <row r="82" spans="1:10" s="16" customFormat="1" ht="12">
      <c r="A82" s="9"/>
      <c r="B82" s="10"/>
      <c r="C82" s="10"/>
      <c r="D82" s="10"/>
      <c r="E82" s="10"/>
      <c r="F82" s="10"/>
      <c r="G82" s="10"/>
      <c r="H82" s="10"/>
      <c r="I82" s="10"/>
      <c r="J82" s="31"/>
    </row>
    <row r="83" spans="1:10" s="16" customFormat="1" ht="13.5" thickBot="1">
      <c r="A83" s="17" t="s">
        <v>13</v>
      </c>
      <c r="B83" s="10"/>
      <c r="C83" s="10"/>
      <c r="D83" s="10"/>
      <c r="E83" s="10"/>
      <c r="F83" s="10"/>
      <c r="G83" s="10"/>
      <c r="H83" s="5" t="s">
        <v>9</v>
      </c>
      <c r="I83" s="13">
        <f>ROUNDUP(SUM(I73,I81)/27,0)</f>
        <v>255</v>
      </c>
      <c r="J83" s="6" t="s">
        <v>12</v>
      </c>
    </row>
    <row r="84" spans="1:22" ht="12.75" thickTop="1">
      <c r="A84" s="9"/>
      <c r="B84" s="10"/>
      <c r="C84" s="10"/>
      <c r="D84" s="10"/>
      <c r="E84" s="10"/>
      <c r="F84" s="10"/>
      <c r="G84" s="10"/>
      <c r="H84" s="10"/>
      <c r="I84" s="10"/>
      <c r="J84" s="31"/>
      <c r="K84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2.75">
      <c r="A85" s="11" t="s">
        <v>70</v>
      </c>
      <c r="B85" s="10"/>
      <c r="C85" s="10"/>
      <c r="D85" s="10"/>
      <c r="E85" s="10"/>
      <c r="F85" s="10"/>
      <c r="G85" s="10"/>
      <c r="H85" s="10"/>
      <c r="I85" s="10"/>
      <c r="J85" s="31"/>
      <c r="K85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12">
      <c r="A86" s="9"/>
      <c r="B86" s="10"/>
      <c r="C86" s="10"/>
      <c r="D86" s="10"/>
      <c r="E86" s="10"/>
      <c r="F86" s="10"/>
      <c r="G86" s="10"/>
      <c r="H86" s="10"/>
      <c r="I86" s="10"/>
      <c r="J86" s="31"/>
      <c r="K8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24.75">
      <c r="A87" s="20" t="s">
        <v>37</v>
      </c>
      <c r="B87" s="20" t="s">
        <v>38</v>
      </c>
      <c r="C87" s="20" t="s">
        <v>39</v>
      </c>
      <c r="D87" s="23" t="s">
        <v>40</v>
      </c>
      <c r="J87" s="16"/>
      <c r="K87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11" ht="12">
      <c r="A88" s="27">
        <v>1</v>
      </c>
      <c r="B88" s="27">
        <v>16.25</v>
      </c>
      <c r="C88" s="27">
        <v>3</v>
      </c>
      <c r="D88" s="22">
        <f>B88*C88</f>
        <v>48.75</v>
      </c>
      <c r="E88" s="10"/>
      <c r="F88" s="10"/>
      <c r="G88" s="10"/>
      <c r="H88" s="10"/>
      <c r="I88" s="10"/>
      <c r="J88" s="31"/>
      <c r="K88"/>
    </row>
    <row r="89" spans="1:11" ht="12">
      <c r="A89" s="27">
        <v>2</v>
      </c>
      <c r="B89" s="27">
        <v>16.5</v>
      </c>
      <c r="C89" s="27">
        <v>2.5</v>
      </c>
      <c r="D89" s="22">
        <f aca="true" t="shared" si="0" ref="D89:D124">B89*C89</f>
        <v>41.25</v>
      </c>
      <c r="E89" s="10"/>
      <c r="F89" s="10"/>
      <c r="G89" s="10"/>
      <c r="H89" s="10"/>
      <c r="I89" s="10"/>
      <c r="J89" s="31"/>
      <c r="K89"/>
    </row>
    <row r="90" spans="1:11" ht="12">
      <c r="A90" s="27">
        <v>3</v>
      </c>
      <c r="B90" s="27">
        <v>48.5</v>
      </c>
      <c r="C90" s="27">
        <v>3</v>
      </c>
      <c r="D90" s="22">
        <f t="shared" si="0"/>
        <v>145.5</v>
      </c>
      <c r="E90" s="10"/>
      <c r="F90" s="10"/>
      <c r="G90" s="10"/>
      <c r="H90" s="10"/>
      <c r="I90" s="10"/>
      <c r="J90" s="31"/>
      <c r="K90"/>
    </row>
    <row r="91" spans="1:11" ht="12">
      <c r="A91" s="27">
        <v>4</v>
      </c>
      <c r="B91" s="27">
        <v>52.5</v>
      </c>
      <c r="C91" s="27">
        <v>2.5</v>
      </c>
      <c r="D91" s="22">
        <f t="shared" si="0"/>
        <v>131.25</v>
      </c>
      <c r="E91" s="10"/>
      <c r="F91" s="10"/>
      <c r="G91" s="10"/>
      <c r="H91" s="10"/>
      <c r="I91" s="10"/>
      <c r="J91" s="31"/>
      <c r="K91"/>
    </row>
    <row r="92" spans="1:11" ht="12">
      <c r="A92" s="27">
        <v>5</v>
      </c>
      <c r="B92" s="27">
        <v>52.5</v>
      </c>
      <c r="C92" s="27">
        <v>2</v>
      </c>
      <c r="D92" s="22">
        <f t="shared" si="0"/>
        <v>105</v>
      </c>
      <c r="E92" s="10"/>
      <c r="F92" s="10"/>
      <c r="G92" s="10"/>
      <c r="H92" s="10"/>
      <c r="I92" s="10"/>
      <c r="J92" s="31"/>
      <c r="K92"/>
    </row>
    <row r="93" spans="1:11" ht="12">
      <c r="A93" s="27">
        <v>6</v>
      </c>
      <c r="B93" s="27">
        <v>52.5</v>
      </c>
      <c r="C93" s="27">
        <v>3.5</v>
      </c>
      <c r="D93" s="22">
        <f t="shared" si="0"/>
        <v>183.75</v>
      </c>
      <c r="E93" s="10"/>
      <c r="F93" s="10"/>
      <c r="G93" s="10"/>
      <c r="H93" s="10"/>
      <c r="I93" s="10"/>
      <c r="J93" s="31"/>
      <c r="K93"/>
    </row>
    <row r="94" spans="1:11" ht="12">
      <c r="A94" s="27">
        <v>7</v>
      </c>
      <c r="B94" s="27">
        <v>52.5</v>
      </c>
      <c r="C94" s="27">
        <v>2</v>
      </c>
      <c r="D94" s="22">
        <f t="shared" si="0"/>
        <v>105</v>
      </c>
      <c r="E94" s="10"/>
      <c r="F94" s="10"/>
      <c r="G94" s="10"/>
      <c r="H94" s="10"/>
      <c r="I94" s="10"/>
      <c r="J94" s="31"/>
      <c r="K94"/>
    </row>
    <row r="95" spans="1:10" s="16" customFormat="1" ht="12">
      <c r="A95" s="27">
        <v>8</v>
      </c>
      <c r="B95" s="27">
        <v>18</v>
      </c>
      <c r="C95" s="27">
        <v>4</v>
      </c>
      <c r="D95" s="22">
        <f t="shared" si="0"/>
        <v>72</v>
      </c>
      <c r="E95" s="10"/>
      <c r="F95" s="10"/>
      <c r="G95" s="10"/>
      <c r="H95" s="10"/>
      <c r="I95" s="10"/>
      <c r="J95" s="31"/>
    </row>
    <row r="96" spans="1:11" ht="12">
      <c r="A96" s="27">
        <v>10</v>
      </c>
      <c r="B96" s="27">
        <v>25.5</v>
      </c>
      <c r="C96" s="27">
        <v>4.5</v>
      </c>
      <c r="D96" s="22">
        <f t="shared" si="0"/>
        <v>114.75</v>
      </c>
      <c r="E96" s="10"/>
      <c r="F96" s="10"/>
      <c r="G96" s="10"/>
      <c r="H96" s="10"/>
      <c r="I96" s="10"/>
      <c r="J96" s="31"/>
      <c r="K96"/>
    </row>
    <row r="97" spans="1:11" ht="12">
      <c r="A97" s="27">
        <v>11</v>
      </c>
      <c r="B97" s="27">
        <v>25.5</v>
      </c>
      <c r="C97" s="27">
        <v>3</v>
      </c>
      <c r="D97" s="22">
        <f t="shared" si="0"/>
        <v>76.5</v>
      </c>
      <c r="E97" s="10"/>
      <c r="F97" s="10"/>
      <c r="G97" s="10"/>
      <c r="H97" s="10"/>
      <c r="I97" s="10"/>
      <c r="J97" s="31"/>
      <c r="K97"/>
    </row>
    <row r="98" spans="1:11" ht="12">
      <c r="A98" s="27">
        <v>12</v>
      </c>
      <c r="B98" s="27">
        <v>53.5</v>
      </c>
      <c r="C98" s="27">
        <v>4</v>
      </c>
      <c r="D98" s="22">
        <f t="shared" si="0"/>
        <v>214</v>
      </c>
      <c r="E98" s="10"/>
      <c r="F98" s="10"/>
      <c r="G98" s="10"/>
      <c r="H98" s="10"/>
      <c r="I98" s="10"/>
      <c r="J98" s="31"/>
      <c r="K98"/>
    </row>
    <row r="99" spans="1:11" ht="12">
      <c r="A99" s="27">
        <v>13</v>
      </c>
      <c r="B99" s="27">
        <v>53.5</v>
      </c>
      <c r="C99" s="27">
        <v>2</v>
      </c>
      <c r="D99" s="22">
        <f t="shared" si="0"/>
        <v>107</v>
      </c>
      <c r="E99" s="10"/>
      <c r="F99" s="10"/>
      <c r="G99" s="10"/>
      <c r="H99" s="10"/>
      <c r="I99" s="10"/>
      <c r="J99" s="31"/>
      <c r="K99"/>
    </row>
    <row r="100" spans="1:11" ht="12">
      <c r="A100" s="27">
        <v>15</v>
      </c>
      <c r="B100" s="27">
        <v>58.5</v>
      </c>
      <c r="C100" s="27">
        <v>4</v>
      </c>
      <c r="D100" s="22">
        <f t="shared" si="0"/>
        <v>234</v>
      </c>
      <c r="E100" s="10"/>
      <c r="F100" s="10"/>
      <c r="G100" s="10"/>
      <c r="H100" s="10"/>
      <c r="I100" s="10"/>
      <c r="J100" s="31"/>
      <c r="K100"/>
    </row>
    <row r="101" spans="1:11" ht="12">
      <c r="A101" s="27">
        <v>18</v>
      </c>
      <c r="B101" s="27">
        <v>23</v>
      </c>
      <c r="C101" s="27">
        <v>2</v>
      </c>
      <c r="D101" s="22">
        <f t="shared" si="0"/>
        <v>46</v>
      </c>
      <c r="E101" s="10"/>
      <c r="F101" s="10"/>
      <c r="G101" s="10"/>
      <c r="H101" s="10"/>
      <c r="I101" s="10"/>
      <c r="J101" s="31"/>
      <c r="K101"/>
    </row>
    <row r="102" spans="1:11" ht="12">
      <c r="A102" s="27">
        <v>19</v>
      </c>
      <c r="B102" s="27">
        <v>13</v>
      </c>
      <c r="C102" s="27">
        <v>3.5</v>
      </c>
      <c r="D102" s="22">
        <f t="shared" si="0"/>
        <v>45.5</v>
      </c>
      <c r="E102" s="10"/>
      <c r="F102" s="10"/>
      <c r="G102" s="10"/>
      <c r="H102" s="10"/>
      <c r="I102" s="10"/>
      <c r="J102" s="31"/>
      <c r="K102"/>
    </row>
    <row r="103" spans="1:11" ht="12">
      <c r="A103" s="27">
        <v>20</v>
      </c>
      <c r="B103" s="27">
        <v>15.75</v>
      </c>
      <c r="C103" s="27">
        <v>3.5</v>
      </c>
      <c r="D103" s="22">
        <f t="shared" si="0"/>
        <v>55.125</v>
      </c>
      <c r="E103" s="10"/>
      <c r="F103" s="10"/>
      <c r="G103" s="10"/>
      <c r="H103" s="10"/>
      <c r="I103" s="10"/>
      <c r="J103" s="31"/>
      <c r="K103"/>
    </row>
    <row r="104" spans="1:11" ht="12">
      <c r="A104" s="27">
        <v>21</v>
      </c>
      <c r="B104" s="27">
        <v>15.75</v>
      </c>
      <c r="C104" s="27">
        <v>2.5</v>
      </c>
      <c r="D104" s="22">
        <f t="shared" si="0"/>
        <v>39.375</v>
      </c>
      <c r="E104" s="10"/>
      <c r="F104" s="10"/>
      <c r="G104" s="10"/>
      <c r="H104" s="10"/>
      <c r="I104" s="10"/>
      <c r="J104" s="31"/>
      <c r="K104"/>
    </row>
    <row r="105" spans="1:11" ht="12">
      <c r="A105" s="27">
        <v>22</v>
      </c>
      <c r="B105" s="27">
        <v>3</v>
      </c>
      <c r="C105" s="27">
        <v>6</v>
      </c>
      <c r="D105" s="22">
        <f t="shared" si="0"/>
        <v>18</v>
      </c>
      <c r="E105" s="10"/>
      <c r="F105" s="10"/>
      <c r="G105" s="10"/>
      <c r="H105" s="10"/>
      <c r="I105" s="10"/>
      <c r="J105" s="31"/>
      <c r="K105"/>
    </row>
    <row r="106" spans="1:11" ht="12">
      <c r="A106" s="27">
        <v>23</v>
      </c>
      <c r="B106" s="27">
        <v>15.75</v>
      </c>
      <c r="C106" s="27">
        <v>2</v>
      </c>
      <c r="D106" s="22">
        <f t="shared" si="0"/>
        <v>31.5</v>
      </c>
      <c r="E106" s="10"/>
      <c r="F106" s="10"/>
      <c r="G106" s="10"/>
      <c r="H106" s="10"/>
      <c r="I106" s="10"/>
      <c r="J106" s="31"/>
      <c r="K106"/>
    </row>
    <row r="107" spans="1:11" ht="12">
      <c r="A107" s="27">
        <v>24</v>
      </c>
      <c r="B107" s="27">
        <v>19.5</v>
      </c>
      <c r="C107" s="27">
        <v>3</v>
      </c>
      <c r="D107" s="22">
        <f t="shared" si="0"/>
        <v>58.5</v>
      </c>
      <c r="E107" s="10"/>
      <c r="F107" s="10"/>
      <c r="G107" s="10"/>
      <c r="H107" s="10"/>
      <c r="I107" s="10"/>
      <c r="J107" s="31"/>
      <c r="K107"/>
    </row>
    <row r="108" spans="1:11" ht="12">
      <c r="A108" s="27">
        <v>25</v>
      </c>
      <c r="B108" s="27">
        <v>22</v>
      </c>
      <c r="C108" s="27">
        <v>2</v>
      </c>
      <c r="D108" s="22">
        <f t="shared" si="0"/>
        <v>44</v>
      </c>
      <c r="E108" s="10"/>
      <c r="F108" s="10"/>
      <c r="G108" s="10"/>
      <c r="H108" s="10"/>
      <c r="I108" s="10"/>
      <c r="J108" s="31"/>
      <c r="K108"/>
    </row>
    <row r="109" spans="1:11" ht="12">
      <c r="A109" s="27">
        <v>26</v>
      </c>
      <c r="B109" s="27">
        <v>67</v>
      </c>
      <c r="C109" s="27">
        <v>3</v>
      </c>
      <c r="D109" s="22">
        <f t="shared" si="0"/>
        <v>201</v>
      </c>
      <c r="E109" s="10"/>
      <c r="F109" s="10"/>
      <c r="G109" s="10"/>
      <c r="H109" s="10"/>
      <c r="I109" s="10"/>
      <c r="J109" s="31"/>
      <c r="K109"/>
    </row>
    <row r="110" spans="1:10" s="16" customFormat="1" ht="12">
      <c r="A110" s="27">
        <v>27</v>
      </c>
      <c r="B110" s="27">
        <v>13</v>
      </c>
      <c r="C110" s="27">
        <v>5</v>
      </c>
      <c r="D110" s="22">
        <f t="shared" si="0"/>
        <v>65</v>
      </c>
      <c r="E110" s="10"/>
      <c r="F110" s="10"/>
      <c r="G110" s="10"/>
      <c r="H110" s="10"/>
      <c r="I110" s="10"/>
      <c r="J110" s="31"/>
    </row>
    <row r="111" spans="1:10" s="16" customFormat="1" ht="12">
      <c r="A111" s="27">
        <v>28</v>
      </c>
      <c r="B111" s="27">
        <v>52</v>
      </c>
      <c r="C111" s="27">
        <v>3</v>
      </c>
      <c r="D111" s="22">
        <f t="shared" si="0"/>
        <v>156</v>
      </c>
      <c r="E111" s="10"/>
      <c r="F111" s="10"/>
      <c r="G111" s="10"/>
      <c r="H111" s="10"/>
      <c r="I111" s="10"/>
      <c r="J111" s="31"/>
    </row>
    <row r="112" spans="1:10" s="16" customFormat="1" ht="12">
      <c r="A112" s="27">
        <v>29</v>
      </c>
      <c r="B112" s="27">
        <v>20</v>
      </c>
      <c r="C112" s="27">
        <v>2</v>
      </c>
      <c r="D112" s="22">
        <f t="shared" si="0"/>
        <v>40</v>
      </c>
      <c r="E112" s="10"/>
      <c r="F112" s="10"/>
      <c r="G112" s="10"/>
      <c r="H112" s="10"/>
      <c r="I112" s="10"/>
      <c r="J112" s="31"/>
    </row>
    <row r="113" spans="1:10" s="16" customFormat="1" ht="12">
      <c r="A113" s="27">
        <v>30</v>
      </c>
      <c r="B113" s="27">
        <v>8</v>
      </c>
      <c r="C113" s="27">
        <v>2.5</v>
      </c>
      <c r="D113" s="22">
        <f t="shared" si="0"/>
        <v>20</v>
      </c>
      <c r="E113" s="10"/>
      <c r="F113" s="10"/>
      <c r="G113" s="10"/>
      <c r="H113" s="10"/>
      <c r="I113" s="10"/>
      <c r="J113" s="31"/>
    </row>
    <row r="114" spans="1:11" ht="12">
      <c r="A114" s="27">
        <v>31</v>
      </c>
      <c r="B114" s="27">
        <v>27.5</v>
      </c>
      <c r="C114" s="27">
        <v>2</v>
      </c>
      <c r="D114" s="22">
        <f t="shared" si="0"/>
        <v>55</v>
      </c>
      <c r="E114" s="10"/>
      <c r="F114" s="10"/>
      <c r="G114" s="10"/>
      <c r="H114" s="10"/>
      <c r="I114" s="10"/>
      <c r="J114" s="31"/>
      <c r="K114"/>
    </row>
    <row r="115" spans="1:10" s="16" customFormat="1" ht="12">
      <c r="A115" s="27">
        <v>32</v>
      </c>
      <c r="B115" s="27">
        <v>11</v>
      </c>
      <c r="C115" s="27">
        <v>2</v>
      </c>
      <c r="D115" s="22">
        <f t="shared" si="0"/>
        <v>22</v>
      </c>
      <c r="E115" s="10"/>
      <c r="F115" s="10"/>
      <c r="G115" s="10"/>
      <c r="H115" s="10"/>
      <c r="I115" s="10"/>
      <c r="J115" s="31"/>
    </row>
    <row r="116" spans="1:10" s="16" customFormat="1" ht="12">
      <c r="A116" s="27">
        <v>33</v>
      </c>
      <c r="B116" s="27">
        <v>57.5</v>
      </c>
      <c r="C116" s="27">
        <v>5</v>
      </c>
      <c r="D116" s="22">
        <f t="shared" si="0"/>
        <v>287.5</v>
      </c>
      <c r="E116" s="10"/>
      <c r="F116" s="10"/>
      <c r="G116" s="10"/>
      <c r="H116" s="10"/>
      <c r="I116" s="10"/>
      <c r="J116" s="31"/>
    </row>
    <row r="117" spans="1:10" s="16" customFormat="1" ht="12">
      <c r="A117" s="27">
        <v>35</v>
      </c>
      <c r="B117" s="27">
        <v>19.5</v>
      </c>
      <c r="C117" s="27">
        <v>5</v>
      </c>
      <c r="D117" s="22">
        <f t="shared" si="0"/>
        <v>97.5</v>
      </c>
      <c r="E117" s="10"/>
      <c r="F117" s="10"/>
      <c r="G117" s="10"/>
      <c r="H117" s="10"/>
      <c r="I117" s="10"/>
      <c r="J117" s="31"/>
    </row>
    <row r="118" spans="1:10" s="16" customFormat="1" ht="12">
      <c r="A118" s="27">
        <v>37</v>
      </c>
      <c r="B118" s="27">
        <v>29</v>
      </c>
      <c r="C118" s="27">
        <v>4.5</v>
      </c>
      <c r="D118" s="22">
        <f t="shared" si="0"/>
        <v>130.5</v>
      </c>
      <c r="E118" s="10"/>
      <c r="F118" s="10"/>
      <c r="G118" s="10"/>
      <c r="H118" s="10"/>
      <c r="I118" s="10"/>
      <c r="J118" s="31"/>
    </row>
    <row r="119" spans="1:10" s="16" customFormat="1" ht="12">
      <c r="A119" s="27">
        <v>38</v>
      </c>
      <c r="B119" s="28">
        <v>26</v>
      </c>
      <c r="C119" s="28">
        <v>2.5</v>
      </c>
      <c r="D119" s="22">
        <f t="shared" si="0"/>
        <v>65</v>
      </c>
      <c r="E119" s="10"/>
      <c r="F119" s="10"/>
      <c r="G119" s="10"/>
      <c r="H119" s="10"/>
      <c r="I119" s="10"/>
      <c r="J119" s="31"/>
    </row>
    <row r="120" spans="1:10" s="16" customFormat="1" ht="12">
      <c r="A120" s="27">
        <v>39</v>
      </c>
      <c r="B120" s="28">
        <v>36</v>
      </c>
      <c r="C120" s="28">
        <v>4</v>
      </c>
      <c r="D120" s="22">
        <f t="shared" si="0"/>
        <v>144</v>
      </c>
      <c r="E120" s="10"/>
      <c r="F120" s="10"/>
      <c r="G120" s="10"/>
      <c r="H120" s="10"/>
      <c r="I120" s="10"/>
      <c r="J120" s="31"/>
    </row>
    <row r="121" spans="1:10" s="16" customFormat="1" ht="12">
      <c r="A121" s="27">
        <v>41</v>
      </c>
      <c r="B121" s="28">
        <v>36</v>
      </c>
      <c r="C121" s="28">
        <v>4.5</v>
      </c>
      <c r="D121" s="22">
        <f t="shared" si="0"/>
        <v>162</v>
      </c>
      <c r="E121" s="10"/>
      <c r="F121" s="10"/>
      <c r="G121" s="10"/>
      <c r="H121" s="10"/>
      <c r="I121" s="10"/>
      <c r="J121" s="31"/>
    </row>
    <row r="122" spans="1:10" s="16" customFormat="1" ht="12">
      <c r="A122" s="27">
        <v>43</v>
      </c>
      <c r="B122" s="28">
        <v>5.5</v>
      </c>
      <c r="C122" s="28">
        <v>3</v>
      </c>
      <c r="D122" s="22">
        <f t="shared" si="0"/>
        <v>16.5</v>
      </c>
      <c r="E122" s="10"/>
      <c r="F122" s="10"/>
      <c r="G122" s="10"/>
      <c r="H122" s="10"/>
      <c r="I122" s="10"/>
      <c r="J122" s="31"/>
    </row>
    <row r="123" spans="1:10" ht="12">
      <c r="A123" s="27">
        <v>44</v>
      </c>
      <c r="B123" s="28">
        <v>20.5</v>
      </c>
      <c r="C123" s="28">
        <v>5</v>
      </c>
      <c r="D123" s="22">
        <f t="shared" si="0"/>
        <v>102.5</v>
      </c>
      <c r="E123" s="10"/>
      <c r="F123" s="10"/>
      <c r="G123" s="10"/>
      <c r="H123" s="10"/>
      <c r="I123" s="10"/>
      <c r="J123" s="31"/>
    </row>
    <row r="124" spans="1:10" ht="12">
      <c r="A124" s="27">
        <v>48</v>
      </c>
      <c r="B124" s="28">
        <v>22.5</v>
      </c>
      <c r="C124" s="28">
        <v>2</v>
      </c>
      <c r="D124" s="22">
        <f t="shared" si="0"/>
        <v>45</v>
      </c>
      <c r="E124" s="10"/>
      <c r="F124" s="10"/>
      <c r="G124" s="10"/>
      <c r="H124" s="10"/>
      <c r="I124" s="10"/>
      <c r="J124" s="31"/>
    </row>
    <row r="125" spans="1:10" ht="1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12">
      <c r="A126" s="16" t="s">
        <v>21</v>
      </c>
      <c r="B126" s="16"/>
      <c r="C126" s="16"/>
      <c r="D126" s="16"/>
      <c r="E126" s="16"/>
      <c r="F126" s="16"/>
      <c r="G126" s="16"/>
      <c r="H126" s="5" t="s">
        <v>9</v>
      </c>
      <c r="I126" s="12">
        <f>SUM(D88:D124)/144</f>
        <v>24.48784722222222</v>
      </c>
      <c r="J126" s="18" t="s">
        <v>11</v>
      </c>
    </row>
    <row r="127" spans="1:10" ht="12">
      <c r="A127" s="16"/>
      <c r="B127" s="16"/>
      <c r="C127" s="16"/>
      <c r="D127" s="16"/>
      <c r="E127" s="16"/>
      <c r="F127" s="16"/>
      <c r="G127" s="16"/>
      <c r="H127" s="5"/>
      <c r="I127" s="16"/>
      <c r="J127" s="18"/>
    </row>
    <row r="128" spans="1:10" ht="12.75">
      <c r="A128" s="25" t="s">
        <v>55</v>
      </c>
      <c r="B128" s="16"/>
      <c r="C128" s="16"/>
      <c r="D128" s="16"/>
      <c r="E128" s="16"/>
      <c r="F128" s="16"/>
      <c r="G128" s="16"/>
      <c r="H128" s="5" t="s">
        <v>9</v>
      </c>
      <c r="I128" s="19">
        <v>0.2</v>
      </c>
      <c r="J128" s="30" t="s">
        <v>23</v>
      </c>
    </row>
    <row r="129" spans="1:10" ht="12">
      <c r="A129" s="25" t="s">
        <v>56</v>
      </c>
      <c r="B129" s="16"/>
      <c r="C129" s="16"/>
      <c r="D129" s="16"/>
      <c r="E129" s="16"/>
      <c r="F129" s="16"/>
      <c r="G129" s="16"/>
      <c r="H129" s="5" t="s">
        <v>9</v>
      </c>
      <c r="I129" s="12">
        <f>(1+I128)*I126</f>
        <v>29.385416666666664</v>
      </c>
      <c r="J129" s="18" t="s">
        <v>11</v>
      </c>
    </row>
    <row r="130" spans="1:10" ht="12">
      <c r="A130" s="16"/>
      <c r="B130" s="16"/>
      <c r="C130" s="16"/>
      <c r="D130" s="16"/>
      <c r="E130" s="16"/>
      <c r="F130" s="16"/>
      <c r="G130" s="16"/>
      <c r="H130" s="5"/>
      <c r="I130" s="5"/>
      <c r="J130" s="18"/>
    </row>
    <row r="131" spans="1:10" ht="13.5" thickBot="1">
      <c r="A131" s="17" t="s">
        <v>13</v>
      </c>
      <c r="B131" s="10"/>
      <c r="C131" s="10"/>
      <c r="D131" s="10"/>
      <c r="E131" s="10"/>
      <c r="F131" s="10"/>
      <c r="G131" s="10"/>
      <c r="H131" s="5" t="s">
        <v>9</v>
      </c>
      <c r="I131" s="13">
        <f>ROUNDUP(I129,0)</f>
        <v>30</v>
      </c>
      <c r="J131" s="6" t="s">
        <v>11</v>
      </c>
    </row>
    <row r="132" spans="1:10" ht="12.75" thickTop="1">
      <c r="A132" s="16"/>
      <c r="B132" s="16"/>
      <c r="C132" s="16"/>
      <c r="D132" s="16"/>
      <c r="E132" s="16"/>
      <c r="F132" s="16"/>
      <c r="G132" s="16"/>
      <c r="H132" s="5"/>
      <c r="I132" s="5"/>
      <c r="J132" s="18"/>
    </row>
    <row r="133" spans="1:10" ht="12.75">
      <c r="A133" s="11" t="s">
        <v>76</v>
      </c>
      <c r="B133" s="10"/>
      <c r="C133" s="10"/>
      <c r="D133" s="10"/>
      <c r="E133" s="10"/>
      <c r="F133" s="10"/>
      <c r="G133" s="10"/>
      <c r="H133" s="10"/>
      <c r="I133" s="10"/>
      <c r="J133" s="31"/>
    </row>
    <row r="134" spans="1:10" ht="12">
      <c r="A134" s="9"/>
      <c r="B134" s="10"/>
      <c r="C134" s="10"/>
      <c r="D134" s="10"/>
      <c r="E134" s="10"/>
      <c r="F134" s="10"/>
      <c r="G134" s="10"/>
      <c r="H134" s="10"/>
      <c r="I134" s="10"/>
      <c r="J134" s="31"/>
    </row>
    <row r="135" spans="1:10" ht="24.75">
      <c r="A135" s="20" t="s">
        <v>37</v>
      </c>
      <c r="B135" s="20" t="s">
        <v>38</v>
      </c>
      <c r="C135" s="20" t="s">
        <v>39</v>
      </c>
      <c r="D135" s="23" t="s">
        <v>40</v>
      </c>
      <c r="J135" s="16"/>
    </row>
    <row r="136" spans="1:10" ht="12">
      <c r="A136" s="27">
        <v>9</v>
      </c>
      <c r="B136" s="27">
        <v>18</v>
      </c>
      <c r="C136" s="27">
        <v>6</v>
      </c>
      <c r="D136" s="22">
        <f aca="true" t="shared" si="1" ref="D136:D146">B136*C136</f>
        <v>108</v>
      </c>
      <c r="E136" s="10"/>
      <c r="F136" s="10"/>
      <c r="G136" s="10"/>
      <c r="H136" s="10"/>
      <c r="I136" s="10"/>
      <c r="J136" s="31"/>
    </row>
    <row r="137" spans="1:10" ht="12">
      <c r="A137" s="27">
        <v>14</v>
      </c>
      <c r="B137" s="27">
        <v>7</v>
      </c>
      <c r="C137" s="27">
        <v>13.5</v>
      </c>
      <c r="D137" s="22">
        <f t="shared" si="1"/>
        <v>94.5</v>
      </c>
      <c r="E137" s="10"/>
      <c r="F137" s="10"/>
      <c r="G137" s="10"/>
      <c r="H137" s="10"/>
      <c r="I137" s="10"/>
      <c r="J137" s="31"/>
    </row>
    <row r="138" spans="1:10" ht="12">
      <c r="A138" s="27">
        <v>16</v>
      </c>
      <c r="B138" s="27">
        <v>10.5</v>
      </c>
      <c r="C138" s="27">
        <v>14</v>
      </c>
      <c r="D138" s="22">
        <f t="shared" si="1"/>
        <v>147</v>
      </c>
      <c r="E138" s="10"/>
      <c r="F138" s="10"/>
      <c r="G138" s="10"/>
      <c r="H138" s="10"/>
      <c r="I138" s="10"/>
      <c r="J138" s="31"/>
    </row>
    <row r="139" spans="1:10" ht="12">
      <c r="A139" s="27">
        <v>17</v>
      </c>
      <c r="B139" s="27">
        <v>11</v>
      </c>
      <c r="C139" s="27">
        <v>7</v>
      </c>
      <c r="D139" s="22">
        <f t="shared" si="1"/>
        <v>77</v>
      </c>
      <c r="E139" s="10"/>
      <c r="F139" s="10"/>
      <c r="G139" s="10"/>
      <c r="H139" s="10"/>
      <c r="I139" s="10"/>
      <c r="J139" s="31"/>
    </row>
    <row r="140" spans="1:10" ht="12">
      <c r="A140" s="27">
        <v>34</v>
      </c>
      <c r="B140" s="27">
        <v>13</v>
      </c>
      <c r="C140" s="27">
        <v>12.5</v>
      </c>
      <c r="D140" s="22">
        <f t="shared" si="1"/>
        <v>162.5</v>
      </c>
      <c r="E140" s="10"/>
      <c r="F140" s="10"/>
      <c r="G140" s="10"/>
      <c r="H140" s="10"/>
      <c r="I140" s="10"/>
      <c r="J140" s="31"/>
    </row>
    <row r="141" spans="1:10" ht="12">
      <c r="A141" s="27">
        <v>36</v>
      </c>
      <c r="B141" s="27">
        <v>41.5</v>
      </c>
      <c r="C141" s="27">
        <v>7.5</v>
      </c>
      <c r="D141" s="22">
        <f t="shared" si="1"/>
        <v>311.25</v>
      </c>
      <c r="E141" s="10"/>
      <c r="F141" s="10"/>
      <c r="G141" s="10"/>
      <c r="H141" s="10"/>
      <c r="I141" s="10"/>
      <c r="J141" s="31"/>
    </row>
    <row r="142" spans="1:10" ht="12">
      <c r="A142" s="27">
        <v>40</v>
      </c>
      <c r="B142" s="28">
        <v>8</v>
      </c>
      <c r="C142" s="28">
        <v>13.5</v>
      </c>
      <c r="D142" s="22">
        <f t="shared" si="1"/>
        <v>108</v>
      </c>
      <c r="E142" s="10"/>
      <c r="F142" s="10"/>
      <c r="G142" s="10"/>
      <c r="H142" s="10"/>
      <c r="I142" s="10"/>
      <c r="J142" s="31"/>
    </row>
    <row r="143" spans="1:10" ht="12">
      <c r="A143" s="27">
        <v>42</v>
      </c>
      <c r="B143" s="28">
        <v>23.5</v>
      </c>
      <c r="C143" s="28">
        <v>6</v>
      </c>
      <c r="D143" s="22">
        <f t="shared" si="1"/>
        <v>141</v>
      </c>
      <c r="E143" s="10"/>
      <c r="F143" s="10"/>
      <c r="G143" s="10"/>
      <c r="H143" s="10"/>
      <c r="I143" s="10"/>
      <c r="J143" s="31"/>
    </row>
    <row r="144" spans="1:10" ht="12">
      <c r="A144" s="27">
        <v>45</v>
      </c>
      <c r="B144" s="28">
        <v>8</v>
      </c>
      <c r="C144" s="28">
        <v>14</v>
      </c>
      <c r="D144" s="22">
        <f t="shared" si="1"/>
        <v>112</v>
      </c>
      <c r="E144" s="10"/>
      <c r="F144" s="10"/>
      <c r="G144" s="10"/>
      <c r="H144" s="10"/>
      <c r="I144" s="10"/>
      <c r="J144" s="31"/>
    </row>
    <row r="145" spans="1:10" ht="12">
      <c r="A145" s="27">
        <v>46</v>
      </c>
      <c r="B145" s="28">
        <v>22.5</v>
      </c>
      <c r="C145" s="28">
        <v>7</v>
      </c>
      <c r="D145" s="22">
        <f t="shared" si="1"/>
        <v>157.5</v>
      </c>
      <c r="E145" s="10"/>
      <c r="F145" s="10"/>
      <c r="G145" s="10"/>
      <c r="H145" s="10"/>
      <c r="I145" s="10"/>
      <c r="J145" s="31"/>
    </row>
    <row r="146" spans="1:10" ht="12">
      <c r="A146" s="27">
        <v>47</v>
      </c>
      <c r="B146" s="28">
        <v>21</v>
      </c>
      <c r="C146" s="28">
        <v>8</v>
      </c>
      <c r="D146" s="22">
        <f t="shared" si="1"/>
        <v>168</v>
      </c>
      <c r="E146" s="10"/>
      <c r="F146" s="10"/>
      <c r="G146" s="10"/>
      <c r="H146" s="10"/>
      <c r="I146" s="10"/>
      <c r="J146" s="31"/>
    </row>
    <row r="147" spans="1:10" ht="1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ht="12">
      <c r="A148" s="16" t="s">
        <v>148</v>
      </c>
      <c r="B148" s="16"/>
      <c r="C148" s="16"/>
      <c r="D148" s="16"/>
      <c r="E148" s="16"/>
      <c r="F148" s="16"/>
      <c r="G148" s="16"/>
      <c r="H148" s="5" t="s">
        <v>9</v>
      </c>
      <c r="I148" s="12">
        <f>SUM(D136:D146)/144</f>
        <v>11.019097222222221</v>
      </c>
      <c r="J148" s="18" t="s">
        <v>11</v>
      </c>
    </row>
    <row r="149" spans="1:10" ht="12">
      <c r="A149" s="16"/>
      <c r="B149" s="16"/>
      <c r="C149" s="16"/>
      <c r="D149" s="16"/>
      <c r="E149" s="16"/>
      <c r="F149" s="16"/>
      <c r="G149" s="16"/>
      <c r="H149" s="5"/>
      <c r="I149" s="16"/>
      <c r="J149" s="18"/>
    </row>
    <row r="150" spans="1:10" ht="12">
      <c r="A150" s="16" t="s">
        <v>149</v>
      </c>
      <c r="B150" s="16"/>
      <c r="C150" s="16"/>
      <c r="D150" s="16"/>
      <c r="E150" s="16"/>
      <c r="F150" s="16"/>
      <c r="G150" s="16"/>
      <c r="H150" s="5"/>
      <c r="I150" s="16"/>
      <c r="J150" s="18"/>
    </row>
    <row r="151" spans="1:10" ht="24.75">
      <c r="A151" s="20" t="s">
        <v>152</v>
      </c>
      <c r="B151" s="20" t="s">
        <v>38</v>
      </c>
      <c r="C151" s="20" t="s">
        <v>39</v>
      </c>
      <c r="D151" s="23" t="s">
        <v>40</v>
      </c>
      <c r="E151" s="16"/>
      <c r="F151" s="16"/>
      <c r="G151" s="16"/>
      <c r="H151" s="5"/>
      <c r="I151" s="16"/>
      <c r="J151" s="18"/>
    </row>
    <row r="152" spans="1:10" ht="12">
      <c r="A152" s="27" t="s">
        <v>150</v>
      </c>
      <c r="B152" s="27">
        <v>27</v>
      </c>
      <c r="C152" s="27">
        <v>20</v>
      </c>
      <c r="D152" s="22">
        <f>B152*C152</f>
        <v>540</v>
      </c>
      <c r="E152" s="16"/>
      <c r="F152" s="16"/>
      <c r="G152" s="16"/>
      <c r="H152" s="5"/>
      <c r="I152" s="16"/>
      <c r="J152" s="18"/>
    </row>
    <row r="153" spans="1:10" ht="12">
      <c r="A153" s="27" t="s">
        <v>151</v>
      </c>
      <c r="B153" s="27">
        <v>21</v>
      </c>
      <c r="C153" s="27">
        <v>13.5</v>
      </c>
      <c r="D153" s="22">
        <f>B153*C153</f>
        <v>283.5</v>
      </c>
      <c r="E153" s="16"/>
      <c r="F153" s="16"/>
      <c r="G153" s="16"/>
      <c r="H153" s="5"/>
      <c r="I153" s="16"/>
      <c r="J153" s="18"/>
    </row>
    <row r="154" spans="1:10" ht="12">
      <c r="A154" s="27" t="s">
        <v>151</v>
      </c>
      <c r="B154" s="27">
        <v>38.5</v>
      </c>
      <c r="C154" s="27">
        <v>20</v>
      </c>
      <c r="D154" s="22">
        <f>B154*C154</f>
        <v>770</v>
      </c>
      <c r="E154" s="16"/>
      <c r="F154" s="16"/>
      <c r="G154" s="16"/>
      <c r="H154" s="5"/>
      <c r="I154" s="16"/>
      <c r="J154" s="18"/>
    </row>
    <row r="155" spans="1:10" ht="12">
      <c r="A155" s="16"/>
      <c r="B155" s="16"/>
      <c r="C155" s="16"/>
      <c r="D155" s="16"/>
      <c r="E155" s="16"/>
      <c r="F155" s="16"/>
      <c r="G155" s="16"/>
      <c r="H155" s="5"/>
      <c r="I155" s="16"/>
      <c r="J155" s="18"/>
    </row>
    <row r="156" spans="1:10" ht="12">
      <c r="A156" s="16" t="s">
        <v>148</v>
      </c>
      <c r="B156" s="16"/>
      <c r="C156" s="16"/>
      <c r="D156" s="16"/>
      <c r="E156" s="16"/>
      <c r="F156" s="16"/>
      <c r="G156" s="16"/>
      <c r="H156" s="5" t="s">
        <v>9</v>
      </c>
      <c r="I156" s="12">
        <f>SUM(D152:D154)/144</f>
        <v>11.065972222222221</v>
      </c>
      <c r="J156" s="18" t="s">
        <v>11</v>
      </c>
    </row>
    <row r="157" spans="1:10" ht="12">
      <c r="A157" s="16"/>
      <c r="B157" s="16"/>
      <c r="C157" s="16"/>
      <c r="D157" s="16"/>
      <c r="E157" s="16"/>
      <c r="F157" s="16"/>
      <c r="G157" s="16"/>
      <c r="H157" s="5"/>
      <c r="I157" s="16"/>
      <c r="J157" s="18"/>
    </row>
    <row r="158" spans="1:10" ht="12">
      <c r="A158" s="16" t="s">
        <v>21</v>
      </c>
      <c r="B158" s="16"/>
      <c r="C158" s="16"/>
      <c r="D158" s="16"/>
      <c r="E158" s="16"/>
      <c r="F158" s="16"/>
      <c r="G158" s="16"/>
      <c r="H158" s="5" t="s">
        <v>9</v>
      </c>
      <c r="I158" s="12">
        <f>I148+I156</f>
        <v>22.085069444444443</v>
      </c>
      <c r="J158" s="18" t="s">
        <v>11</v>
      </c>
    </row>
    <row r="159" spans="1:10" ht="12.75">
      <c r="A159" s="25" t="s">
        <v>55</v>
      </c>
      <c r="B159" s="16"/>
      <c r="C159" s="16"/>
      <c r="D159" s="16"/>
      <c r="E159" s="16"/>
      <c r="F159" s="16"/>
      <c r="G159" s="16"/>
      <c r="H159" s="5" t="s">
        <v>9</v>
      </c>
      <c r="I159" s="19">
        <v>0.2</v>
      </c>
      <c r="J159" s="30" t="s">
        <v>23</v>
      </c>
    </row>
    <row r="160" spans="1:10" ht="12">
      <c r="A160" s="25" t="s">
        <v>56</v>
      </c>
      <c r="B160" s="16"/>
      <c r="C160" s="16"/>
      <c r="D160" s="16"/>
      <c r="E160" s="16"/>
      <c r="F160" s="16"/>
      <c r="G160" s="16"/>
      <c r="H160" s="5" t="s">
        <v>9</v>
      </c>
      <c r="I160" s="12">
        <f>(1+I159)*I158</f>
        <v>26.50208333333333</v>
      </c>
      <c r="J160" s="18" t="s">
        <v>11</v>
      </c>
    </row>
    <row r="161" spans="1:10" ht="12">
      <c r="A161" s="16"/>
      <c r="B161" s="16"/>
      <c r="C161" s="16"/>
      <c r="D161" s="16"/>
      <c r="E161" s="16"/>
      <c r="F161" s="16"/>
      <c r="G161" s="16"/>
      <c r="H161" s="5"/>
      <c r="I161" s="5"/>
      <c r="J161" s="18"/>
    </row>
    <row r="162" spans="1:10" ht="13.5" thickBot="1">
      <c r="A162" s="17" t="s">
        <v>13</v>
      </c>
      <c r="B162" s="10"/>
      <c r="C162" s="10"/>
      <c r="D162" s="10"/>
      <c r="E162" s="10"/>
      <c r="F162" s="10"/>
      <c r="G162" s="10"/>
      <c r="H162" s="5" t="s">
        <v>9</v>
      </c>
      <c r="I162" s="13">
        <f>ROUNDUP(I160,0)</f>
        <v>27</v>
      </c>
      <c r="J162" s="6" t="s">
        <v>11</v>
      </c>
    </row>
    <row r="163" spans="1:10" ht="12.75" thickTop="1">
      <c r="A163" s="16"/>
      <c r="B163" s="16"/>
      <c r="C163" s="16"/>
      <c r="D163" s="16"/>
      <c r="E163" s="16"/>
      <c r="F163" s="16"/>
      <c r="G163" s="16"/>
      <c r="H163" s="5"/>
      <c r="I163" s="5"/>
      <c r="J163" s="18"/>
    </row>
  </sheetData>
  <sheetProtection/>
  <mergeCells count="11">
    <mergeCell ref="D3:E3"/>
    <mergeCell ref="F3:H3"/>
    <mergeCell ref="D4:E4"/>
    <mergeCell ref="F4:H4"/>
    <mergeCell ref="D5:E5"/>
    <mergeCell ref="F5:J5"/>
    <mergeCell ref="D1:E1"/>
    <mergeCell ref="F1:G1"/>
    <mergeCell ref="I1:J1"/>
    <mergeCell ref="D2:E2"/>
    <mergeCell ref="F2:H2"/>
  </mergeCells>
  <printOptions horizontalCentered="1"/>
  <pageMargins left="0.75" right="0.25" top="0.25" bottom="0.25" header="0.43" footer="0.35"/>
  <pageSetup horizontalDpi="600" verticalDpi="600" orientation="portrait" r:id="rId2"/>
  <headerFooter alignWithMargins="0">
    <oddHeader>&amp;C                                                             &amp;P&amp;R&amp;N</oddHeader>
  </headerFooter>
  <rowBreaks count="3" manualBreakCount="3">
    <brk id="67" max="9" man="1"/>
    <brk id="84" max="9" man="1"/>
    <brk id="13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M•E Companies,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srbutler</dc:creator>
  <cp:keywords/>
  <dc:description/>
  <cp:lastModifiedBy>Steven Butler</cp:lastModifiedBy>
  <cp:lastPrinted>2020-08-10T14:41:36Z</cp:lastPrinted>
  <dcterms:created xsi:type="dcterms:W3CDTF">2007-08-01T20:33:02Z</dcterms:created>
  <dcterms:modified xsi:type="dcterms:W3CDTF">2021-01-13T17:28:12Z</dcterms:modified>
  <cp:category/>
  <cp:version/>
  <cp:contentType/>
  <cp:contentStatus/>
</cp:coreProperties>
</file>