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ojectWiseDrive\Markosky Engineering Group Inc\23-037 PID 118535 POR305\03_Tasks\Task 4 Final Engineering Phase\Task 4.2 Stage 3 Design Plans\Task 4.2.A.N Bridge Estimated Quantities Sheet\"/>
    </mc:Choice>
  </mc:AlternateContent>
  <xr:revisionPtr revIDLastSave="0" documentId="13_ncr:1_{499B9D7C-8FEA-4C19-801C-E76D55C3FE6B}" xr6:coauthVersionLast="47" xr6:coauthVersionMax="47" xr10:uidLastSave="{00000000-0000-0000-0000-000000000000}"/>
  <bookViews>
    <workbookView xWindow="-120" yWindow="-120" windowWidth="20730" windowHeight="11160" xr2:uid="{90855D55-D13A-40E8-8427-504968B2B99F}"/>
  </bookViews>
  <sheets>
    <sheet name="Sheet1" sheetId="1" r:id="rId1"/>
    <sheet name="Sheet2" sheetId="2" r:id="rId2"/>
  </sheets>
  <definedNames>
    <definedName name="_xlnm.Print_Area" localSheetId="0">Sheet1!$A$1:$S$40</definedName>
    <definedName name="_xlnm.Print_Area" localSheetId="1">Sheet2!$A$1:$K$129</definedName>
    <definedName name="_xlnm.Print_Titles" localSheetId="1">Sheet2!$1:$5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" i="2" l="1"/>
  <c r="C127" i="2"/>
  <c r="C126" i="2"/>
  <c r="C25" i="2"/>
  <c r="D25" i="2" s="1"/>
  <c r="C110" i="2"/>
  <c r="F69" i="2"/>
  <c r="H48" i="2"/>
  <c r="H50" i="2"/>
  <c r="F50" i="2"/>
  <c r="F48" i="2"/>
  <c r="F23" i="2"/>
  <c r="D38" i="1" s="1"/>
  <c r="C56" i="2"/>
  <c r="D17" i="1" s="1"/>
  <c r="D37" i="1"/>
  <c r="C119" i="2"/>
  <c r="C118" i="2"/>
  <c r="C117" i="2"/>
  <c r="C100" i="2"/>
  <c r="D32" i="1" s="1"/>
  <c r="C128" i="2" l="1"/>
  <c r="D14" i="1" s="1"/>
  <c r="F25" i="2"/>
  <c r="G25" i="2" s="1"/>
  <c r="F51" i="2"/>
  <c r="H51" i="2"/>
  <c r="C120" i="2"/>
  <c r="C122" i="2" s="1"/>
  <c r="D25" i="1" s="1"/>
  <c r="C92" i="2"/>
  <c r="D30" i="1" s="1"/>
  <c r="C75" i="2"/>
  <c r="C63" i="2"/>
  <c r="C64" i="2"/>
  <c r="F68" i="2" l="1"/>
  <c r="C66" i="2"/>
  <c r="C87" i="2"/>
  <c r="D29" i="1" s="1"/>
  <c r="C50" i="2" l="1"/>
  <c r="C48" i="2"/>
  <c r="C45" i="2"/>
  <c r="C69" i="2" s="1"/>
  <c r="C43" i="2"/>
  <c r="K38" i="2"/>
  <c r="C40" i="2" s="1"/>
  <c r="C39" i="2"/>
  <c r="C29" i="2"/>
  <c r="C19" i="2"/>
  <c r="I19" i="2"/>
  <c r="F19" i="2"/>
  <c r="C103" i="2" l="1"/>
  <c r="C107" i="2" s="1"/>
  <c r="D34" i="1" s="1"/>
  <c r="I69" i="2"/>
  <c r="I70" i="2" s="1"/>
  <c r="F70" i="2"/>
  <c r="C51" i="2"/>
  <c r="C38" i="2"/>
  <c r="C62" i="2" s="1"/>
  <c r="C46" i="2"/>
  <c r="C74" i="2"/>
  <c r="C77" i="2" s="1"/>
  <c r="D27" i="1" s="1"/>
  <c r="C28" i="2"/>
  <c r="C30" i="2" s="1"/>
  <c r="D10" i="1" s="1"/>
  <c r="D35" i="1" l="1"/>
  <c r="C71" i="2"/>
  <c r="D19" i="1" s="1"/>
  <c r="F66" i="2"/>
  <c r="C41" i="2"/>
  <c r="C53" i="2" s="1"/>
  <c r="D16" i="1" s="1"/>
  <c r="C81" i="2"/>
  <c r="C83" i="2" s="1"/>
  <c r="D28" i="1" s="1"/>
  <c r="D9" i="1"/>
  <c r="C59" i="2" l="1"/>
  <c r="G11" i="2"/>
  <c r="J10" i="2"/>
  <c r="C10" i="2"/>
  <c r="C12" i="2" s="1"/>
</calcChain>
</file>

<file path=xl/sharedStrings.xml><?xml version="1.0" encoding="utf-8"?>
<sst xmlns="http://schemas.openxmlformats.org/spreadsheetml/2006/main" count="304" uniqueCount="171">
  <si>
    <t>SY</t>
  </si>
  <si>
    <t>EACH</t>
  </si>
  <si>
    <t>SF</t>
  </si>
  <si>
    <t>FT</t>
  </si>
  <si>
    <t>INTEGRAL ABUTMENT EXPANSION JOINT SEAL</t>
  </si>
  <si>
    <t xml:space="preserve">EACH   </t>
  </si>
  <si>
    <t>1/8" PREFORMED BEARING PAD</t>
  </si>
  <si>
    <t xml:space="preserve">EACH  </t>
  </si>
  <si>
    <t>ELASTOMERIC BEARING WITH INTERNAL LAMINATES ONLY (NEOPRENE), 6" X 10" X 1.5638"</t>
  </si>
  <si>
    <t>CY</t>
  </si>
  <si>
    <t>POROUS BACKFILL WITH GEOTEXTILE FABRIC</t>
  </si>
  <si>
    <t>STEEL DRIP STRIP</t>
  </si>
  <si>
    <t>LB</t>
  </si>
  <si>
    <t>EPOXY COATED REINFORCING STEEL</t>
  </si>
  <si>
    <t>LS</t>
  </si>
  <si>
    <t>UNCLASSIFIED EXCAVATION, AS PER PLAN</t>
  </si>
  <si>
    <t>WEARING COURSE REMOVED</t>
  </si>
  <si>
    <t>APPROACH SLAB REMOVED</t>
  </si>
  <si>
    <t>PORTIONS OF STRUCTURE REMOVED, OVER 20 FOOT SPAN, AS PER PLAN</t>
  </si>
  <si>
    <t>ITEM</t>
  </si>
  <si>
    <t>ITEM  EXT.</t>
  </si>
  <si>
    <t>UNIT</t>
  </si>
  <si>
    <t xml:space="preserve">  TOTAL  </t>
  </si>
  <si>
    <t>DESCRIPTION</t>
  </si>
  <si>
    <t>Bridge Parameters:</t>
  </si>
  <si>
    <t>Proposed Superstructure</t>
  </si>
  <si>
    <t xml:space="preserve">Beam Width = </t>
  </si>
  <si>
    <t>in</t>
  </si>
  <si>
    <t xml:space="preserve">Beam Depth = </t>
  </si>
  <si>
    <t xml:space="preserve">max camber = </t>
  </si>
  <si>
    <t xml:space="preserve">Approx. Fitup = </t>
  </si>
  <si>
    <t xml:space="preserve">Bearing Pad Thick. = </t>
  </si>
  <si>
    <t xml:space="preserve">Skew = </t>
  </si>
  <si>
    <t>deg</t>
  </si>
  <si>
    <t xml:space="preserve">Str Depth = </t>
  </si>
  <si>
    <t>ft</t>
  </si>
  <si>
    <t>Station offsets</t>
  </si>
  <si>
    <t>ft (per Beam)</t>
  </si>
  <si>
    <t>Prop. CL Bearings at Substructures</t>
  </si>
  <si>
    <t>Span 1</t>
  </si>
  <si>
    <t>Span 2</t>
  </si>
  <si>
    <t>Span 3</t>
  </si>
  <si>
    <t>CL BRG. R.A.</t>
  </si>
  <si>
    <t>CL BRG. P1</t>
  </si>
  <si>
    <t>CL P1</t>
  </si>
  <si>
    <t>CL BRG. P2</t>
  </si>
  <si>
    <t>CL P2</t>
  </si>
  <si>
    <t>CL BRG.F.A.</t>
  </si>
  <si>
    <t>A</t>
  </si>
  <si>
    <t>B</t>
  </si>
  <si>
    <t>C</t>
  </si>
  <si>
    <t>D</t>
  </si>
  <si>
    <t>E</t>
  </si>
  <si>
    <t>F</t>
  </si>
  <si>
    <t>STA. ALONG P.G.</t>
  </si>
  <si>
    <t>Appr Slabs</t>
  </si>
  <si>
    <t xml:space="preserve">L = </t>
  </si>
  <si>
    <t xml:space="preserve">W = </t>
  </si>
  <si>
    <t># =</t>
  </si>
  <si>
    <t>Bridge Railing Removal</t>
  </si>
  <si>
    <t xml:space="preserve">from exist plan = </t>
  </si>
  <si>
    <t>Wearing Surface Removal</t>
  </si>
  <si>
    <t xml:space="preserve">Bridge width = </t>
  </si>
  <si>
    <t xml:space="preserve">Bridge Area = </t>
  </si>
  <si>
    <t xml:space="preserve">Appr Slab Area = </t>
  </si>
  <si>
    <t xml:space="preserve">Total = </t>
  </si>
  <si>
    <t>sf</t>
  </si>
  <si>
    <t>sy</t>
  </si>
  <si>
    <t>QC2 concrete</t>
  </si>
  <si>
    <t>Deck:</t>
  </si>
  <si>
    <t xml:space="preserve">T = </t>
  </si>
  <si>
    <t>AVG. DECK THICK.</t>
  </si>
  <si>
    <t>SPAN #</t>
  </si>
  <si>
    <t>SPAN 1</t>
  </si>
  <si>
    <t>SPAN 2</t>
  </si>
  <si>
    <t>SPAN 3</t>
  </si>
  <si>
    <t>SPAN LENGTH (C-C BRGS.)</t>
  </si>
  <si>
    <t>CL BEAM 1, 10, 19</t>
  </si>
  <si>
    <t>CL BEAM 2, 11, 20</t>
  </si>
  <si>
    <t>CL BEAM 3, 12, 21</t>
  </si>
  <si>
    <t>CL BEAM 4, 13, 22</t>
  </si>
  <si>
    <t>CL BEAM 5, 14, 23</t>
  </si>
  <si>
    <t>CL BEAM 6, 15, 24</t>
  </si>
  <si>
    <t>CL BEAM 7, 16, 25</t>
  </si>
  <si>
    <t>CL BEAM 8, 17, 26</t>
  </si>
  <si>
    <t>CL BEAM 9, 18, 27</t>
  </si>
  <si>
    <t>OVERALL</t>
  </si>
  <si>
    <t>R.A. Backwall</t>
  </si>
  <si>
    <t xml:space="preserve">H = </t>
  </si>
  <si>
    <t xml:space="preserve">D = </t>
  </si>
  <si>
    <t>F.A. Backwall</t>
  </si>
  <si>
    <t>CF</t>
  </si>
  <si>
    <t>say</t>
  </si>
  <si>
    <t>Reinforcing Steel</t>
  </si>
  <si>
    <t>lb (200lb/CY)</t>
  </si>
  <si>
    <t>Sealing of Conc Surf (Edge of fascia beams and deck)</t>
  </si>
  <si>
    <t>L =</t>
  </si>
  <si>
    <t xml:space="preserve">Avg Deck Edge Thick = </t>
  </si>
  <si>
    <t xml:space="preserve">Total depth = </t>
  </si>
  <si>
    <t xml:space="preserve">Total area = </t>
  </si>
  <si>
    <t xml:space="preserve">Abutment face H = </t>
  </si>
  <si>
    <t xml:space="preserve">Abutment face L = </t>
  </si>
  <si>
    <t>(1/2 of elastomeric)</t>
  </si>
  <si>
    <t>beams per span</t>
  </si>
  <si>
    <t>spans</t>
  </si>
  <si>
    <t xml:space="preserve">pads per beam </t>
  </si>
  <si>
    <t>Total</t>
  </si>
  <si>
    <t>Pay Limits</t>
  </si>
  <si>
    <t>Span 1 LT</t>
  </si>
  <si>
    <t>includes 8ft to end of rail off bridge</t>
  </si>
  <si>
    <t>Span 2 LT</t>
  </si>
  <si>
    <t>includes post spacing over piers</t>
  </si>
  <si>
    <t>Span 3 LT</t>
  </si>
  <si>
    <t>Total LT</t>
  </si>
  <si>
    <t>JOB</t>
  </si>
  <si>
    <t>23-037 PID 118535 POR SR 305</t>
  </si>
  <si>
    <t>SHEET NO</t>
  </si>
  <si>
    <t>OF</t>
  </si>
  <si>
    <t>CALCULATED BY</t>
  </si>
  <si>
    <t>BPD</t>
  </si>
  <si>
    <t>DATE</t>
  </si>
  <si>
    <t>CHECKED BY</t>
  </si>
  <si>
    <t>SEALING OF CONCRETE SURFACES (EPOXY-URETHANE)</t>
  </si>
  <si>
    <t>Beam Length</t>
  </si>
  <si>
    <t>KEYWAY GROUT</t>
  </si>
  <si>
    <t># Keways/Span</t>
  </si>
  <si>
    <t>Total Grout Length</t>
  </si>
  <si>
    <t>TYPE B INSTALLATION</t>
  </si>
  <si>
    <t>QC1 concrete</t>
  </si>
  <si>
    <t>Wings</t>
  </si>
  <si>
    <t>UPDATED BY</t>
  </si>
  <si>
    <t xml:space="preserve">W (Skew) = </t>
  </si>
  <si>
    <t>Pier1</t>
  </si>
  <si>
    <t>Pier 2</t>
  </si>
  <si>
    <t xml:space="preserve">Edge of Bot. Face = </t>
  </si>
  <si>
    <t xml:space="preserve">Super = </t>
  </si>
  <si>
    <t>Wing face H</t>
  </si>
  <si>
    <t>Wing face L</t>
  </si>
  <si>
    <t xml:space="preserve">Pier face H = </t>
  </si>
  <si>
    <t xml:space="preserve">Pier face L = </t>
  </si>
  <si>
    <t xml:space="preserve">pier = </t>
  </si>
  <si>
    <r>
      <t>L</t>
    </r>
    <r>
      <rPr>
        <vertAlign val="subscript"/>
        <sz val="11"/>
        <color theme="1"/>
        <rFont val="Aptos Narrow"/>
        <family val="2"/>
        <scheme val="minor"/>
      </rPr>
      <t>EACH</t>
    </r>
    <r>
      <rPr>
        <sz val="11"/>
        <color theme="1"/>
        <rFont val="Aptos Narrow"/>
        <family val="2"/>
        <scheme val="minor"/>
      </rPr>
      <t xml:space="preserve"> =</t>
    </r>
  </si>
  <si>
    <t>Total =</t>
  </si>
  <si>
    <t>GR POST PORTIONS</t>
  </si>
  <si>
    <t>REMOVAL OF EXISTING COATINGS FROM CONCRETE SURFACES</t>
  </si>
  <si>
    <t>CLASS QC2 CONCRETE, SUPERSTRUCTURE</t>
  </si>
  <si>
    <t>CLASS QC1 CONCRETE, ABUTMENT NOT INCLUDING FOOTING</t>
  </si>
  <si>
    <t>PRESTRESSED CONCRETE COMPOSITE BOX BEAM BRIDGE MEMBERS, LEVEL 1, CB17-48 (LENGTH = 28' -2 3/8")</t>
  </si>
  <si>
    <t>PRESTRESSED CONCRETE COMPOSITE BOX BEAM BRIDGE MEMBERS, LEVEL 1, CB17-48 (LENGTH = 26' -9 1/2")</t>
  </si>
  <si>
    <t>PRESTRESSED CONCRETE COMPOSITE BOX BEAM BRIDGE MEMBERS, LEVEL 1, CB17-48 (LENGTH = 28' -0 3/8")</t>
  </si>
  <si>
    <t>2" PREFORMED EXPANSION JOINT FILLER</t>
  </si>
  <si>
    <t>RAILING (THREE STEEL TUBE)</t>
  </si>
  <si>
    <t>REINFORCED CONCRETE APPROACH SLABS ( T = 13" )</t>
  </si>
  <si>
    <t>(not used - included with Portions of Structure Removed)</t>
  </si>
  <si>
    <t>2" Preformed Expansion Joint Filler</t>
  </si>
  <si>
    <t>HIGH EARLY STRENGTH KEYWAY GROUT</t>
  </si>
  <si>
    <t xml:space="preserve">Area = </t>
  </si>
  <si>
    <t>Removal/Install</t>
  </si>
  <si>
    <t>For Type B</t>
  </si>
  <si>
    <t xml:space="preserve">Mesh L = </t>
  </si>
  <si>
    <t xml:space="preserve">Abut &amp; Wing = </t>
  </si>
  <si>
    <t>Abut # =</t>
  </si>
  <si>
    <t>Wing # =</t>
  </si>
  <si>
    <t>Pier # =</t>
  </si>
  <si>
    <t>(3 faces per pier)</t>
  </si>
  <si>
    <t>Rebar (from CAD Bar Schedule Generator)</t>
  </si>
  <si>
    <t>Substructure =</t>
  </si>
  <si>
    <t>lb</t>
  </si>
  <si>
    <t>DMB</t>
  </si>
  <si>
    <t>DECK EDGE</t>
  </si>
  <si>
    <t>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</si>
</sst>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##\+##.00"/>
    <numFmt numFmtId="166" formatCode="mm/dd/yy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5" fontId="0" fillId="2" borderId="0" xfId="0" applyNumberFormat="1" applyFill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5" fillId="0" borderId="0" xfId="1" applyFont="1"/>
    <xf numFmtId="166" fontId="5" fillId="0" borderId="0" xfId="1" applyNumberFormat="1" applyFont="1"/>
    <xf numFmtId="0" fontId="5" fillId="0" borderId="0" xfId="1" applyFont="1" applyAlignment="1">
      <alignment horizontal="right"/>
    </xf>
    <xf numFmtId="0" fontId="6" fillId="0" borderId="0" xfId="1" applyFont="1"/>
    <xf numFmtId="0" fontId="5" fillId="0" borderId="0" xfId="1" applyFont="1" applyAlignment="1">
      <alignment horizontal="center"/>
    </xf>
    <xf numFmtId="166" fontId="5" fillId="0" borderId="0" xfId="1" applyNumberFormat="1" applyFont="1" applyAlignment="1">
      <alignment horizontal="left"/>
    </xf>
    <xf numFmtId="0" fontId="5" fillId="0" borderId="0" xfId="1" quotePrefix="1" applyFont="1"/>
    <xf numFmtId="0" fontId="5" fillId="0" borderId="4" xfId="1" applyFont="1" applyBorder="1" applyAlignment="1">
      <alignment horizontal="center"/>
    </xf>
    <xf numFmtId="14" fontId="5" fillId="0" borderId="4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B133A43D-5E54-42FF-830D-4327DC414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497659</xdr:colOff>
      <xdr:row>5</xdr:row>
      <xdr:rowOff>915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65F68DE-19B0-42A1-AEE1-10ADEFA5C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21808" cy="90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402409</xdr:colOff>
      <xdr:row>5</xdr:row>
      <xdr:rowOff>915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9B665E8-8B88-4EE4-B108-D84128752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040833" cy="9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0847-6AD0-4228-B570-A045107712D4}">
  <dimension ref="B1:EP38"/>
  <sheetViews>
    <sheetView tabSelected="1" view="pageBreakPreview" topLeftCell="A19" zoomScale="85" zoomScaleNormal="70" zoomScaleSheetLayoutView="85" workbookViewId="0">
      <selection activeCell="D35" sqref="D35"/>
    </sheetView>
  </sheetViews>
  <sheetFormatPr defaultRowHeight="15" x14ac:dyDescent="0.25"/>
  <cols>
    <col min="2" max="2" width="10.42578125" style="1" bestFit="1" customWidth="1"/>
    <col min="3" max="5" width="9.28515625" style="1"/>
    <col min="6" max="6" width="11.28515625" customWidth="1"/>
    <col min="19" max="19" width="10.5703125" bestFit="1" customWidth="1"/>
  </cols>
  <sheetData>
    <row r="1" spans="2:146" s="14" customFormat="1" x14ac:dyDescent="0.25">
      <c r="B1" s="15"/>
      <c r="C1" s="15"/>
      <c r="F1" s="16"/>
      <c r="G1" s="16"/>
      <c r="H1" s="16"/>
      <c r="I1" s="16"/>
      <c r="O1" s="16" t="s">
        <v>114</v>
      </c>
      <c r="P1" s="34" t="s">
        <v>115</v>
      </c>
      <c r="Q1" s="34"/>
      <c r="R1" s="34"/>
      <c r="S1" s="34"/>
      <c r="T1" s="17"/>
      <c r="U1" s="17"/>
      <c r="V1" s="17"/>
      <c r="W1" s="17"/>
      <c r="X1" s="17"/>
      <c r="Y1" s="17"/>
      <c r="Z1" s="17"/>
      <c r="AA1" s="17"/>
      <c r="AB1" s="17"/>
      <c r="AD1" s="16"/>
      <c r="AE1" s="33"/>
      <c r="AF1" s="33"/>
      <c r="AG1" s="33"/>
      <c r="AZ1" s="19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N1" s="16"/>
      <c r="BO1" s="33"/>
      <c r="BP1" s="33"/>
      <c r="BQ1" s="33"/>
      <c r="CL1" s="19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Z1" s="16"/>
      <c r="DA1" s="33"/>
      <c r="DB1" s="33"/>
      <c r="DC1" s="33"/>
      <c r="DX1" s="19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L1" s="16"/>
      <c r="EM1" s="33"/>
      <c r="EN1" s="33"/>
      <c r="EO1" s="33"/>
      <c r="EP1" s="18"/>
    </row>
    <row r="2" spans="2:146" s="14" customFormat="1" x14ac:dyDescent="0.25">
      <c r="B2" s="20"/>
      <c r="F2" s="16"/>
      <c r="G2" s="16"/>
      <c r="H2" s="16"/>
      <c r="I2" s="16"/>
      <c r="O2" s="32" t="s">
        <v>116</v>
      </c>
      <c r="P2" s="32"/>
      <c r="Q2" s="21"/>
      <c r="R2" s="18" t="s">
        <v>117</v>
      </c>
      <c r="S2" s="21"/>
      <c r="AD2" s="16"/>
      <c r="AE2" s="33"/>
      <c r="AF2" s="33"/>
      <c r="AG2" s="33"/>
      <c r="BN2" s="16"/>
      <c r="BO2" s="33"/>
      <c r="BP2" s="33"/>
      <c r="BQ2" s="33"/>
      <c r="CZ2" s="16"/>
      <c r="DA2" s="33"/>
      <c r="DB2" s="33"/>
      <c r="DC2" s="33"/>
      <c r="EL2" s="16"/>
      <c r="EM2" s="33"/>
      <c r="EN2" s="33"/>
      <c r="EO2" s="33"/>
      <c r="EP2" s="18"/>
    </row>
    <row r="3" spans="2:146" s="14" customFormat="1" x14ac:dyDescent="0.25">
      <c r="F3" s="16"/>
      <c r="G3" s="16"/>
      <c r="H3" s="16"/>
      <c r="I3" s="16"/>
      <c r="O3" s="32" t="s">
        <v>118</v>
      </c>
      <c r="P3" s="32"/>
      <c r="Q3" s="21" t="s">
        <v>168</v>
      </c>
      <c r="R3" s="16" t="s">
        <v>120</v>
      </c>
      <c r="S3" s="22">
        <v>45673</v>
      </c>
      <c r="AD3" s="16"/>
      <c r="AF3" s="18"/>
      <c r="BN3" s="16"/>
      <c r="BP3" s="18"/>
      <c r="CZ3" s="16"/>
      <c r="DB3" s="18"/>
      <c r="EL3" s="16"/>
      <c r="EN3" s="18"/>
    </row>
    <row r="4" spans="2:146" s="14" customFormat="1" x14ac:dyDescent="0.25">
      <c r="C4" s="16"/>
      <c r="F4" s="16"/>
      <c r="G4" s="16"/>
      <c r="H4" s="16"/>
      <c r="I4" s="16"/>
      <c r="O4" s="32" t="s">
        <v>121</v>
      </c>
      <c r="P4" s="32"/>
      <c r="Q4" s="23" t="s">
        <v>119</v>
      </c>
      <c r="R4" s="16" t="s">
        <v>120</v>
      </c>
      <c r="S4" s="22">
        <v>45685</v>
      </c>
      <c r="BC4" s="16"/>
      <c r="CO4" s="16"/>
      <c r="EA4" s="16"/>
    </row>
    <row r="5" spans="2:146" s="14" customFormat="1" x14ac:dyDescent="0.25">
      <c r="O5" s="32" t="s">
        <v>130</v>
      </c>
      <c r="P5" s="32"/>
      <c r="Q5" s="21" t="s">
        <v>168</v>
      </c>
      <c r="R5" s="16" t="s">
        <v>120</v>
      </c>
      <c r="S5" s="22">
        <v>45735</v>
      </c>
    </row>
    <row r="6" spans="2:146" s="14" customFormat="1" x14ac:dyDescent="0.25">
      <c r="O6" s="32" t="s">
        <v>121</v>
      </c>
      <c r="P6" s="32"/>
      <c r="Q6" s="23" t="s">
        <v>119</v>
      </c>
      <c r="R6" s="16" t="s">
        <v>120</v>
      </c>
      <c r="S6" s="22">
        <v>45736</v>
      </c>
    </row>
    <row r="7" spans="2:146" x14ac:dyDescent="0.25">
      <c r="B7" s="11" t="s">
        <v>19</v>
      </c>
      <c r="C7" s="11" t="s">
        <v>20</v>
      </c>
      <c r="D7" s="11" t="s">
        <v>22</v>
      </c>
      <c r="E7" s="11" t="s">
        <v>21</v>
      </c>
      <c r="F7" s="28" t="s">
        <v>23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2:146" x14ac:dyDescent="0.25">
      <c r="B8" s="11">
        <v>202</v>
      </c>
      <c r="C8" s="11">
        <v>11203</v>
      </c>
      <c r="D8" s="11">
        <v>1</v>
      </c>
      <c r="E8" s="11" t="s">
        <v>14</v>
      </c>
      <c r="F8" s="28" t="s">
        <v>18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2:146" x14ac:dyDescent="0.25">
      <c r="B9" s="11">
        <v>202</v>
      </c>
      <c r="C9" s="11">
        <v>22900</v>
      </c>
      <c r="D9" s="11">
        <f>(Sheet2!C22*Sheet2!C23*Sheet2!C24)/9</f>
        <v>160</v>
      </c>
      <c r="E9" s="11" t="s">
        <v>0</v>
      </c>
      <c r="F9" s="28" t="s">
        <v>17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2:146" x14ac:dyDescent="0.25">
      <c r="B10" s="11">
        <v>202</v>
      </c>
      <c r="C10" s="11">
        <v>23500</v>
      </c>
      <c r="D10" s="11">
        <f>MROUND(ROUNDUP(Sheet2!C30,0),5)</f>
        <v>505</v>
      </c>
      <c r="E10" s="11" t="s">
        <v>0</v>
      </c>
      <c r="F10" s="28" t="s">
        <v>16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2:146" x14ac:dyDescent="0.25">
      <c r="B11" s="11"/>
      <c r="C11" s="11"/>
      <c r="D11" s="11"/>
      <c r="E11" s="11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2:146" x14ac:dyDescent="0.25">
      <c r="B12" s="11">
        <v>503</v>
      </c>
      <c r="C12" s="11">
        <v>21301</v>
      </c>
      <c r="D12" s="11">
        <v>1</v>
      </c>
      <c r="E12" s="11" t="s">
        <v>14</v>
      </c>
      <c r="F12" s="28" t="s">
        <v>15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2:146" x14ac:dyDescent="0.25">
      <c r="B13" s="11"/>
      <c r="C13" s="11"/>
      <c r="D13" s="11"/>
      <c r="E13" s="11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2:146" x14ac:dyDescent="0.25">
      <c r="B14" s="11">
        <v>509</v>
      </c>
      <c r="C14" s="11">
        <v>10000</v>
      </c>
      <c r="D14" s="44">
        <f>Sheet2!C128</f>
        <v>13804</v>
      </c>
      <c r="E14" s="11" t="s">
        <v>12</v>
      </c>
      <c r="F14" s="28" t="s">
        <v>13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2:146" x14ac:dyDescent="0.25">
      <c r="B15" s="11"/>
      <c r="C15" s="11"/>
      <c r="D15" s="11"/>
      <c r="E15" s="11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146" x14ac:dyDescent="0.25">
      <c r="B16" s="11">
        <v>511</v>
      </c>
      <c r="C16" s="11">
        <v>31610</v>
      </c>
      <c r="D16" s="11">
        <f>(ROUND(Sheet2!C53,0))</f>
        <v>87</v>
      </c>
      <c r="E16" s="11" t="s">
        <v>9</v>
      </c>
      <c r="F16" s="28" t="s">
        <v>145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2:19" x14ac:dyDescent="0.25">
      <c r="B17" s="11">
        <v>511</v>
      </c>
      <c r="C17" s="11">
        <v>44110</v>
      </c>
      <c r="D17" s="11">
        <f>Sheet2!C56</f>
        <v>5</v>
      </c>
      <c r="E17" s="11" t="s">
        <v>9</v>
      </c>
      <c r="F17" s="28" t="s">
        <v>146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2:19" x14ac:dyDescent="0.25">
      <c r="B18" s="11"/>
      <c r="C18" s="11"/>
      <c r="D18" s="11"/>
      <c r="E18" s="11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</row>
    <row r="19" spans="2:19" x14ac:dyDescent="0.25">
      <c r="B19" s="11">
        <v>512</v>
      </c>
      <c r="C19" s="11">
        <v>10100</v>
      </c>
      <c r="D19" s="11">
        <f>ROUND(Sheet2!C71,0)</f>
        <v>166</v>
      </c>
      <c r="E19" s="11" t="s">
        <v>0</v>
      </c>
      <c r="F19" s="28" t="s">
        <v>122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2:19" x14ac:dyDescent="0.25">
      <c r="B20" s="11">
        <v>512</v>
      </c>
      <c r="C20" s="11">
        <v>74000</v>
      </c>
      <c r="D20" s="11">
        <v>118</v>
      </c>
      <c r="E20" s="11" t="s">
        <v>0</v>
      </c>
      <c r="F20" s="29" t="s">
        <v>144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</row>
    <row r="21" spans="2:19" x14ac:dyDescent="0.25">
      <c r="B21" s="11"/>
      <c r="C21" s="11"/>
      <c r="D21" s="11"/>
      <c r="E21" s="11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2:19" x14ac:dyDescent="0.25">
      <c r="B22" s="11">
        <v>515</v>
      </c>
      <c r="C22" s="11">
        <v>12030</v>
      </c>
      <c r="D22" s="11">
        <v>9</v>
      </c>
      <c r="E22" s="11" t="s">
        <v>1</v>
      </c>
      <c r="F22" s="28" t="s">
        <v>147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2:19" x14ac:dyDescent="0.25">
      <c r="B23" s="11">
        <v>515</v>
      </c>
      <c r="C23" s="11">
        <v>12030</v>
      </c>
      <c r="D23" s="11">
        <v>9</v>
      </c>
      <c r="E23" s="11" t="s">
        <v>1</v>
      </c>
      <c r="F23" s="28" t="s">
        <v>148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2:19" x14ac:dyDescent="0.25">
      <c r="B24" s="11">
        <v>515</v>
      </c>
      <c r="C24" s="11">
        <v>12030</v>
      </c>
      <c r="D24" s="11">
        <v>9</v>
      </c>
      <c r="E24" s="11" t="s">
        <v>1</v>
      </c>
      <c r="F24" s="28" t="s">
        <v>149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19" x14ac:dyDescent="0.25">
      <c r="B25" s="11">
        <v>515</v>
      </c>
      <c r="C25" s="11">
        <v>30000</v>
      </c>
      <c r="D25" s="11">
        <f>ROUNDUP(Sheet2!C122,0)</f>
        <v>665</v>
      </c>
      <c r="E25" s="11" t="s">
        <v>3</v>
      </c>
      <c r="F25" s="28" t="s">
        <v>155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2:19" x14ac:dyDescent="0.25">
      <c r="B26" s="11"/>
      <c r="C26" s="11"/>
      <c r="D26" s="11"/>
      <c r="E26" s="11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2:19" x14ac:dyDescent="0.25">
      <c r="B27" s="11">
        <v>516</v>
      </c>
      <c r="C27" s="11">
        <v>13900</v>
      </c>
      <c r="D27" s="11">
        <f>ROUND(Sheet2!C77,0)</f>
        <v>13</v>
      </c>
      <c r="E27" s="11" t="s">
        <v>2</v>
      </c>
      <c r="F27" s="28" t="s">
        <v>150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2:19" x14ac:dyDescent="0.25">
      <c r="B28" s="11">
        <v>516</v>
      </c>
      <c r="C28" s="11">
        <v>14014</v>
      </c>
      <c r="D28" s="11">
        <f>ROUND(Sheet2!C83,0)</f>
        <v>85</v>
      </c>
      <c r="E28" s="11" t="s">
        <v>3</v>
      </c>
      <c r="F28" s="28" t="s">
        <v>4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2:19" x14ac:dyDescent="0.25">
      <c r="B29" s="11">
        <v>516</v>
      </c>
      <c r="C29" s="11">
        <v>41100</v>
      </c>
      <c r="D29" s="11">
        <f>Sheet2!C87</f>
        <v>54</v>
      </c>
      <c r="E29" s="11" t="s">
        <v>5</v>
      </c>
      <c r="F29" s="28" t="s">
        <v>6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2:19" x14ac:dyDescent="0.25">
      <c r="B30" s="11">
        <v>516</v>
      </c>
      <c r="C30" s="11">
        <v>43100</v>
      </c>
      <c r="D30" s="11">
        <f>Sheet2!C92</f>
        <v>108</v>
      </c>
      <c r="E30" s="11" t="s">
        <v>7</v>
      </c>
      <c r="F30" s="28" t="s">
        <v>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2:19" x14ac:dyDescent="0.25">
      <c r="B31" s="11"/>
      <c r="C31" s="11"/>
      <c r="D31" s="11"/>
      <c r="E31" s="11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2:19" x14ac:dyDescent="0.25">
      <c r="B32" s="11">
        <v>517</v>
      </c>
      <c r="C32" s="11">
        <v>70100</v>
      </c>
      <c r="D32" s="11">
        <f>ROUNDUP(Sheet2!C100,0)</f>
        <v>183</v>
      </c>
      <c r="E32" s="11" t="s">
        <v>3</v>
      </c>
      <c r="F32" s="28" t="s">
        <v>151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2:19" x14ac:dyDescent="0.25">
      <c r="B33" s="11"/>
      <c r="C33" s="11"/>
      <c r="D33" s="11"/>
      <c r="E33" s="11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2:19" x14ac:dyDescent="0.25">
      <c r="B34" s="11">
        <v>518</v>
      </c>
      <c r="C34" s="11">
        <v>21200</v>
      </c>
      <c r="D34" s="11">
        <f>ROUNDUP(Sheet2!C107,0)</f>
        <v>13</v>
      </c>
      <c r="E34" s="11" t="s">
        <v>9</v>
      </c>
      <c r="F34" s="28" t="s">
        <v>10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2:19" x14ac:dyDescent="0.25">
      <c r="B35" s="11">
        <v>518</v>
      </c>
      <c r="C35" s="11">
        <v>22300</v>
      </c>
      <c r="D35" s="11">
        <f>ROUNDUP(Sheet2!C113,0)</f>
        <v>221</v>
      </c>
      <c r="E35" s="11" t="s">
        <v>3</v>
      </c>
      <c r="F35" s="29" t="s">
        <v>11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</row>
    <row r="36" spans="2:19" x14ac:dyDescent="0.25">
      <c r="B36" s="11"/>
      <c r="C36" s="11"/>
      <c r="D36" s="11"/>
      <c r="E36" s="11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2:19" x14ac:dyDescent="0.25">
      <c r="B37" s="11">
        <v>526</v>
      </c>
      <c r="C37" s="11">
        <v>15000</v>
      </c>
      <c r="D37" s="11">
        <f>(Sheet2!C22*Sheet2!C23*Sheet2!C24)/9</f>
        <v>160</v>
      </c>
      <c r="E37" s="11" t="s">
        <v>0</v>
      </c>
      <c r="F37" s="29" t="s">
        <v>152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1"/>
    </row>
    <row r="38" spans="2:19" x14ac:dyDescent="0.25">
      <c r="B38" s="11">
        <v>526</v>
      </c>
      <c r="C38" s="11">
        <v>90020</v>
      </c>
      <c r="D38" s="11">
        <f>ROUNDUP((Sheet2!F23*Sheet2!F22*Sheet2!C24)/9,0)</f>
        <v>43</v>
      </c>
      <c r="E38" s="11" t="s">
        <v>0</v>
      </c>
      <c r="F38" s="29" t="s">
        <v>127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/>
    </row>
  </sheetData>
  <mergeCells count="46">
    <mergeCell ref="O5:P5"/>
    <mergeCell ref="F31:S31"/>
    <mergeCell ref="F32:S32"/>
    <mergeCell ref="F33:S33"/>
    <mergeCell ref="F34:S34"/>
    <mergeCell ref="F20:S20"/>
    <mergeCell ref="O6:P6"/>
    <mergeCell ref="F35:S35"/>
    <mergeCell ref="F14:S14"/>
    <mergeCell ref="F30:S30"/>
    <mergeCell ref="F16:S16"/>
    <mergeCell ref="F18:S18"/>
    <mergeCell ref="F19:S19"/>
    <mergeCell ref="F21:S21"/>
    <mergeCell ref="F22:S22"/>
    <mergeCell ref="F23:S23"/>
    <mergeCell ref="F24:S24"/>
    <mergeCell ref="F26:S26"/>
    <mergeCell ref="F27:S27"/>
    <mergeCell ref="F28:S28"/>
    <mergeCell ref="F29:S29"/>
    <mergeCell ref="F17:S17"/>
    <mergeCell ref="F25:S25"/>
    <mergeCell ref="BO2:BQ2"/>
    <mergeCell ref="DA2:DC2"/>
    <mergeCell ref="EM2:EO2"/>
    <mergeCell ref="P1:S1"/>
    <mergeCell ref="AE1:AG1"/>
    <mergeCell ref="BO1:BQ1"/>
    <mergeCell ref="DA1:DC1"/>
    <mergeCell ref="EM1:EO1"/>
    <mergeCell ref="F36:S36"/>
    <mergeCell ref="F37:S37"/>
    <mergeCell ref="F38:S38"/>
    <mergeCell ref="O2:P2"/>
    <mergeCell ref="AE2:AG2"/>
    <mergeCell ref="F15:S15"/>
    <mergeCell ref="O3:P3"/>
    <mergeCell ref="O4:P4"/>
    <mergeCell ref="F7:S7"/>
    <mergeCell ref="F8:S8"/>
    <mergeCell ref="F9:S9"/>
    <mergeCell ref="F10:S10"/>
    <mergeCell ref="F11:S11"/>
    <mergeCell ref="F12:S12"/>
    <mergeCell ref="F13:S13"/>
  </mergeCells>
  <pageMargins left="0.7" right="0.7" top="0.75" bottom="0.7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D51BD-3EAC-460D-904A-6E26D6CCCE30}">
  <sheetPr>
    <pageSetUpPr fitToPage="1"/>
  </sheetPr>
  <dimension ref="A1:EP128"/>
  <sheetViews>
    <sheetView view="pageBreakPreview" topLeftCell="A103" zoomScaleNormal="100" zoomScaleSheetLayoutView="100" workbookViewId="0">
      <selection activeCell="D111" sqref="D111"/>
    </sheetView>
  </sheetViews>
  <sheetFormatPr defaultRowHeight="15" x14ac:dyDescent="0.25"/>
  <cols>
    <col min="3" max="3" width="11.140625" customWidth="1"/>
    <col min="4" max="4" width="10.140625" customWidth="1"/>
    <col min="5" max="5" width="10.7109375" customWidth="1"/>
    <col min="6" max="6" width="9.7109375" customWidth="1"/>
    <col min="7" max="7" width="9.42578125" customWidth="1"/>
    <col min="8" max="8" width="9.7109375" customWidth="1"/>
    <col min="9" max="9" width="12" customWidth="1"/>
    <col min="10" max="10" width="10.7109375" customWidth="1"/>
    <col min="11" max="11" width="11.28515625" bestFit="1" customWidth="1"/>
  </cols>
  <sheetData>
    <row r="1" spans="1:146" s="14" customFormat="1" x14ac:dyDescent="0.25">
      <c r="B1" s="15"/>
      <c r="C1" s="15"/>
      <c r="F1" s="16"/>
      <c r="G1" s="16" t="s">
        <v>114</v>
      </c>
      <c r="H1" s="34" t="s">
        <v>115</v>
      </c>
      <c r="I1" s="34"/>
      <c r="J1" s="34"/>
      <c r="K1" s="34"/>
      <c r="T1" s="17"/>
      <c r="U1" s="17"/>
      <c r="V1" s="17"/>
      <c r="W1" s="17"/>
      <c r="X1" s="17"/>
      <c r="Y1" s="17"/>
      <c r="Z1" s="17"/>
      <c r="AA1" s="17"/>
      <c r="AB1" s="17"/>
      <c r="AD1" s="16"/>
      <c r="AE1" s="33"/>
      <c r="AF1" s="33"/>
      <c r="AG1" s="33"/>
      <c r="AZ1" s="19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N1" s="16"/>
      <c r="BO1" s="33"/>
      <c r="BP1" s="33"/>
      <c r="BQ1" s="33"/>
      <c r="CL1" s="19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Z1" s="16"/>
      <c r="DA1" s="33"/>
      <c r="DB1" s="33"/>
      <c r="DC1" s="33"/>
      <c r="DX1" s="19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L1" s="16"/>
      <c r="EM1" s="33"/>
      <c r="EN1" s="33"/>
      <c r="EO1" s="33"/>
      <c r="EP1" s="18"/>
    </row>
    <row r="2" spans="1:146" s="14" customFormat="1" x14ac:dyDescent="0.25">
      <c r="B2" s="20"/>
      <c r="F2" s="16"/>
      <c r="G2" s="32" t="s">
        <v>116</v>
      </c>
      <c r="H2" s="32"/>
      <c r="I2" s="21"/>
      <c r="J2" s="18" t="s">
        <v>117</v>
      </c>
      <c r="K2" s="21"/>
      <c r="AD2" s="16"/>
      <c r="AE2" s="33"/>
      <c r="AF2" s="33"/>
      <c r="AG2" s="33"/>
      <c r="BN2" s="16"/>
      <c r="BO2" s="33"/>
      <c r="BP2" s="33"/>
      <c r="BQ2" s="33"/>
      <c r="CZ2" s="16"/>
      <c r="DA2" s="33"/>
      <c r="DB2" s="33"/>
      <c r="DC2" s="33"/>
      <c r="EL2" s="16"/>
      <c r="EM2" s="33"/>
      <c r="EN2" s="33"/>
      <c r="EO2" s="33"/>
      <c r="EP2" s="18"/>
    </row>
    <row r="3" spans="1:146" s="14" customFormat="1" x14ac:dyDescent="0.25">
      <c r="F3" s="16"/>
      <c r="G3" s="32" t="s">
        <v>118</v>
      </c>
      <c r="H3" s="32"/>
      <c r="I3" s="21" t="s">
        <v>168</v>
      </c>
      <c r="J3" s="16" t="s">
        <v>120</v>
      </c>
      <c r="K3" s="22">
        <v>45673</v>
      </c>
      <c r="AD3" s="16"/>
      <c r="AF3" s="18"/>
      <c r="BN3" s="16"/>
      <c r="BP3" s="18"/>
      <c r="CZ3" s="16"/>
      <c r="DB3" s="18"/>
      <c r="EL3" s="16"/>
      <c r="EN3" s="18"/>
    </row>
    <row r="4" spans="1:146" s="14" customFormat="1" x14ac:dyDescent="0.25">
      <c r="C4" s="16"/>
      <c r="F4" s="16"/>
      <c r="G4" s="32" t="s">
        <v>121</v>
      </c>
      <c r="H4" s="32"/>
      <c r="I4" s="23" t="s">
        <v>119</v>
      </c>
      <c r="J4" s="16" t="s">
        <v>120</v>
      </c>
      <c r="K4" s="22">
        <v>45685</v>
      </c>
      <c r="BC4" s="16"/>
      <c r="CO4" s="16"/>
      <c r="EA4" s="16"/>
    </row>
    <row r="5" spans="1:146" s="14" customFormat="1" x14ac:dyDescent="0.25">
      <c r="G5" s="32" t="s">
        <v>130</v>
      </c>
      <c r="H5" s="32"/>
      <c r="I5" s="21" t="s">
        <v>168</v>
      </c>
      <c r="J5" s="16" t="s">
        <v>120</v>
      </c>
      <c r="K5" s="22">
        <v>45735</v>
      </c>
    </row>
    <row r="6" spans="1:146" s="14" customFormat="1" x14ac:dyDescent="0.25">
      <c r="G6" s="32" t="s">
        <v>121</v>
      </c>
      <c r="H6" s="32"/>
      <c r="I6" s="23" t="s">
        <v>119</v>
      </c>
      <c r="J6" s="16" t="s">
        <v>120</v>
      </c>
      <c r="K6" s="22">
        <v>45736</v>
      </c>
    </row>
    <row r="7" spans="1:146" x14ac:dyDescent="0.25">
      <c r="A7" s="2" t="s">
        <v>24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46" x14ac:dyDescent="0.25">
      <c r="A8" s="3" t="s">
        <v>25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46" x14ac:dyDescent="0.25">
      <c r="B9" s="4" t="s">
        <v>26</v>
      </c>
      <c r="C9" s="5">
        <v>48</v>
      </c>
      <c r="D9" s="6" t="s">
        <v>27</v>
      </c>
      <c r="F9" s="4" t="s">
        <v>28</v>
      </c>
      <c r="G9" s="5">
        <v>17</v>
      </c>
      <c r="H9" s="6" t="s">
        <v>27</v>
      </c>
      <c r="I9" s="4" t="s">
        <v>29</v>
      </c>
      <c r="J9" s="5">
        <v>0.25</v>
      </c>
    </row>
    <row r="10" spans="1:146" x14ac:dyDescent="0.25">
      <c r="B10" s="4" t="s">
        <v>30</v>
      </c>
      <c r="C10" s="5">
        <f>3/8</f>
        <v>0.375</v>
      </c>
      <c r="D10" s="6" t="s">
        <v>27</v>
      </c>
      <c r="F10" s="4" t="s">
        <v>31</v>
      </c>
      <c r="G10" s="5">
        <v>1.5638000000000001</v>
      </c>
      <c r="H10" s="6" t="s">
        <v>27</v>
      </c>
      <c r="J10">
        <f>J9/12</f>
        <v>2.0833333333333332E-2</v>
      </c>
    </row>
    <row r="11" spans="1:146" x14ac:dyDescent="0.25">
      <c r="B11" s="4" t="s">
        <v>32</v>
      </c>
      <c r="C11" s="5">
        <v>20</v>
      </c>
      <c r="D11" s="6" t="s">
        <v>33</v>
      </c>
      <c r="F11" s="4" t="s">
        <v>34</v>
      </c>
      <c r="G11" s="7">
        <f>(G9+G10)/12</f>
        <v>1.5469833333333334</v>
      </c>
      <c r="H11" t="s">
        <v>35</v>
      </c>
    </row>
    <row r="12" spans="1:146" x14ac:dyDescent="0.25">
      <c r="B12" s="4" t="s">
        <v>36</v>
      </c>
      <c r="C12" s="1">
        <f>(C9+C10)/12*TAN(PI()*C11/180)</f>
        <v>1.4672550068856283</v>
      </c>
      <c r="D12" s="6" t="s">
        <v>37</v>
      </c>
    </row>
    <row r="13" spans="1:146" x14ac:dyDescent="0.25">
      <c r="B13" s="4"/>
      <c r="C13" s="1"/>
      <c r="D13" s="6"/>
    </row>
    <row r="14" spans="1:146" x14ac:dyDescent="0.25">
      <c r="A14" s="3" t="s">
        <v>38</v>
      </c>
      <c r="B14" s="4"/>
      <c r="C14" s="1"/>
      <c r="D14" s="6"/>
    </row>
    <row r="15" spans="1:146" x14ac:dyDescent="0.25">
      <c r="B15" s="1"/>
      <c r="C15" s="35" t="s">
        <v>39</v>
      </c>
      <c r="D15" s="35"/>
      <c r="E15" s="1"/>
      <c r="F15" s="35" t="s">
        <v>40</v>
      </c>
      <c r="G15" s="35"/>
      <c r="H15" s="1"/>
      <c r="I15" s="35" t="s">
        <v>41</v>
      </c>
      <c r="J15" s="35"/>
      <c r="K15" s="1"/>
    </row>
    <row r="16" spans="1:146" x14ac:dyDescent="0.25">
      <c r="B16" s="1"/>
      <c r="C16" s="1" t="s">
        <v>42</v>
      </c>
      <c r="D16" s="1" t="s">
        <v>43</v>
      </c>
      <c r="E16" s="1" t="s">
        <v>44</v>
      </c>
      <c r="F16" s="1" t="s">
        <v>43</v>
      </c>
      <c r="G16" s="1" t="s">
        <v>45</v>
      </c>
      <c r="H16" s="1" t="s">
        <v>46</v>
      </c>
      <c r="I16" s="1" t="s">
        <v>45</v>
      </c>
      <c r="J16" s="1" t="s">
        <v>47</v>
      </c>
      <c r="K16" s="1"/>
    </row>
    <row r="17" spans="1:11" x14ac:dyDescent="0.25">
      <c r="B17" s="1"/>
      <c r="C17" s="1" t="s">
        <v>48</v>
      </c>
      <c r="D17" s="1" t="s">
        <v>49</v>
      </c>
      <c r="E17" s="1"/>
      <c r="F17" s="1" t="s">
        <v>50</v>
      </c>
      <c r="G17" s="1" t="s">
        <v>51</v>
      </c>
      <c r="H17" s="1"/>
      <c r="I17" s="1" t="s">
        <v>52</v>
      </c>
      <c r="J17" s="1" t="s">
        <v>53</v>
      </c>
      <c r="K17" s="1"/>
    </row>
    <row r="18" spans="1:11" x14ac:dyDescent="0.25">
      <c r="B18" s="1" t="s">
        <v>54</v>
      </c>
      <c r="C18" s="8">
        <v>12883.56</v>
      </c>
      <c r="D18" s="8">
        <v>12910.68</v>
      </c>
      <c r="E18" s="8">
        <v>12911.48</v>
      </c>
      <c r="F18" s="8">
        <v>12912.27</v>
      </c>
      <c r="G18" s="8">
        <v>12938</v>
      </c>
      <c r="H18" s="8">
        <v>12938.8</v>
      </c>
      <c r="I18" s="8">
        <v>12939.6</v>
      </c>
      <c r="J18" s="8">
        <v>12966.57</v>
      </c>
      <c r="K18" s="1"/>
    </row>
    <row r="19" spans="1:11" x14ac:dyDescent="0.25">
      <c r="C19" s="36">
        <f>E18-C18</f>
        <v>27.920000000000073</v>
      </c>
      <c r="D19" s="36"/>
      <c r="F19" s="36">
        <f>H18-E18</f>
        <v>27.319999999999709</v>
      </c>
      <c r="G19" s="36"/>
      <c r="I19" s="36">
        <f>J18-H18</f>
        <v>27.770000000000437</v>
      </c>
      <c r="J19" s="36"/>
    </row>
    <row r="20" spans="1:11" x14ac:dyDescent="0.25">
      <c r="B20" s="4" t="s">
        <v>62</v>
      </c>
      <c r="C20">
        <v>36</v>
      </c>
      <c r="D20" t="s">
        <v>35</v>
      </c>
    </row>
    <row r="21" spans="1:11" x14ac:dyDescent="0.25">
      <c r="A21" s="3" t="s">
        <v>55</v>
      </c>
      <c r="C21" t="s">
        <v>157</v>
      </c>
      <c r="F21" t="s">
        <v>158</v>
      </c>
    </row>
    <row r="22" spans="1:11" x14ac:dyDescent="0.25">
      <c r="B22" s="4" t="s">
        <v>56</v>
      </c>
      <c r="C22">
        <v>20</v>
      </c>
      <c r="D22" t="s">
        <v>35</v>
      </c>
      <c r="E22" s="4" t="s">
        <v>159</v>
      </c>
      <c r="F22">
        <v>5</v>
      </c>
      <c r="G22" t="s">
        <v>35</v>
      </c>
    </row>
    <row r="23" spans="1:11" x14ac:dyDescent="0.25">
      <c r="B23" s="4" t="s">
        <v>57</v>
      </c>
      <c r="C23">
        <v>36</v>
      </c>
      <c r="D23" t="s">
        <v>35</v>
      </c>
      <c r="E23" s="4" t="s">
        <v>131</v>
      </c>
      <c r="F23">
        <f>C23/COS(RADIANS(C11))</f>
        <v>38.310399809132832</v>
      </c>
      <c r="G23" t="s">
        <v>35</v>
      </c>
    </row>
    <row r="24" spans="1:11" x14ac:dyDescent="0.25">
      <c r="B24" s="4" t="s">
        <v>58</v>
      </c>
      <c r="C24">
        <v>2</v>
      </c>
    </row>
    <row r="25" spans="1:11" x14ac:dyDescent="0.25">
      <c r="B25" s="4" t="s">
        <v>156</v>
      </c>
      <c r="C25">
        <f>C22*C23*C24</f>
        <v>1440</v>
      </c>
      <c r="D25" t="str">
        <f>"sf or "&amp;C25/9&amp;"sy"</f>
        <v>sf or 160sy</v>
      </c>
      <c r="F25">
        <f>F22*F23*C24</f>
        <v>383.10399809132832</v>
      </c>
      <c r="G25" t="str">
        <f>"sf or "&amp;F25/9&amp;"sy"</f>
        <v>sf or 42.5671108990365sy</v>
      </c>
    </row>
    <row r="26" spans="1:11" x14ac:dyDescent="0.25">
      <c r="B26" s="4"/>
    </row>
    <row r="27" spans="1:11" x14ac:dyDescent="0.25">
      <c r="A27" s="3" t="s">
        <v>61</v>
      </c>
    </row>
    <row r="28" spans="1:11" x14ac:dyDescent="0.25">
      <c r="B28" s="4" t="s">
        <v>63</v>
      </c>
      <c r="C28">
        <f>SUM(1.5,C19:J19,1.5)*C20</f>
        <v>3096.3600000000079</v>
      </c>
      <c r="D28" t="s">
        <v>66</v>
      </c>
    </row>
    <row r="29" spans="1:11" x14ac:dyDescent="0.25">
      <c r="B29" s="4" t="s">
        <v>64</v>
      </c>
      <c r="C29">
        <f>C22*C23*C24</f>
        <v>1440</v>
      </c>
      <c r="D29" t="s">
        <v>66</v>
      </c>
    </row>
    <row r="30" spans="1:11" x14ac:dyDescent="0.25">
      <c r="B30" s="4" t="s">
        <v>65</v>
      </c>
      <c r="C30">
        <f>SUM(C28:C29)/9</f>
        <v>504.04000000000087</v>
      </c>
      <c r="D30" t="s">
        <v>67</v>
      </c>
    </row>
    <row r="32" spans="1:11" x14ac:dyDescent="0.25">
      <c r="A32" s="9" t="s">
        <v>59</v>
      </c>
      <c r="D32" s="43" t="s">
        <v>153</v>
      </c>
    </row>
    <row r="33" spans="1:11" x14ac:dyDescent="0.25">
      <c r="B33" s="4" t="s">
        <v>60</v>
      </c>
      <c r="C33">
        <v>175</v>
      </c>
      <c r="D33" t="s">
        <v>35</v>
      </c>
    </row>
    <row r="35" spans="1:11" x14ac:dyDescent="0.25">
      <c r="F35" s="1"/>
      <c r="G35" s="1"/>
      <c r="H35" s="40" t="s">
        <v>71</v>
      </c>
      <c r="I35" s="41"/>
      <c r="J35" s="42"/>
    </row>
    <row r="36" spans="1:11" x14ac:dyDescent="0.25">
      <c r="A36" s="3" t="s">
        <v>68</v>
      </c>
      <c r="F36" s="26" t="s">
        <v>72</v>
      </c>
      <c r="G36" s="27"/>
      <c r="H36" s="11" t="s">
        <v>73</v>
      </c>
      <c r="I36" s="11" t="s">
        <v>74</v>
      </c>
      <c r="J36" s="11" t="s">
        <v>75</v>
      </c>
      <c r="K36" s="39" t="s">
        <v>86</v>
      </c>
    </row>
    <row r="37" spans="1:11" x14ac:dyDescent="0.25">
      <c r="B37" t="s">
        <v>69</v>
      </c>
      <c r="F37" s="26" t="s">
        <v>76</v>
      </c>
      <c r="G37" s="27"/>
      <c r="H37" s="12">
        <v>27.1200000000008</v>
      </c>
      <c r="I37" s="12">
        <v>25.729999999999563</v>
      </c>
      <c r="J37" s="12">
        <v>26.969999999999345</v>
      </c>
      <c r="K37" s="39"/>
    </row>
    <row r="38" spans="1:11" x14ac:dyDescent="0.25">
      <c r="B38" s="4" t="s">
        <v>56</v>
      </c>
      <c r="C38" s="10">
        <f>SUM(0.5,C19:J19,0.5)</f>
        <v>84.010000000000218</v>
      </c>
      <c r="D38" t="s">
        <v>3</v>
      </c>
      <c r="F38" s="24" t="s">
        <v>77</v>
      </c>
      <c r="G38" s="25"/>
      <c r="H38" s="13">
        <v>7.8812142115802999</v>
      </c>
      <c r="I38" s="13">
        <v>8.2528042115827702</v>
      </c>
      <c r="J38" s="13">
        <v>8.1117542115816832</v>
      </c>
      <c r="K38" s="37">
        <f>AVERAGE(H38:J46)</f>
        <v>8.0203802913082214</v>
      </c>
    </row>
    <row r="39" spans="1:11" x14ac:dyDescent="0.25">
      <c r="B39" s="4" t="s">
        <v>57</v>
      </c>
      <c r="C39">
        <f>C20</f>
        <v>36</v>
      </c>
      <c r="D39" t="s">
        <v>3</v>
      </c>
      <c r="F39" s="24" t="s">
        <v>78</v>
      </c>
      <c r="G39" s="25"/>
      <c r="H39" s="13">
        <v>7.8545139977823055</v>
      </c>
      <c r="I39" s="13">
        <v>8.2261039977847759</v>
      </c>
      <c r="J39" s="13">
        <v>8.0850539977845983</v>
      </c>
      <c r="K39" s="38"/>
    </row>
    <row r="40" spans="1:11" x14ac:dyDescent="0.25">
      <c r="B40" s="4" t="s">
        <v>70</v>
      </c>
      <c r="C40">
        <f>K38/12</f>
        <v>0.66836502427568512</v>
      </c>
      <c r="D40" t="s">
        <v>3</v>
      </c>
      <c r="F40" s="24" t="s">
        <v>79</v>
      </c>
      <c r="G40" s="25"/>
      <c r="H40" s="13">
        <v>7.8278137839879491</v>
      </c>
      <c r="I40" s="13">
        <v>8.19940378398951</v>
      </c>
      <c r="J40" s="13">
        <v>8.0583537839893324</v>
      </c>
      <c r="K40" s="38"/>
    </row>
    <row r="41" spans="1:11" x14ac:dyDescent="0.25">
      <c r="C41">
        <f>C38*C39*C40</f>
        <v>2021.3764448184163</v>
      </c>
      <c r="D41" t="s">
        <v>91</v>
      </c>
      <c r="F41" s="24" t="s">
        <v>80</v>
      </c>
      <c r="G41" s="25"/>
      <c r="H41" s="13">
        <v>7.8011135701935928</v>
      </c>
      <c r="I41" s="13">
        <v>8.1727035701942441</v>
      </c>
      <c r="J41" s="13">
        <v>8.0316535701949761</v>
      </c>
      <c r="K41" s="38"/>
    </row>
    <row r="42" spans="1:11" x14ac:dyDescent="0.25">
      <c r="B42" s="4" t="s">
        <v>87</v>
      </c>
      <c r="F42" s="24" t="s">
        <v>81</v>
      </c>
      <c r="G42" s="25"/>
      <c r="H42" s="13">
        <v>8.3235866666673246</v>
      </c>
      <c r="I42" s="13">
        <v>8.695176666666157</v>
      </c>
      <c r="J42" s="13">
        <v>8.5541266666677984</v>
      </c>
      <c r="K42" s="38"/>
    </row>
    <row r="43" spans="1:11" x14ac:dyDescent="0.25">
      <c r="B43" s="4" t="s">
        <v>88</v>
      </c>
      <c r="C43">
        <f>(G9+AVERAGE(H38:H46))/12</f>
        <v>2.0697902216747512</v>
      </c>
      <c r="D43" t="s">
        <v>3</v>
      </c>
      <c r="F43" s="24" t="s">
        <v>82</v>
      </c>
      <c r="G43" s="25"/>
      <c r="H43" s="13">
        <v>7.9674421294866988</v>
      </c>
      <c r="I43" s="13">
        <v>8.3919419603780625</v>
      </c>
      <c r="J43" s="13">
        <v>8.1148381095190416</v>
      </c>
      <c r="K43" s="38"/>
    </row>
    <row r="44" spans="1:11" x14ac:dyDescent="0.25">
      <c r="B44" s="4" t="s">
        <v>89</v>
      </c>
      <c r="C44">
        <v>1.5</v>
      </c>
      <c r="D44" t="s">
        <v>3</v>
      </c>
      <c r="F44" s="24" t="s">
        <v>83</v>
      </c>
      <c r="G44" s="25"/>
      <c r="H44" s="13">
        <v>7.7973309949402392</v>
      </c>
      <c r="I44" s="13">
        <v>8.3268300094568986</v>
      </c>
      <c r="J44" s="13">
        <v>7.779728257845818</v>
      </c>
      <c r="K44" s="38"/>
    </row>
    <row r="45" spans="1:11" x14ac:dyDescent="0.25">
      <c r="B45" s="4" t="s">
        <v>56</v>
      </c>
      <c r="C45">
        <f>C20/COS(RADIANS(C11))</f>
        <v>38.310399809132832</v>
      </c>
      <c r="D45" t="s">
        <v>3</v>
      </c>
      <c r="F45" s="24" t="s">
        <v>84</v>
      </c>
      <c r="G45" s="25"/>
      <c r="H45" s="13">
        <v>7.627219860391051</v>
      </c>
      <c r="I45" s="13">
        <v>8.2617180585330061</v>
      </c>
      <c r="J45" s="13">
        <v>7.4446184061698659</v>
      </c>
      <c r="K45" s="38"/>
    </row>
    <row r="46" spans="1:11" x14ac:dyDescent="0.25">
      <c r="C46">
        <f>C43*C44*C45</f>
        <v>118.9417363700901</v>
      </c>
      <c r="D46" t="s">
        <v>91</v>
      </c>
      <c r="F46" s="24" t="s">
        <v>85</v>
      </c>
      <c r="G46" s="25"/>
      <c r="H46" s="13">
        <v>7.4571087258436819</v>
      </c>
      <c r="I46" s="13">
        <v>8.1966061076127517</v>
      </c>
      <c r="J46" s="13">
        <v>7.1095085544975518</v>
      </c>
      <c r="K46" s="38"/>
    </row>
    <row r="47" spans="1:11" x14ac:dyDescent="0.25">
      <c r="B47" s="4" t="s">
        <v>90</v>
      </c>
      <c r="F47" t="s">
        <v>132</v>
      </c>
      <c r="H47" t="s">
        <v>133</v>
      </c>
    </row>
    <row r="48" spans="1:11" x14ac:dyDescent="0.25">
      <c r="B48" s="4" t="s">
        <v>88</v>
      </c>
      <c r="C48">
        <f>(G9+AVERAGE(J38:J46))/12</f>
        <v>2.0767558847986174</v>
      </c>
      <c r="D48" t="s">
        <v>3</v>
      </c>
      <c r="E48" s="4" t="s">
        <v>88</v>
      </c>
      <c r="F48">
        <f>(G9+AVERAGE(I38:I46))/12</f>
        <v>2.1085489663536872</v>
      </c>
      <c r="G48" t="s">
        <v>3</v>
      </c>
      <c r="H48">
        <f>(G9+AVERAGE(I38:I46))/12</f>
        <v>2.1085489663536872</v>
      </c>
      <c r="I48" t="s">
        <v>3</v>
      </c>
    </row>
    <row r="49" spans="1:9" x14ac:dyDescent="0.25">
      <c r="B49" s="4" t="s">
        <v>89</v>
      </c>
      <c r="C49">
        <v>1.5</v>
      </c>
      <c r="D49" t="s">
        <v>3</v>
      </c>
      <c r="E49" s="4" t="s">
        <v>89</v>
      </c>
      <c r="F49">
        <v>0.5</v>
      </c>
      <c r="G49" t="s">
        <v>3</v>
      </c>
      <c r="H49">
        <v>0.5</v>
      </c>
      <c r="I49" t="s">
        <v>3</v>
      </c>
    </row>
    <row r="50" spans="1:9" x14ac:dyDescent="0.25">
      <c r="B50" s="4" t="s">
        <v>56</v>
      </c>
      <c r="C50">
        <f>C20/COS(RADIANS(C11))</f>
        <v>38.310399809132832</v>
      </c>
      <c r="D50" t="s">
        <v>3</v>
      </c>
      <c r="E50" s="4" t="s">
        <v>56</v>
      </c>
      <c r="F50">
        <f>C20/COS(RADIANS(C11))</f>
        <v>38.310399809132832</v>
      </c>
      <c r="G50" t="s">
        <v>3</v>
      </c>
      <c r="H50">
        <f>C20/COS(RADIANS(C11))</f>
        <v>38.310399809132832</v>
      </c>
      <c r="I50" t="s">
        <v>3</v>
      </c>
    </row>
    <row r="51" spans="1:9" x14ac:dyDescent="0.25">
      <c r="C51">
        <f>C48*C49*C50</f>
        <v>119.34202237890666</v>
      </c>
      <c r="D51" t="s">
        <v>91</v>
      </c>
      <c r="F51">
        <f>F48*F49*F50</f>
        <v>40.389676959071764</v>
      </c>
      <c r="G51" t="s">
        <v>91</v>
      </c>
      <c r="H51">
        <f>H48*H49*H50</f>
        <v>40.389676959071764</v>
      </c>
      <c r="I51" t="s">
        <v>91</v>
      </c>
    </row>
    <row r="53" spans="1:9" x14ac:dyDescent="0.25">
      <c r="B53" s="4" t="s">
        <v>65</v>
      </c>
      <c r="C53">
        <f>(C41+C46+C51+F51+H51)/27</f>
        <v>86.682946573539155</v>
      </c>
      <c r="D53" t="s">
        <v>9</v>
      </c>
    </row>
    <row r="55" spans="1:9" x14ac:dyDescent="0.25">
      <c r="A55" s="3" t="s">
        <v>128</v>
      </c>
    </row>
    <row r="56" spans="1:9" x14ac:dyDescent="0.25">
      <c r="B56" t="s">
        <v>129</v>
      </c>
      <c r="C56">
        <f>MROUND(1.5*27/12*7*4/27,5)</f>
        <v>5</v>
      </c>
      <c r="D56" t="s">
        <v>9</v>
      </c>
    </row>
    <row r="58" spans="1:9" x14ac:dyDescent="0.25">
      <c r="A58" t="s">
        <v>93</v>
      </c>
    </row>
    <row r="59" spans="1:9" x14ac:dyDescent="0.25">
      <c r="B59" s="4" t="s">
        <v>92</v>
      </c>
      <c r="C59">
        <f>(C53+C56)*200</f>
        <v>18336.589314707831</v>
      </c>
      <c r="D59" t="s">
        <v>94</v>
      </c>
    </row>
    <row r="61" spans="1:9" x14ac:dyDescent="0.25">
      <c r="A61" s="3" t="s">
        <v>95</v>
      </c>
    </row>
    <row r="62" spans="1:9" x14ac:dyDescent="0.25">
      <c r="B62" s="4" t="s">
        <v>96</v>
      </c>
      <c r="C62" s="10">
        <f>C38</f>
        <v>84.010000000000218</v>
      </c>
      <c r="D62" t="s">
        <v>35</v>
      </c>
    </row>
    <row r="63" spans="1:9" x14ac:dyDescent="0.25">
      <c r="B63" s="4" t="s">
        <v>97</v>
      </c>
      <c r="C63" s="10">
        <f>AVERAGE(H38:J38,H46:J46)</f>
        <v>7.8348326704497895</v>
      </c>
      <c r="D63" t="s">
        <v>27</v>
      </c>
    </row>
    <row r="64" spans="1:9" x14ac:dyDescent="0.25">
      <c r="B64" s="4" t="s">
        <v>28</v>
      </c>
      <c r="C64">
        <f>G9</f>
        <v>17</v>
      </c>
      <c r="D64" t="s">
        <v>27</v>
      </c>
    </row>
    <row r="65" spans="1:10" x14ac:dyDescent="0.25">
      <c r="B65" s="4" t="s">
        <v>134</v>
      </c>
      <c r="C65" s="10">
        <v>6</v>
      </c>
      <c r="D65" t="s">
        <v>27</v>
      </c>
    </row>
    <row r="66" spans="1:10" x14ac:dyDescent="0.25">
      <c r="B66" s="4" t="s">
        <v>98</v>
      </c>
      <c r="C66">
        <f>(C64+C63+C65)/12</f>
        <v>2.5695693892041489</v>
      </c>
      <c r="D66" t="s">
        <v>35</v>
      </c>
      <c r="E66" t="s">
        <v>135</v>
      </c>
      <c r="F66">
        <f>C62*C66*C67/9</f>
        <v>47.971005419342468</v>
      </c>
      <c r="G66" t="s">
        <v>67</v>
      </c>
    </row>
    <row r="67" spans="1:10" x14ac:dyDescent="0.25">
      <c r="B67" s="4" t="s">
        <v>161</v>
      </c>
      <c r="C67">
        <v>2</v>
      </c>
      <c r="E67" s="4" t="s">
        <v>162</v>
      </c>
      <c r="F67">
        <v>4</v>
      </c>
      <c r="H67" s="4" t="s">
        <v>163</v>
      </c>
      <c r="I67">
        <v>6</v>
      </c>
      <c r="J67" t="s">
        <v>164</v>
      </c>
    </row>
    <row r="68" spans="1:10" x14ac:dyDescent="0.25">
      <c r="B68" s="4" t="s">
        <v>100</v>
      </c>
      <c r="C68">
        <v>3</v>
      </c>
      <c r="D68" t="s">
        <v>35</v>
      </c>
      <c r="E68" t="s">
        <v>136</v>
      </c>
      <c r="F68">
        <f>C68+SUM(C63:C64)/12+1.5</f>
        <v>6.5695693892041493</v>
      </c>
      <c r="H68" s="4" t="s">
        <v>138</v>
      </c>
      <c r="I68">
        <v>2.66</v>
      </c>
    </row>
    <row r="69" spans="1:10" x14ac:dyDescent="0.25">
      <c r="B69" s="4" t="s">
        <v>101</v>
      </c>
      <c r="C69">
        <f>C45</f>
        <v>38.310399809132832</v>
      </c>
      <c r="D69" t="s">
        <v>35</v>
      </c>
      <c r="E69" t="s">
        <v>137</v>
      </c>
      <c r="F69">
        <f>7+1.5</f>
        <v>8.5</v>
      </c>
      <c r="H69" s="4" t="s">
        <v>139</v>
      </c>
      <c r="I69">
        <f>C69</f>
        <v>38.310399809132832</v>
      </c>
    </row>
    <row r="70" spans="1:10" x14ac:dyDescent="0.25">
      <c r="E70" s="4" t="s">
        <v>160</v>
      </c>
      <c r="F70">
        <f>(F69*F68*F67+C67*C68*C69)/9</f>
        <v>50.35863978752645</v>
      </c>
      <c r="G70" t="s">
        <v>67</v>
      </c>
      <c r="H70" s="4" t="s">
        <v>140</v>
      </c>
      <c r="I70">
        <f>I67*I68*I69/9</f>
        <v>67.937108994862228</v>
      </c>
      <c r="J70" t="s">
        <v>67</v>
      </c>
    </row>
    <row r="71" spans="1:10" x14ac:dyDescent="0.25">
      <c r="B71" s="4" t="s">
        <v>99</v>
      </c>
      <c r="C71">
        <f>(((C62*C66)+(C68*C69))*C67+(F69*F68*F67)+(I67*I68*I69))/9</f>
        <v>166.26675420173115</v>
      </c>
      <c r="D71" t="s">
        <v>67</v>
      </c>
    </row>
    <row r="73" spans="1:10" x14ac:dyDescent="0.25">
      <c r="A73" s="3" t="s">
        <v>154</v>
      </c>
    </row>
    <row r="74" spans="1:10" x14ac:dyDescent="0.25">
      <c r="B74" s="4" t="s">
        <v>88</v>
      </c>
      <c r="C74">
        <f>AVERAGE(C43,C48)</f>
        <v>2.0732730532366843</v>
      </c>
      <c r="D74" t="s">
        <v>3</v>
      </c>
    </row>
    <row r="75" spans="1:10" x14ac:dyDescent="0.25">
      <c r="B75" s="4" t="s">
        <v>56</v>
      </c>
      <c r="C75">
        <f>1.5/COS(RADIANS(C11))</f>
        <v>1.5962666587138681</v>
      </c>
      <c r="D75" t="s">
        <v>3</v>
      </c>
    </row>
    <row r="76" spans="1:10" x14ac:dyDescent="0.25">
      <c r="B76" s="4" t="s">
        <v>58</v>
      </c>
      <c r="C76">
        <v>4</v>
      </c>
    </row>
    <row r="77" spans="1:10" x14ac:dyDescent="0.25">
      <c r="C77">
        <f>C74*C75*C76</f>
        <v>13.237986597166486</v>
      </c>
      <c r="D77" t="s">
        <v>67</v>
      </c>
    </row>
    <row r="80" spans="1:10" x14ac:dyDescent="0.25">
      <c r="A80" s="3" t="s">
        <v>4</v>
      </c>
    </row>
    <row r="81" spans="1:10" x14ac:dyDescent="0.25">
      <c r="B81" s="4" t="s">
        <v>56</v>
      </c>
      <c r="C81">
        <f>C45+2*C74</f>
        <v>42.456945915606198</v>
      </c>
      <c r="D81" t="s">
        <v>35</v>
      </c>
    </row>
    <row r="82" spans="1:10" x14ac:dyDescent="0.25">
      <c r="B82" s="4" t="s">
        <v>58</v>
      </c>
      <c r="C82">
        <v>2</v>
      </c>
    </row>
    <row r="83" spans="1:10" x14ac:dyDescent="0.25">
      <c r="C83">
        <f>C81*C82</f>
        <v>84.913891831212396</v>
      </c>
      <c r="D83" t="s">
        <v>35</v>
      </c>
    </row>
    <row r="86" spans="1:10" x14ac:dyDescent="0.25">
      <c r="A86" s="3" t="s">
        <v>6</v>
      </c>
    </row>
    <row r="87" spans="1:10" x14ac:dyDescent="0.25">
      <c r="B87" t="s">
        <v>106</v>
      </c>
      <c r="C87">
        <f>C92/2</f>
        <v>54</v>
      </c>
      <c r="D87" t="s">
        <v>102</v>
      </c>
    </row>
    <row r="88" spans="1:10" x14ac:dyDescent="0.25">
      <c r="A88" s="3" t="s">
        <v>8</v>
      </c>
    </row>
    <row r="89" spans="1:10" x14ac:dyDescent="0.25">
      <c r="B89" s="4" t="s">
        <v>104</v>
      </c>
      <c r="C89">
        <v>3</v>
      </c>
    </row>
    <row r="90" spans="1:10" x14ac:dyDescent="0.25">
      <c r="B90" s="4" t="s">
        <v>103</v>
      </c>
      <c r="C90">
        <v>9</v>
      </c>
      <c r="J90" t="s">
        <v>107</v>
      </c>
    </row>
    <row r="91" spans="1:10" x14ac:dyDescent="0.25">
      <c r="B91" s="4" t="s">
        <v>105</v>
      </c>
      <c r="C91">
        <v>4</v>
      </c>
    </row>
    <row r="92" spans="1:10" x14ac:dyDescent="0.25">
      <c r="B92" s="4" t="s">
        <v>106</v>
      </c>
      <c r="C92">
        <f>C89*C90*C91</f>
        <v>108</v>
      </c>
    </row>
    <row r="95" spans="1:10" x14ac:dyDescent="0.25">
      <c r="A95" s="3" t="s">
        <v>151</v>
      </c>
    </row>
    <row r="96" spans="1:10" x14ac:dyDescent="0.25">
      <c r="B96" t="s">
        <v>108</v>
      </c>
      <c r="C96">
        <v>27.862711109785643</v>
      </c>
      <c r="D96" t="s">
        <v>109</v>
      </c>
    </row>
    <row r="97" spans="1:7" x14ac:dyDescent="0.25">
      <c r="B97" t="s">
        <v>110</v>
      </c>
      <c r="C97">
        <v>34.488755552904614</v>
      </c>
      <c r="D97" t="s">
        <v>111</v>
      </c>
    </row>
    <row r="98" spans="1:7" x14ac:dyDescent="0.25">
      <c r="B98" t="s">
        <v>112</v>
      </c>
      <c r="C98">
        <v>29.129377776452312</v>
      </c>
      <c r="D98" t="s">
        <v>109</v>
      </c>
    </row>
    <row r="99" spans="1:7" x14ac:dyDescent="0.25">
      <c r="B99" s="4" t="s">
        <v>58</v>
      </c>
      <c r="C99">
        <v>2</v>
      </c>
    </row>
    <row r="100" spans="1:7" x14ac:dyDescent="0.25">
      <c r="B100" t="s">
        <v>113</v>
      </c>
      <c r="C100">
        <f>SUM(C96:C98)*C99</f>
        <v>182.96168887828514</v>
      </c>
      <c r="D100" t="s">
        <v>35</v>
      </c>
    </row>
    <row r="102" spans="1:7" x14ac:dyDescent="0.25">
      <c r="A102" s="3" t="s">
        <v>10</v>
      </c>
    </row>
    <row r="103" spans="1:7" x14ac:dyDescent="0.25">
      <c r="B103" s="4" t="s">
        <v>56</v>
      </c>
      <c r="C103">
        <f>C69</f>
        <v>38.310399809132832</v>
      </c>
      <c r="D103" t="s">
        <v>35</v>
      </c>
    </row>
    <row r="104" spans="1:7" x14ac:dyDescent="0.25">
      <c r="B104" s="4" t="s">
        <v>88</v>
      </c>
      <c r="C104">
        <v>3</v>
      </c>
      <c r="D104" t="s">
        <v>35</v>
      </c>
    </row>
    <row r="105" spans="1:7" x14ac:dyDescent="0.25">
      <c r="B105" s="4" t="s">
        <v>57</v>
      </c>
      <c r="C105">
        <v>1.5</v>
      </c>
      <c r="D105" t="s">
        <v>35</v>
      </c>
    </row>
    <row r="106" spans="1:7" x14ac:dyDescent="0.25">
      <c r="B106" s="4" t="s">
        <v>58</v>
      </c>
      <c r="C106">
        <v>2</v>
      </c>
    </row>
    <row r="107" spans="1:7" x14ac:dyDescent="0.25">
      <c r="B107" s="4" t="s">
        <v>65</v>
      </c>
      <c r="C107">
        <f>C103*C104*C105*C106/27</f>
        <v>12.770133269710945</v>
      </c>
      <c r="D107" t="s">
        <v>9</v>
      </c>
    </row>
    <row r="109" spans="1:7" x14ac:dyDescent="0.25">
      <c r="A109" s="3" t="s">
        <v>11</v>
      </c>
      <c r="C109" t="s">
        <v>169</v>
      </c>
      <c r="E109" t="s">
        <v>143</v>
      </c>
    </row>
    <row r="110" spans="1:7" ht="18" x14ac:dyDescent="0.35">
      <c r="B110" s="4" t="s">
        <v>56</v>
      </c>
      <c r="C110" s="10">
        <f>86+(2.25/12)</f>
        <v>86.1875</v>
      </c>
      <c r="D110" t="s">
        <v>35</v>
      </c>
      <c r="E110" s="4" t="s">
        <v>141</v>
      </c>
      <c r="F110">
        <v>2</v>
      </c>
      <c r="G110" t="s">
        <v>35</v>
      </c>
    </row>
    <row r="111" spans="1:7" x14ac:dyDescent="0.25">
      <c r="B111" s="4" t="s">
        <v>58</v>
      </c>
      <c r="C111">
        <v>2</v>
      </c>
      <c r="E111" s="4" t="s">
        <v>58</v>
      </c>
      <c r="F111">
        <v>24</v>
      </c>
    </row>
    <row r="112" spans="1:7" x14ac:dyDescent="0.25">
      <c r="E112" s="4"/>
    </row>
    <row r="113" spans="1:5" x14ac:dyDescent="0.25">
      <c r="B113" s="4" t="s">
        <v>65</v>
      </c>
      <c r="C113" s="10">
        <f>C110*C111+F110*F111</f>
        <v>220.375</v>
      </c>
      <c r="D113" t="s">
        <v>170</v>
      </c>
      <c r="E113" s="4"/>
    </row>
    <row r="115" spans="1:5" x14ac:dyDescent="0.25">
      <c r="A115" s="3" t="s">
        <v>124</v>
      </c>
    </row>
    <row r="116" spans="1:5" x14ac:dyDescent="0.25">
      <c r="B116" s="4" t="s">
        <v>123</v>
      </c>
    </row>
    <row r="117" spans="1:5" x14ac:dyDescent="0.25">
      <c r="B117" s="4" t="s">
        <v>39</v>
      </c>
      <c r="C117">
        <f>28+(2+3/8)/12</f>
        <v>28.197916666666668</v>
      </c>
    </row>
    <row r="118" spans="1:5" x14ac:dyDescent="0.25">
      <c r="B118" s="4" t="s">
        <v>40</v>
      </c>
      <c r="C118">
        <f>26+9.5/12</f>
        <v>26.791666666666668</v>
      </c>
    </row>
    <row r="119" spans="1:5" x14ac:dyDescent="0.25">
      <c r="B119" s="4" t="s">
        <v>41</v>
      </c>
      <c r="C119">
        <f>28+3/8/12</f>
        <v>28.03125</v>
      </c>
    </row>
    <row r="120" spans="1:5" x14ac:dyDescent="0.25">
      <c r="B120" s="4" t="s">
        <v>106</v>
      </c>
      <c r="C120">
        <f>SUM(C117:C119)</f>
        <v>83.020833333333343</v>
      </c>
    </row>
    <row r="121" spans="1:5" x14ac:dyDescent="0.25">
      <c r="B121" s="4" t="s">
        <v>125</v>
      </c>
      <c r="C121">
        <v>8</v>
      </c>
    </row>
    <row r="122" spans="1:5" x14ac:dyDescent="0.25">
      <c r="B122" s="4" t="s">
        <v>126</v>
      </c>
      <c r="C122">
        <f>C120*C121</f>
        <v>664.16666666666674</v>
      </c>
      <c r="D122" t="s">
        <v>35</v>
      </c>
    </row>
    <row r="124" spans="1:5" x14ac:dyDescent="0.25">
      <c r="A124" s="3" t="s">
        <v>165</v>
      </c>
    </row>
    <row r="126" spans="1:5" x14ac:dyDescent="0.25">
      <c r="B126" s="4" t="s">
        <v>135</v>
      </c>
      <c r="C126">
        <f>204+265+312+318+288+3380+6564+248+1515+534</f>
        <v>13628</v>
      </c>
      <c r="D126" t="s">
        <v>167</v>
      </c>
    </row>
    <row r="127" spans="1:5" x14ac:dyDescent="0.25">
      <c r="B127" s="4" t="s">
        <v>166</v>
      </c>
      <c r="C127">
        <f>74+12+13+13+12+11+12+15+14</f>
        <v>176</v>
      </c>
      <c r="D127" t="s">
        <v>167</v>
      </c>
    </row>
    <row r="128" spans="1:5" x14ac:dyDescent="0.25">
      <c r="B128" s="4" t="s">
        <v>142</v>
      </c>
      <c r="C128">
        <f>C126+C127</f>
        <v>13804</v>
      </c>
      <c r="D128" t="s">
        <v>167</v>
      </c>
    </row>
  </sheetData>
  <mergeCells count="23">
    <mergeCell ref="G5:H5"/>
    <mergeCell ref="K38:K46"/>
    <mergeCell ref="K36:K37"/>
    <mergeCell ref="H35:J35"/>
    <mergeCell ref="G6:H6"/>
    <mergeCell ref="C15:D15"/>
    <mergeCell ref="F15:G15"/>
    <mergeCell ref="I15:J15"/>
    <mergeCell ref="C19:D19"/>
    <mergeCell ref="F19:G19"/>
    <mergeCell ref="I19:J19"/>
    <mergeCell ref="DA2:DC2"/>
    <mergeCell ref="EM2:EO2"/>
    <mergeCell ref="H1:K1"/>
    <mergeCell ref="AE1:AG1"/>
    <mergeCell ref="BO1:BQ1"/>
    <mergeCell ref="DA1:DC1"/>
    <mergeCell ref="EM1:EO1"/>
    <mergeCell ref="G3:H3"/>
    <mergeCell ref="G4:H4"/>
    <mergeCell ref="G2:H2"/>
    <mergeCell ref="AE2:AG2"/>
    <mergeCell ref="BO2:BQ2"/>
  </mergeCells>
  <pageMargins left="0.7" right="0.7" top="0.75" bottom="0.75" header="0.3" footer="0.3"/>
  <pageSetup scale="80" fitToHeight="0" orientation="portrait" r:id="rId1"/>
  <rowBreaks count="2" manualBreakCount="2">
    <brk id="53" max="10" man="1"/>
    <brk id="10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Sheet2!Print_Area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Dietrich</dc:creator>
  <cp:lastModifiedBy>Bryan Dietrich</cp:lastModifiedBy>
  <cp:lastPrinted>2025-03-20T07:02:05Z</cp:lastPrinted>
  <dcterms:created xsi:type="dcterms:W3CDTF">2024-08-02T09:11:40Z</dcterms:created>
  <dcterms:modified xsi:type="dcterms:W3CDTF">2025-03-20T07:05:55Z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