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pw_work\arcadispw01\andrew.farmer\d0241389\"/>
    </mc:Choice>
  </mc:AlternateContent>
  <xr:revisionPtr revIDLastSave="0" documentId="13_ncr:1_{1ACD64C3-0F2F-4AB9-99AE-2338A43F6BB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C" sheetId="27" r:id="rId1"/>
    <sheet name="Curb Cut Q" sheetId="28" r:id="rId2"/>
    <sheet name="Culvert C" sheetId="22" r:id="rId3"/>
    <sheet name="Culvert Tc" sheetId="21" r:id="rId4"/>
    <sheet name="Culvert Flow" sheetId="2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28" l="1"/>
  <c r="C31" i="28"/>
  <c r="C35" i="28"/>
  <c r="B35" i="28"/>
  <c r="E35" i="28"/>
  <c r="E31" i="28"/>
  <c r="E27" i="28"/>
  <c r="E28" i="27"/>
  <c r="F28" i="27"/>
  <c r="G28" i="27" s="1"/>
  <c r="H28" i="27" s="1"/>
  <c r="U28" i="27" s="1"/>
  <c r="E27" i="27"/>
  <c r="B31" i="28" s="1"/>
  <c r="F31" i="28" s="1"/>
  <c r="F27" i="27"/>
  <c r="G27" i="27"/>
  <c r="H27" i="27" s="1"/>
  <c r="U27" i="27" s="1"/>
  <c r="E26" i="27"/>
  <c r="B27" i="28" s="1"/>
  <c r="F26" i="27"/>
  <c r="G26" i="27"/>
  <c r="H26" i="27" s="1"/>
  <c r="U26" i="27" s="1"/>
  <c r="O11" i="28"/>
  <c r="S11" i="28"/>
  <c r="R11" i="28"/>
  <c r="I32" i="27"/>
  <c r="J32" i="27" s="1"/>
  <c r="K32" i="27" s="1"/>
  <c r="G32" i="27"/>
  <c r="H32" i="27" s="1"/>
  <c r="E32" i="27"/>
  <c r="F31" i="27"/>
  <c r="G31" i="27" s="1"/>
  <c r="H31" i="27" s="1"/>
  <c r="U31" i="27" s="1"/>
  <c r="E31" i="27"/>
  <c r="E30" i="27"/>
  <c r="F30" i="27"/>
  <c r="G30" i="27" s="1"/>
  <c r="H30" i="27" s="1"/>
  <c r="U30" i="27" s="1"/>
  <c r="E29" i="27"/>
  <c r="F29" i="27"/>
  <c r="G29" i="27" s="1"/>
  <c r="H29" i="27" s="1"/>
  <c r="U29" i="27" s="1"/>
  <c r="C7" i="28"/>
  <c r="E7" i="28"/>
  <c r="C11" i="28"/>
  <c r="E11" i="28"/>
  <c r="C15" i="28"/>
  <c r="E15" i="28"/>
  <c r="C19" i="28"/>
  <c r="E19" i="28"/>
  <c r="C23" i="28"/>
  <c r="E23" i="28"/>
  <c r="E21" i="27"/>
  <c r="B7" i="28" s="1"/>
  <c r="F21" i="27"/>
  <c r="G21" i="27" s="1"/>
  <c r="H21" i="27" s="1"/>
  <c r="U21" i="27" s="1"/>
  <c r="E22" i="27"/>
  <c r="B11" i="28" s="1"/>
  <c r="F22" i="27"/>
  <c r="G22" i="27" s="1"/>
  <c r="H22" i="27" s="1"/>
  <c r="U22" i="27" s="1"/>
  <c r="E23" i="27"/>
  <c r="B15" i="28" s="1"/>
  <c r="F23" i="27"/>
  <c r="G23" i="27" s="1"/>
  <c r="H23" i="27" s="1"/>
  <c r="U23" i="27" s="1"/>
  <c r="E24" i="27"/>
  <c r="B19" i="28" s="1"/>
  <c r="F24" i="27"/>
  <c r="G24" i="27" s="1"/>
  <c r="H24" i="27" s="1"/>
  <c r="U24" i="27" s="1"/>
  <c r="E25" i="27"/>
  <c r="B23" i="28" s="1"/>
  <c r="F25" i="27"/>
  <c r="G25" i="27" s="1"/>
  <c r="H25" i="27" s="1"/>
  <c r="U25" i="27" s="1"/>
  <c r="F27" i="28" l="1"/>
  <c r="F35" i="28"/>
  <c r="U32" i="27"/>
  <c r="V32" i="27" s="1"/>
  <c r="F19" i="28"/>
  <c r="F23" i="28"/>
  <c r="F15" i="28"/>
  <c r="F11" i="28"/>
  <c r="F7" i="28"/>
  <c r="D13" i="26"/>
  <c r="D14" i="26" s="1"/>
  <c r="E14" i="26" s="1"/>
  <c r="C13" i="26"/>
  <c r="C14" i="26" s="1"/>
  <c r="B13" i="26"/>
  <c r="B14" i="26" s="1"/>
  <c r="F22" i="22"/>
  <c r="D22" i="22"/>
  <c r="L22" i="22"/>
  <c r="M22" i="22" s="1"/>
  <c r="N22" i="22" s="1"/>
  <c r="J22" i="22"/>
  <c r="K22" i="22" s="1"/>
  <c r="G22" i="22"/>
  <c r="H22" i="22" s="1"/>
  <c r="E22" i="22"/>
  <c r="D8" i="26"/>
  <c r="E8" i="26" s="1"/>
  <c r="F21" i="21"/>
  <c r="H21" i="21" s="1"/>
  <c r="J21" i="21" s="1"/>
  <c r="P21" i="21" s="1"/>
  <c r="C21" i="21"/>
  <c r="E21" i="21" s="1"/>
  <c r="L21" i="22"/>
  <c r="M21" i="22" s="1"/>
  <c r="N21" i="22" s="1"/>
  <c r="AD21" i="21"/>
  <c r="AC21" i="21"/>
  <c r="V21" i="21"/>
  <c r="T21" i="21"/>
  <c r="O21" i="21"/>
  <c r="M21" i="21"/>
  <c r="J21" i="22"/>
  <c r="K21" i="22" s="1"/>
  <c r="E21" i="22"/>
  <c r="B8" i="26" s="1"/>
  <c r="B9" i="26" s="1"/>
  <c r="E13" i="26" l="1"/>
  <c r="F13" i="26" s="1"/>
  <c r="F14" i="26"/>
  <c r="U22" i="22"/>
  <c r="V22" i="22" s="1"/>
  <c r="D9" i="26"/>
  <c r="E9" i="26" s="1"/>
  <c r="G21" i="22"/>
  <c r="H21" i="22" s="1"/>
  <c r="U21" i="22" s="1"/>
  <c r="V21" i="22" s="1"/>
  <c r="C8" i="26" s="1"/>
  <c r="C9" i="26" s="1"/>
  <c r="F9" i="26" s="1"/>
  <c r="AE21" i="21"/>
  <c r="AF21" i="21" s="1"/>
  <c r="AH21" i="21" s="1"/>
  <c r="F8" i="26" l="1"/>
  <c r="AI21" i="21"/>
  <c r="AJ21" i="2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afarmer</author>
  </authors>
  <commentList>
    <comment ref="F20" authorId="0" shapeId="0" xr:uid="{B9DBAC4B-347D-4B1B-933D-6FF575EDC708}">
      <text>
        <r>
          <rPr>
            <b/>
            <sz val="9"/>
            <color indexed="81"/>
            <rFont val="Tahoma"/>
            <charset val="1"/>
          </rPr>
          <t>afarmer:</t>
        </r>
        <r>
          <rPr>
            <sz val="9"/>
            <color indexed="81"/>
            <rFont val="Tahoma"/>
            <charset val="1"/>
          </rPr>
          <t xml:space="preserve">
Scratch 11 BD102
</t>
        </r>
      </text>
    </comment>
    <comment ref="O20" authorId="0" shapeId="0" xr:uid="{508B42F9-2FE6-4A7A-8F41-BB590034CB0C}">
      <text>
        <r>
          <rPr>
            <b/>
            <sz val="9"/>
            <color indexed="81"/>
            <rFont val="Tahoma"/>
            <family val="2"/>
          </rPr>
          <t>afarmer:</t>
        </r>
        <r>
          <rPr>
            <sz val="9"/>
            <color indexed="81"/>
            <rFont val="Tahoma"/>
            <family val="2"/>
          </rPr>
          <t xml:space="preserve">
Scratch 3 BD005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Farmer, Andrew</author>
    <author>afarmer</author>
  </authors>
  <commentList>
    <comment ref="F20" authorId="0" shapeId="0" xr:uid="{BBCBAAB5-3F4D-442C-85B0-AF24268E6992}">
      <text>
        <r>
          <rPr>
            <b/>
            <sz val="9"/>
            <color indexed="81"/>
            <rFont val="Tahoma"/>
            <charset val="1"/>
          </rPr>
          <t>Farmer, Andrew:</t>
        </r>
        <r>
          <rPr>
            <sz val="9"/>
            <color indexed="81"/>
            <rFont val="Tahoma"/>
            <charset val="1"/>
          </rPr>
          <t xml:space="preserve">
Scratch 11 BD001</t>
        </r>
      </text>
    </comment>
    <comment ref="O20" authorId="1" shapeId="0" xr:uid="{508B42F9-2FE6-4A7A-8F41-BB590034CB0C}">
      <text>
        <r>
          <rPr>
            <b/>
            <sz val="9"/>
            <color indexed="81"/>
            <rFont val="Tahoma"/>
            <family val="2"/>
          </rPr>
          <t>afarmer:</t>
        </r>
        <r>
          <rPr>
            <sz val="9"/>
            <color indexed="81"/>
            <rFont val="Tahoma"/>
            <family val="2"/>
          </rPr>
          <t xml:space="preserve">
Scratch 3 BD005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afarmer</author>
  </authors>
  <commentList>
    <comment ref="B19" authorId="0" shapeId="0" xr:uid="{CF415FCF-AE56-421E-912F-9C99D6832C05}">
      <text>
        <r>
          <rPr>
            <b/>
            <sz val="9"/>
            <color indexed="81"/>
            <rFont val="Tahoma"/>
            <family val="2"/>
          </rPr>
          <t>afarmer:</t>
        </r>
        <r>
          <rPr>
            <sz val="9"/>
            <color indexed="81"/>
            <rFont val="Tahoma"/>
            <family val="2"/>
          </rPr>
          <t xml:space="preserve">
TC lines in BD102 Scratch 15 color yellow</t>
        </r>
      </text>
    </comment>
  </commentList>
</comments>
</file>

<file path=xl/sharedStrings.xml><?xml version="1.0" encoding="utf-8"?>
<sst xmlns="http://schemas.openxmlformats.org/spreadsheetml/2006/main" count="266" uniqueCount="126">
  <si>
    <t>Pavement "C" =</t>
  </si>
  <si>
    <t>Berms/Slopes (4:1 and flatter) "C" =</t>
  </si>
  <si>
    <t>Berms/Slopes (steeper than 4:1) "C" =</t>
  </si>
  <si>
    <t>Residential Single Family "C" =</t>
  </si>
  <si>
    <t>Residential Multi-Family "C" =</t>
  </si>
  <si>
    <t>Commercial "C" =</t>
  </si>
  <si>
    <t>Gravel "C" =</t>
  </si>
  <si>
    <t>Woods "C" =</t>
  </si>
  <si>
    <t>Area
(SF)</t>
  </si>
  <si>
    <t>Area
(AC)</t>
  </si>
  <si>
    <t>Weighted C</t>
  </si>
  <si>
    <t>Pavement
(SF)</t>
  </si>
  <si>
    <t>Pavement
(Acres)</t>
  </si>
  <si>
    <t>Pavement
(A*C)</t>
  </si>
  <si>
    <t>Summation of A*C</t>
  </si>
  <si>
    <t>L (ft)</t>
  </si>
  <si>
    <t>C</t>
  </si>
  <si>
    <t>s (%)</t>
  </si>
  <si>
    <t>Overland Flow</t>
  </si>
  <si>
    <t>Forest with heavy ground filter "k" =</t>
  </si>
  <si>
    <t>Min. tillage cultivated; woodland "k" =</t>
  </si>
  <si>
    <t>Short grass pasture "k" =</t>
  </si>
  <si>
    <t>Cultivated straight row "k" =</t>
  </si>
  <si>
    <t>Poor grass; untilled "k" =</t>
  </si>
  <si>
    <t>Grassed waterways "k" =</t>
  </si>
  <si>
    <t>Unpaved area; bare soil "k" =</t>
  </si>
  <si>
    <t>Paved area "k" =</t>
  </si>
  <si>
    <t>Shallow Concentrated Flow</t>
  </si>
  <si>
    <t>V (fps)</t>
  </si>
  <si>
    <t>Open Channel Flow</t>
  </si>
  <si>
    <t>n</t>
  </si>
  <si>
    <t>S (ft/ft)</t>
  </si>
  <si>
    <t>Pipe Diameter (in)</t>
  </si>
  <si>
    <t>Pipe Flow</t>
  </si>
  <si>
    <t>Bottom Width (ft)</t>
  </si>
  <si>
    <t>Side Slope 1 (x:1)</t>
  </si>
  <si>
    <t>Side Slope 2 (x:1)</t>
  </si>
  <si>
    <t>Assumed Depth (ft)</t>
  </si>
  <si>
    <t>Wetted Perimeter (ft)</t>
  </si>
  <si>
    <t>Actual Flow (cfs)</t>
  </si>
  <si>
    <t>Berms/Slopes (4:1 and flatter)
(SF)</t>
  </si>
  <si>
    <t>Berms/Slopes (4:1 and flatter)
(Acres)</t>
  </si>
  <si>
    <t>Berms/Slopes (4:1 and flatter)
(A*C)</t>
  </si>
  <si>
    <t>Cultivated "C" =</t>
  </si>
  <si>
    <t>Residential Single Family
(SF)</t>
  </si>
  <si>
    <t>Residential Single Family
(Acres)</t>
  </si>
  <si>
    <t>Residential Single Family
(A*C)</t>
  </si>
  <si>
    <r>
      <t>t</t>
    </r>
    <r>
      <rPr>
        <vertAlign val="subscript"/>
        <sz val="11"/>
        <rFont val="Calibri"/>
        <family val="2"/>
        <scheme val="minor"/>
      </rPr>
      <t>o</t>
    </r>
    <r>
      <rPr>
        <sz val="11"/>
        <rFont val="Calibri"/>
        <family val="2"/>
        <scheme val="minor"/>
      </rPr>
      <t xml:space="preserve"> (min)</t>
    </r>
  </si>
  <si>
    <r>
      <t>k</t>
    </r>
    <r>
      <rPr>
        <vertAlign val="subscript"/>
        <sz val="11"/>
        <rFont val="Calibri"/>
        <family val="2"/>
        <scheme val="minor"/>
      </rPr>
      <t>1</t>
    </r>
  </si>
  <si>
    <r>
      <t>s</t>
    </r>
    <r>
      <rPr>
        <vertAlign val="sub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(%)</t>
    </r>
  </si>
  <si>
    <r>
      <t>V</t>
    </r>
    <r>
      <rPr>
        <vertAlign val="sub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(fps)</t>
    </r>
  </si>
  <si>
    <r>
      <t>L</t>
    </r>
    <r>
      <rPr>
        <vertAlign val="sub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(ft)</t>
    </r>
  </si>
  <si>
    <r>
      <t>t</t>
    </r>
    <r>
      <rPr>
        <vertAlign val="subscript"/>
        <sz val="11"/>
        <rFont val="Calibri"/>
        <family val="2"/>
        <scheme val="minor"/>
      </rPr>
      <t>s,1</t>
    </r>
    <r>
      <rPr>
        <sz val="11"/>
        <rFont val="Calibri"/>
        <family val="2"/>
        <scheme val="minor"/>
      </rPr>
      <t xml:space="preserve"> (min)</t>
    </r>
  </si>
  <si>
    <r>
      <t>k</t>
    </r>
    <r>
      <rPr>
        <vertAlign val="subscript"/>
        <sz val="11"/>
        <rFont val="Calibri"/>
        <family val="2"/>
        <scheme val="minor"/>
      </rPr>
      <t>2</t>
    </r>
  </si>
  <si>
    <r>
      <t>s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(%)</t>
    </r>
  </si>
  <si>
    <r>
      <t>V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(fps)</t>
    </r>
  </si>
  <si>
    <r>
      <t>L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(ft)</t>
    </r>
  </si>
  <si>
    <r>
      <t>t</t>
    </r>
    <r>
      <rPr>
        <vertAlign val="subscript"/>
        <sz val="11"/>
        <rFont val="Calibri"/>
        <family val="2"/>
        <scheme val="minor"/>
      </rPr>
      <t>s,2</t>
    </r>
    <r>
      <rPr>
        <sz val="11"/>
        <rFont val="Calibri"/>
        <family val="2"/>
        <scheme val="minor"/>
      </rPr>
      <t xml:space="preserve"> (min)</t>
    </r>
  </si>
  <si>
    <r>
      <t>t</t>
    </r>
    <r>
      <rPr>
        <vertAlign val="subscript"/>
        <sz val="11"/>
        <rFont val="Calibri"/>
        <family val="2"/>
        <scheme val="minor"/>
      </rPr>
      <t>s, total</t>
    </r>
    <r>
      <rPr>
        <sz val="11"/>
        <rFont val="Calibri"/>
        <family val="2"/>
        <scheme val="minor"/>
      </rPr>
      <t xml:space="preserve"> (min)</t>
    </r>
  </si>
  <si>
    <r>
      <t>t</t>
    </r>
    <r>
      <rPr>
        <vertAlign val="subscript"/>
        <sz val="11"/>
        <rFont val="Calibri"/>
        <family val="2"/>
        <scheme val="minor"/>
      </rPr>
      <t>d</t>
    </r>
    <r>
      <rPr>
        <sz val="11"/>
        <rFont val="Calibri"/>
        <family val="2"/>
        <scheme val="minor"/>
      </rPr>
      <t xml:space="preserve"> (min)</t>
    </r>
  </si>
  <si>
    <r>
      <t>Flow Area (ft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</si>
  <si>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Woods
(SF)</t>
  </si>
  <si>
    <t>Woods
(Acres)</t>
  </si>
  <si>
    <t>Woods
(A*C)</t>
  </si>
  <si>
    <t>Name</t>
  </si>
  <si>
    <t>Cultivated
(SF)</t>
  </si>
  <si>
    <t>Cultivated
(Acres)</t>
  </si>
  <si>
    <t>Cultivated
(A*C)</t>
  </si>
  <si>
    <t>All areas measured in CAD</t>
  </si>
  <si>
    <t>Station/Offset</t>
  </si>
  <si>
    <t>DA (ac)</t>
  </si>
  <si>
    <t>Tc (min)</t>
  </si>
  <si>
    <t>a</t>
  </si>
  <si>
    <t>b</t>
  </si>
  <si>
    <t>c</t>
  </si>
  <si>
    <t>Storm</t>
  </si>
  <si>
    <t>i</t>
  </si>
  <si>
    <t>Q</t>
  </si>
  <si>
    <t>Alignment</t>
  </si>
  <si>
    <r>
      <t>t</t>
    </r>
    <r>
      <rPr>
        <vertAlign val="subscript"/>
        <sz val="11"/>
        <rFont val="Calibri"/>
        <family val="2"/>
        <scheme val="minor"/>
      </rPr>
      <t>c</t>
    </r>
    <r>
      <rPr>
        <sz val="11"/>
        <rFont val="Calibri"/>
        <family val="2"/>
        <scheme val="minor"/>
      </rPr>
      <t xml:space="preserve"> [min] (min. = 15)</t>
    </r>
  </si>
  <si>
    <r>
      <t>t</t>
    </r>
    <r>
      <rPr>
        <vertAlign val="subscript"/>
        <sz val="10"/>
        <rFont val="Arial"/>
        <family val="2"/>
      </rPr>
      <t>c</t>
    </r>
    <r>
      <rPr>
        <sz val="11"/>
        <rFont val="Calibri"/>
        <family val="2"/>
        <scheme val="minor"/>
      </rPr>
      <t xml:space="preserve"> (min)</t>
    </r>
  </si>
  <si>
    <t>Notes</t>
  </si>
  <si>
    <t>Existing Culvert</t>
  </si>
  <si>
    <t>Culvert Analysis</t>
  </si>
  <si>
    <t>Date: 9/18/25</t>
  </si>
  <si>
    <t>Project: Truck Parking Site 6</t>
  </si>
  <si>
    <t>Zone C</t>
  </si>
  <si>
    <t>Time of Concentration</t>
  </si>
  <si>
    <t>Existing Area To Culvert</t>
  </si>
  <si>
    <t>Prop Area To Culvert</t>
  </si>
  <si>
    <t>Ex Area To Culvert</t>
  </si>
  <si>
    <t>Proposed Area To Culvert</t>
  </si>
  <si>
    <t>Low point</t>
  </si>
  <si>
    <t>1+37.81, 191.04' LT</t>
  </si>
  <si>
    <t>Parking Lot</t>
  </si>
  <si>
    <t>Curb Cut 5</t>
  </si>
  <si>
    <t>1+11, 166.78' LT</t>
  </si>
  <si>
    <t>Curb Cut 4</t>
  </si>
  <si>
    <t>0+83, 140.98' LT</t>
  </si>
  <si>
    <t>Curb Cut 3</t>
  </si>
  <si>
    <t>0+55, 118.77' LT</t>
  </si>
  <si>
    <t>Curb Cut 2</t>
  </si>
  <si>
    <t>100+00, 9.54' RT</t>
  </si>
  <si>
    <t>Access Road</t>
  </si>
  <si>
    <t>Curb Cut 1</t>
  </si>
  <si>
    <t>Storm Design</t>
  </si>
  <si>
    <t>50% AEP</t>
  </si>
  <si>
    <t>4% AEP</t>
  </si>
  <si>
    <t>1% AEP</t>
  </si>
  <si>
    <t>EX-CB-1</t>
  </si>
  <si>
    <t>105+85.44, 12.92' LT</t>
  </si>
  <si>
    <t>EX-CB-2</t>
  </si>
  <si>
    <t>104+12.80, 172.98' LT</t>
  </si>
  <si>
    <t>Marathon parking lot south of building</t>
  </si>
  <si>
    <t>Marathon parking lot north of building</t>
  </si>
  <si>
    <t>DA-1</t>
  </si>
  <si>
    <t>103+50.00, 13.95' LT</t>
  </si>
  <si>
    <t>DA-2</t>
  </si>
  <si>
    <t>102+30.00, 14.42' LT</t>
  </si>
  <si>
    <t>Curb Cut 6</t>
  </si>
  <si>
    <t>Curb Cut 7</t>
  </si>
  <si>
    <t>Curb Cut 8</t>
  </si>
  <si>
    <t>1+80, 213.84' LT</t>
  </si>
  <si>
    <t>2+25, 232.86' LT</t>
  </si>
  <si>
    <t>2+75, 253.29' LT</t>
  </si>
  <si>
    <t>Date: 10/31/25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</si>
</sst>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vertAlign val="subscript"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vertAlign val="subscript"/>
      <sz val="10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5" fillId="0" borderId="0" xfId="0" applyFont="1"/>
    <xf numFmtId="0" fontId="1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10583</xdr:colOff>
      <xdr:row>0</xdr:row>
      <xdr:rowOff>138642</xdr:rowOff>
    </xdr:from>
    <xdr:ext cx="2711874" cy="288405"/>
    <xdr:pic>
      <xdr:nvPicPr>
        <xdr:cNvPr id="2" name="Picture 1">
          <a:extLst>
            <a:ext uri="{FF2B5EF4-FFF2-40B4-BE49-F238E27FC236}">
              <a16:creationId xmlns:a16="http://schemas.microsoft.com/office/drawing/2014/main" id="{70C24698-6D3B-4272-83E1-6611A71D7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138642"/>
          <a:ext cx="2711874" cy="28840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10583</xdr:colOff>
      <xdr:row>0</xdr:row>
      <xdr:rowOff>138642</xdr:rowOff>
    </xdr:from>
    <xdr:ext cx="2711874" cy="288405"/>
    <xdr:pic>
      <xdr:nvPicPr>
        <xdr:cNvPr id="2" name="Picture 1">
          <a:extLst>
            <a:ext uri="{FF2B5EF4-FFF2-40B4-BE49-F238E27FC236}">
              <a16:creationId xmlns:a16="http://schemas.microsoft.com/office/drawing/2014/main" id="{CE90A65A-3814-4D4D-92F5-4124424D29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83" y="138642"/>
          <a:ext cx="2711874" cy="288405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190500</xdr:colOff>
      <xdr:row>0</xdr:row>
      <xdr:rowOff>95250</xdr:rowOff>
    </xdr:from>
    <xdr:ext cx="2726903" cy="280785"/>
    <xdr:pic>
      <xdr:nvPicPr>
        <xdr:cNvPr id="2" name="Picture 1">
          <a:extLst>
            <a:ext uri="{FF2B5EF4-FFF2-40B4-BE49-F238E27FC236}">
              <a16:creationId xmlns:a16="http://schemas.microsoft.com/office/drawing/2014/main" id="{097B21F1-57B3-486D-8485-192C15D4AD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95250"/>
          <a:ext cx="2726903" cy="28078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D9A38-A364-40E5-806C-FB8A2EAF96BC}">
  <sheetPr>
    <pageSetUpPr fitToPage="1"/>
  </sheetPr>
  <dimension ref="A4:W32"/>
  <sheetViews>
    <sheetView tabSelected="1" zoomScale="90" zoomScaleNormal="90" workbookViewId="0">
      <pane xSplit="5" ySplit="20" topLeftCell="F21" activePane="bottomRight" state="frozen"/>
      <selection pane="topRight" activeCell="F1" sqref="F1"/>
      <selection pane="bottomLeft" activeCell="A21" sqref="A21"/>
      <selection pane="bottomRight" activeCell="H9" sqref="H9"/>
    </sheetView>
  </sheetViews>
  <sheetFormatPr defaultColWidth="9.140625" defaultRowHeight="12.75" x14ac:dyDescent="0.2"/>
  <cols>
    <col min="1" max="1" width="21.28515625" style="3" bestFit="1" customWidth="1"/>
    <col min="2" max="3" width="21.28515625" style="3" customWidth="1"/>
    <col min="4" max="4" width="10.85546875" style="3" customWidth="1"/>
    <col min="5" max="7" width="10.42578125" style="3" customWidth="1"/>
    <col min="8" max="8" width="10.5703125" style="3" customWidth="1"/>
    <col min="9" max="11" width="18.28515625" style="3" customWidth="1"/>
    <col min="12" max="17" width="18.28515625" style="3" hidden="1" customWidth="1"/>
    <col min="18" max="20" width="16.140625" style="3" hidden="1" customWidth="1"/>
    <col min="21" max="21" width="16.42578125" style="3" customWidth="1"/>
    <col min="22" max="22" width="10.7109375" style="3" bestFit="1" customWidth="1"/>
    <col min="23" max="23" width="79.7109375" style="3" bestFit="1" customWidth="1"/>
    <col min="24" max="16384" width="9.140625" style="3"/>
  </cols>
  <sheetData>
    <row r="4" spans="1:8" x14ac:dyDescent="0.2">
      <c r="A4" s="1" t="s">
        <v>105</v>
      </c>
      <c r="B4" s="1"/>
    </row>
    <row r="5" spans="1:8" x14ac:dyDescent="0.2">
      <c r="A5" s="1" t="s">
        <v>125</v>
      </c>
      <c r="B5" s="1"/>
    </row>
    <row r="6" spans="1:8" x14ac:dyDescent="0.2">
      <c r="A6" s="1" t="s">
        <v>85</v>
      </c>
      <c r="B6" s="1"/>
    </row>
    <row r="7" spans="1:8" x14ac:dyDescent="0.2">
      <c r="A7" s="1" t="s">
        <v>68</v>
      </c>
      <c r="B7" s="1"/>
    </row>
    <row r="9" spans="1:8" x14ac:dyDescent="0.2">
      <c r="A9" s="1" t="s">
        <v>0</v>
      </c>
      <c r="B9" s="1"/>
      <c r="C9" s="2">
        <v>0.9</v>
      </c>
      <c r="F9" s="2"/>
      <c r="G9" s="2"/>
      <c r="H9" s="2"/>
    </row>
    <row r="10" spans="1:8" ht="12.75" customHeight="1" x14ac:dyDescent="0.2">
      <c r="A10" s="1" t="s">
        <v>1</v>
      </c>
      <c r="B10" s="1"/>
      <c r="C10" s="2">
        <v>0.5</v>
      </c>
      <c r="F10" s="2"/>
      <c r="G10" s="2"/>
      <c r="H10" s="2"/>
    </row>
    <row r="11" spans="1:8" ht="12.75" customHeight="1" x14ac:dyDescent="0.2">
      <c r="A11" s="1" t="s">
        <v>2</v>
      </c>
      <c r="B11" s="1"/>
      <c r="C11" s="2">
        <v>0.7</v>
      </c>
      <c r="F11" s="2"/>
      <c r="G11" s="2"/>
      <c r="H11" s="2"/>
    </row>
    <row r="12" spans="1:8" ht="12.75" customHeight="1" x14ac:dyDescent="0.2">
      <c r="A12" s="1" t="s">
        <v>3</v>
      </c>
      <c r="B12" s="1"/>
      <c r="C12" s="2">
        <v>0.4</v>
      </c>
      <c r="F12" s="2"/>
      <c r="G12" s="2"/>
      <c r="H12" s="2"/>
    </row>
    <row r="13" spans="1:8" ht="12.75" customHeight="1" x14ac:dyDescent="0.2">
      <c r="A13" s="1" t="s">
        <v>4</v>
      </c>
      <c r="B13" s="1"/>
      <c r="C13" s="2">
        <v>0.55000000000000004</v>
      </c>
      <c r="F13" s="2"/>
      <c r="G13" s="2"/>
      <c r="H13" s="2"/>
    </row>
    <row r="14" spans="1:8" x14ac:dyDescent="0.2">
      <c r="A14" s="1" t="s">
        <v>5</v>
      </c>
      <c r="B14" s="1"/>
      <c r="C14" s="2">
        <v>0.65</v>
      </c>
      <c r="F14" s="2"/>
      <c r="G14" s="2"/>
      <c r="H14" s="2"/>
    </row>
    <row r="15" spans="1:8" x14ac:dyDescent="0.2">
      <c r="A15" s="1" t="s">
        <v>6</v>
      </c>
      <c r="B15" s="1"/>
      <c r="C15" s="2">
        <v>0.6</v>
      </c>
      <c r="F15" s="2"/>
      <c r="G15" s="2"/>
      <c r="H15" s="2"/>
    </row>
    <row r="16" spans="1:8" x14ac:dyDescent="0.2">
      <c r="A16" s="1" t="s">
        <v>7</v>
      </c>
      <c r="B16" s="1"/>
      <c r="C16" s="2">
        <v>0.3</v>
      </c>
      <c r="F16" s="2"/>
      <c r="G16" s="2"/>
      <c r="H16" s="2"/>
    </row>
    <row r="17" spans="1:23" x14ac:dyDescent="0.2">
      <c r="A17" s="1" t="s">
        <v>43</v>
      </c>
      <c r="B17" s="1"/>
      <c r="C17" s="2">
        <v>0.4</v>
      </c>
      <c r="F17" s="2"/>
      <c r="G17" s="2"/>
      <c r="H17" s="2"/>
    </row>
    <row r="20" spans="1:23" ht="38.25" customHeight="1" x14ac:dyDescent="0.2">
      <c r="A20" s="6" t="s">
        <v>64</v>
      </c>
      <c r="B20" s="6" t="s">
        <v>78</v>
      </c>
      <c r="C20" s="6" t="s">
        <v>69</v>
      </c>
      <c r="D20" s="7" t="s">
        <v>8</v>
      </c>
      <c r="E20" s="7" t="s">
        <v>9</v>
      </c>
      <c r="F20" s="7" t="s">
        <v>11</v>
      </c>
      <c r="G20" s="7" t="s">
        <v>12</v>
      </c>
      <c r="H20" s="7" t="s">
        <v>13</v>
      </c>
      <c r="I20" s="7" t="s">
        <v>40</v>
      </c>
      <c r="J20" s="7" t="s">
        <v>41</v>
      </c>
      <c r="K20" s="7" t="s">
        <v>42</v>
      </c>
      <c r="L20" s="7" t="s">
        <v>65</v>
      </c>
      <c r="M20" s="7" t="s">
        <v>66</v>
      </c>
      <c r="N20" s="7" t="s">
        <v>67</v>
      </c>
      <c r="O20" s="7" t="s">
        <v>44</v>
      </c>
      <c r="P20" s="7" t="s">
        <v>45</v>
      </c>
      <c r="Q20" s="7" t="s">
        <v>46</v>
      </c>
      <c r="R20" s="7" t="s">
        <v>61</v>
      </c>
      <c r="S20" s="7" t="s">
        <v>62</v>
      </c>
      <c r="T20" s="7" t="s">
        <v>63</v>
      </c>
      <c r="U20" s="6" t="s">
        <v>14</v>
      </c>
      <c r="V20" s="6" t="s">
        <v>10</v>
      </c>
      <c r="W20" s="6" t="s">
        <v>81</v>
      </c>
    </row>
    <row r="21" spans="1:23" x14ac:dyDescent="0.2">
      <c r="A21" s="14" t="s">
        <v>104</v>
      </c>
      <c r="B21" s="14" t="s">
        <v>103</v>
      </c>
      <c r="C21" s="14" t="s">
        <v>102</v>
      </c>
      <c r="D21" s="14">
        <v>2540</v>
      </c>
      <c r="E21" s="14">
        <f t="shared" ref="E21:E32" si="0">ROUND(D21/43560,2)</f>
        <v>0.06</v>
      </c>
      <c r="F21" s="15">
        <f t="shared" ref="F21:F30" si="1">D21</f>
        <v>2540</v>
      </c>
      <c r="G21" s="14">
        <f t="shared" ref="G21:G32" si="2">ROUND(F21/43560,2)</f>
        <v>0.06</v>
      </c>
      <c r="H21" s="14">
        <f t="shared" ref="H21:H32" si="3">ROUND(G21*$C$9,2)</f>
        <v>0.05</v>
      </c>
      <c r="I21" s="15"/>
      <c r="J21" s="14"/>
      <c r="K21" s="14"/>
      <c r="L21" s="15"/>
      <c r="M21" s="14"/>
      <c r="N21" s="14"/>
      <c r="O21" s="15"/>
      <c r="P21" s="14"/>
      <c r="Q21" s="14"/>
      <c r="R21" s="15"/>
      <c r="S21" s="14"/>
      <c r="T21" s="14"/>
      <c r="U21" s="14">
        <f t="shared" ref="U21:U30" si="4">SUM(H21,K21,N21,Q21,T21)</f>
        <v>0.05</v>
      </c>
      <c r="V21" s="13">
        <v>0.9</v>
      </c>
      <c r="W21" s="21"/>
    </row>
    <row r="22" spans="1:23" x14ac:dyDescent="0.2">
      <c r="A22" s="14" t="s">
        <v>101</v>
      </c>
      <c r="B22" s="14" t="s">
        <v>94</v>
      </c>
      <c r="C22" s="14" t="s">
        <v>100</v>
      </c>
      <c r="D22" s="14">
        <v>22074</v>
      </c>
      <c r="E22" s="14">
        <f t="shared" si="0"/>
        <v>0.51</v>
      </c>
      <c r="F22" s="15">
        <f t="shared" si="1"/>
        <v>22074</v>
      </c>
      <c r="G22" s="14">
        <f t="shared" si="2"/>
        <v>0.51</v>
      </c>
      <c r="H22" s="14">
        <f t="shared" si="3"/>
        <v>0.46</v>
      </c>
      <c r="I22" s="15"/>
      <c r="J22" s="14"/>
      <c r="K22" s="14"/>
      <c r="L22" s="15"/>
      <c r="M22" s="14"/>
      <c r="N22" s="14"/>
      <c r="O22" s="15"/>
      <c r="P22" s="14"/>
      <c r="Q22" s="14"/>
      <c r="R22" s="15"/>
      <c r="S22" s="14"/>
      <c r="T22" s="14"/>
      <c r="U22" s="14">
        <f t="shared" si="4"/>
        <v>0.46</v>
      </c>
      <c r="V22" s="13">
        <v>0.9</v>
      </c>
      <c r="W22" s="21"/>
    </row>
    <row r="23" spans="1:23" x14ac:dyDescent="0.2">
      <c r="A23" s="14" t="s">
        <v>99</v>
      </c>
      <c r="B23" s="14" t="s">
        <v>94</v>
      </c>
      <c r="C23" s="14" t="s">
        <v>98</v>
      </c>
      <c r="D23" s="14">
        <v>24158</v>
      </c>
      <c r="E23" s="14">
        <f t="shared" si="0"/>
        <v>0.55000000000000004</v>
      </c>
      <c r="F23" s="15">
        <f t="shared" si="1"/>
        <v>24158</v>
      </c>
      <c r="G23" s="14">
        <f t="shared" si="2"/>
        <v>0.55000000000000004</v>
      </c>
      <c r="H23" s="14">
        <f t="shared" si="3"/>
        <v>0.5</v>
      </c>
      <c r="I23" s="15"/>
      <c r="J23" s="14"/>
      <c r="K23" s="14"/>
      <c r="L23" s="15"/>
      <c r="M23" s="14"/>
      <c r="N23" s="14"/>
      <c r="O23" s="15"/>
      <c r="P23" s="14"/>
      <c r="Q23" s="14"/>
      <c r="R23" s="15"/>
      <c r="S23" s="14"/>
      <c r="T23" s="14"/>
      <c r="U23" s="14">
        <f t="shared" si="4"/>
        <v>0.5</v>
      </c>
      <c r="V23" s="13">
        <v>0.9</v>
      </c>
      <c r="W23" s="21"/>
    </row>
    <row r="24" spans="1:23" x14ac:dyDescent="0.2">
      <c r="A24" s="14" t="s">
        <v>97</v>
      </c>
      <c r="B24" s="14" t="s">
        <v>94</v>
      </c>
      <c r="C24" s="14" t="s">
        <v>96</v>
      </c>
      <c r="D24" s="14">
        <v>25688</v>
      </c>
      <c r="E24" s="14">
        <f t="shared" si="0"/>
        <v>0.59</v>
      </c>
      <c r="F24" s="15">
        <f t="shared" si="1"/>
        <v>25688</v>
      </c>
      <c r="G24" s="14">
        <f t="shared" si="2"/>
        <v>0.59</v>
      </c>
      <c r="H24" s="14">
        <f t="shared" si="3"/>
        <v>0.53</v>
      </c>
      <c r="I24" s="15"/>
      <c r="J24" s="14"/>
      <c r="K24" s="14"/>
      <c r="L24" s="15"/>
      <c r="M24" s="14"/>
      <c r="N24" s="14"/>
      <c r="O24" s="15"/>
      <c r="P24" s="14"/>
      <c r="Q24" s="14"/>
      <c r="R24" s="15"/>
      <c r="S24" s="14"/>
      <c r="T24" s="14"/>
      <c r="U24" s="14">
        <f t="shared" si="4"/>
        <v>0.53</v>
      </c>
      <c r="V24" s="13">
        <v>0.9</v>
      </c>
      <c r="W24" s="21"/>
    </row>
    <row r="25" spans="1:23" x14ac:dyDescent="0.2">
      <c r="A25" s="14" t="s">
        <v>95</v>
      </c>
      <c r="B25" s="14" t="s">
        <v>94</v>
      </c>
      <c r="C25" s="14" t="s">
        <v>93</v>
      </c>
      <c r="D25" s="14">
        <v>35801</v>
      </c>
      <c r="E25" s="14">
        <f t="shared" si="0"/>
        <v>0.82</v>
      </c>
      <c r="F25" s="15">
        <f t="shared" si="1"/>
        <v>35801</v>
      </c>
      <c r="G25" s="14">
        <f t="shared" si="2"/>
        <v>0.82</v>
      </c>
      <c r="H25" s="14">
        <f t="shared" si="3"/>
        <v>0.74</v>
      </c>
      <c r="I25" s="15"/>
      <c r="J25" s="14"/>
      <c r="K25" s="14"/>
      <c r="L25" s="15"/>
      <c r="M25" s="14"/>
      <c r="N25" s="14"/>
      <c r="O25" s="15"/>
      <c r="P25" s="14"/>
      <c r="Q25" s="14"/>
      <c r="R25" s="15"/>
      <c r="S25" s="14"/>
      <c r="T25" s="14"/>
      <c r="U25" s="14">
        <f t="shared" si="4"/>
        <v>0.74</v>
      </c>
      <c r="V25" s="13">
        <v>0.9</v>
      </c>
      <c r="W25" s="21" t="s">
        <v>92</v>
      </c>
    </row>
    <row r="26" spans="1:23" x14ac:dyDescent="0.2">
      <c r="A26" s="14" t="s">
        <v>119</v>
      </c>
      <c r="B26" s="14" t="s">
        <v>94</v>
      </c>
      <c r="C26" s="14" t="s">
        <v>122</v>
      </c>
      <c r="D26" s="14">
        <v>11186</v>
      </c>
      <c r="E26" s="14">
        <f t="shared" si="0"/>
        <v>0.26</v>
      </c>
      <c r="F26" s="15">
        <f t="shared" si="1"/>
        <v>11186</v>
      </c>
      <c r="G26" s="14">
        <f t="shared" si="2"/>
        <v>0.26</v>
      </c>
      <c r="H26" s="14">
        <f t="shared" si="3"/>
        <v>0.23</v>
      </c>
      <c r="I26" s="15"/>
      <c r="J26" s="14"/>
      <c r="K26" s="14"/>
      <c r="L26" s="15"/>
      <c r="M26" s="14"/>
      <c r="N26" s="14"/>
      <c r="O26" s="15"/>
      <c r="P26" s="14"/>
      <c r="Q26" s="14"/>
      <c r="R26" s="15"/>
      <c r="S26" s="14"/>
      <c r="T26" s="14"/>
      <c r="U26" s="14">
        <f t="shared" si="4"/>
        <v>0.23</v>
      </c>
      <c r="V26" s="13">
        <v>0.9</v>
      </c>
      <c r="W26" s="21"/>
    </row>
    <row r="27" spans="1:23" x14ac:dyDescent="0.2">
      <c r="A27" s="14" t="s">
        <v>120</v>
      </c>
      <c r="B27" s="14" t="s">
        <v>94</v>
      </c>
      <c r="C27" s="14" t="s">
        <v>123</v>
      </c>
      <c r="D27" s="14">
        <v>16453</v>
      </c>
      <c r="E27" s="14">
        <f t="shared" si="0"/>
        <v>0.38</v>
      </c>
      <c r="F27" s="15">
        <f t="shared" si="1"/>
        <v>16453</v>
      </c>
      <c r="G27" s="14">
        <f t="shared" si="2"/>
        <v>0.38</v>
      </c>
      <c r="H27" s="14">
        <f t="shared" si="3"/>
        <v>0.34</v>
      </c>
      <c r="I27" s="15"/>
      <c r="J27" s="14"/>
      <c r="K27" s="14"/>
      <c r="L27" s="15"/>
      <c r="M27" s="14"/>
      <c r="N27" s="14"/>
      <c r="O27" s="15"/>
      <c r="P27" s="14"/>
      <c r="Q27" s="14"/>
      <c r="R27" s="15"/>
      <c r="S27" s="14"/>
      <c r="T27" s="14"/>
      <c r="U27" s="14">
        <f t="shared" si="4"/>
        <v>0.34</v>
      </c>
      <c r="V27" s="13">
        <v>0.9</v>
      </c>
      <c r="W27" s="21"/>
    </row>
    <row r="28" spans="1:23" x14ac:dyDescent="0.2">
      <c r="A28" s="14" t="s">
        <v>121</v>
      </c>
      <c r="B28" s="14" t="s">
        <v>94</v>
      </c>
      <c r="C28" s="14" t="s">
        <v>124</v>
      </c>
      <c r="D28" s="14">
        <v>21721</v>
      </c>
      <c r="E28" s="14">
        <f t="shared" si="0"/>
        <v>0.5</v>
      </c>
      <c r="F28" s="15">
        <f t="shared" si="1"/>
        <v>21721</v>
      </c>
      <c r="G28" s="14">
        <f t="shared" si="2"/>
        <v>0.5</v>
      </c>
      <c r="H28" s="14">
        <f t="shared" si="3"/>
        <v>0.45</v>
      </c>
      <c r="I28" s="15"/>
      <c r="J28" s="14"/>
      <c r="K28" s="14"/>
      <c r="L28" s="15"/>
      <c r="M28" s="14"/>
      <c r="N28" s="14"/>
      <c r="O28" s="15"/>
      <c r="P28" s="14"/>
      <c r="Q28" s="14"/>
      <c r="R28" s="15"/>
      <c r="S28" s="14"/>
      <c r="T28" s="14"/>
      <c r="U28" s="14">
        <f t="shared" si="4"/>
        <v>0.45</v>
      </c>
      <c r="V28" s="13">
        <v>0.9</v>
      </c>
      <c r="W28" s="21"/>
    </row>
    <row r="29" spans="1:23" x14ac:dyDescent="0.2">
      <c r="A29" s="14" t="s">
        <v>109</v>
      </c>
      <c r="B29" s="14" t="s">
        <v>103</v>
      </c>
      <c r="C29" s="14" t="s">
        <v>110</v>
      </c>
      <c r="D29" s="14">
        <v>14815</v>
      </c>
      <c r="E29" s="14">
        <f t="shared" si="0"/>
        <v>0.34</v>
      </c>
      <c r="F29" s="15">
        <f t="shared" si="1"/>
        <v>14815</v>
      </c>
      <c r="G29" s="14">
        <f t="shared" si="2"/>
        <v>0.34</v>
      </c>
      <c r="H29" s="14">
        <f t="shared" si="3"/>
        <v>0.31</v>
      </c>
      <c r="I29" s="15"/>
      <c r="J29" s="14"/>
      <c r="K29" s="14"/>
      <c r="L29" s="15"/>
      <c r="M29" s="14"/>
      <c r="N29" s="14"/>
      <c r="O29" s="15"/>
      <c r="P29" s="14"/>
      <c r="Q29" s="14"/>
      <c r="R29" s="15"/>
      <c r="S29" s="14"/>
      <c r="T29" s="14"/>
      <c r="U29" s="14">
        <f t="shared" si="4"/>
        <v>0.31</v>
      </c>
      <c r="V29" s="13">
        <v>0.9</v>
      </c>
      <c r="W29" s="21" t="s">
        <v>113</v>
      </c>
    </row>
    <row r="30" spans="1:23" x14ac:dyDescent="0.2">
      <c r="A30" s="14" t="s">
        <v>111</v>
      </c>
      <c r="B30" s="14" t="s">
        <v>103</v>
      </c>
      <c r="C30" s="14" t="s">
        <v>112</v>
      </c>
      <c r="D30" s="14">
        <v>28697</v>
      </c>
      <c r="E30" s="14">
        <f t="shared" si="0"/>
        <v>0.66</v>
      </c>
      <c r="F30" s="15">
        <f t="shared" si="1"/>
        <v>28697</v>
      </c>
      <c r="G30" s="14">
        <f t="shared" si="2"/>
        <v>0.66</v>
      </c>
      <c r="H30" s="14">
        <f t="shared" si="3"/>
        <v>0.59</v>
      </c>
      <c r="I30" s="15"/>
      <c r="J30" s="14"/>
      <c r="K30" s="14"/>
      <c r="L30" s="15"/>
      <c r="M30" s="14"/>
      <c r="N30" s="14"/>
      <c r="O30" s="15"/>
      <c r="P30" s="14"/>
      <c r="Q30" s="14"/>
      <c r="R30" s="15"/>
      <c r="S30" s="14"/>
      <c r="T30" s="14"/>
      <c r="U30" s="14">
        <f t="shared" si="4"/>
        <v>0.59</v>
      </c>
      <c r="V30" s="13">
        <v>0.9</v>
      </c>
      <c r="W30" s="21" t="s">
        <v>114</v>
      </c>
    </row>
    <row r="31" spans="1:23" x14ac:dyDescent="0.2">
      <c r="A31" s="14" t="s">
        <v>115</v>
      </c>
      <c r="B31" s="14" t="s">
        <v>103</v>
      </c>
      <c r="C31" s="14" t="s">
        <v>116</v>
      </c>
      <c r="D31" s="14">
        <v>15838</v>
      </c>
      <c r="E31" s="14">
        <f t="shared" si="0"/>
        <v>0.36</v>
      </c>
      <c r="F31" s="15">
        <f t="shared" ref="F31" si="5">D31</f>
        <v>15838</v>
      </c>
      <c r="G31" s="14">
        <f t="shared" si="2"/>
        <v>0.36</v>
      </c>
      <c r="H31" s="14">
        <f t="shared" si="3"/>
        <v>0.32</v>
      </c>
      <c r="I31" s="15"/>
      <c r="J31" s="14"/>
      <c r="K31" s="14"/>
      <c r="L31" s="15"/>
      <c r="M31" s="14"/>
      <c r="N31" s="14"/>
      <c r="O31" s="15"/>
      <c r="P31" s="14"/>
      <c r="Q31" s="14"/>
      <c r="R31" s="15"/>
      <c r="S31" s="14"/>
      <c r="T31" s="14"/>
      <c r="U31" s="14">
        <f t="shared" ref="U31" si="6">SUM(H31,K31,N31,Q31,T31)</f>
        <v>0.32</v>
      </c>
      <c r="V31" s="13">
        <v>0.9</v>
      </c>
      <c r="W31" s="21"/>
    </row>
    <row r="32" spans="1:23" x14ac:dyDescent="0.2">
      <c r="A32" s="14" t="s">
        <v>117</v>
      </c>
      <c r="B32" s="14" t="s">
        <v>103</v>
      </c>
      <c r="C32" s="14" t="s">
        <v>118</v>
      </c>
      <c r="D32" s="14">
        <v>17864</v>
      </c>
      <c r="E32" s="14">
        <f t="shared" si="0"/>
        <v>0.41</v>
      </c>
      <c r="F32" s="15">
        <v>12082</v>
      </c>
      <c r="G32" s="14">
        <f t="shared" si="2"/>
        <v>0.28000000000000003</v>
      </c>
      <c r="H32" s="14">
        <f t="shared" si="3"/>
        <v>0.25</v>
      </c>
      <c r="I32" s="15">
        <f>D32-F32</f>
        <v>5782</v>
      </c>
      <c r="J32" s="14">
        <f t="shared" ref="J32" si="7">ROUND(I32/43560,2)</f>
        <v>0.13</v>
      </c>
      <c r="K32" s="14">
        <f>ROUND(J32*$C$10,2)</f>
        <v>7.0000000000000007E-2</v>
      </c>
      <c r="L32" s="15"/>
      <c r="M32" s="14"/>
      <c r="N32" s="14"/>
      <c r="O32" s="15"/>
      <c r="P32" s="14"/>
      <c r="Q32" s="14"/>
      <c r="R32" s="15"/>
      <c r="S32" s="14"/>
      <c r="T32" s="14"/>
      <c r="U32" s="14">
        <f t="shared" ref="U32" si="8">SUM(H32,K32,N32,Q32,T32)</f>
        <v>0.32</v>
      </c>
      <c r="V32" s="13">
        <f>U32/E32</f>
        <v>0.78048780487804881</v>
      </c>
      <c r="W32" s="21"/>
    </row>
  </sheetData>
  <phoneticPr fontId="12" type="noConversion"/>
  <pageMargins left="0.7" right="0.7" top="0.75" bottom="0.75" header="0.3" footer="0.3"/>
  <pageSetup paperSize="3" scale="72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77574-05FD-49D6-B345-9617DC04C626}">
  <dimension ref="A1:S35"/>
  <sheetViews>
    <sheetView topLeftCell="A10" workbookViewId="0">
      <selection activeCell="H35" sqref="H35"/>
    </sheetView>
  </sheetViews>
  <sheetFormatPr defaultRowHeight="15" x14ac:dyDescent="0.25"/>
  <cols>
    <col min="1" max="1" width="11" customWidth="1"/>
  </cols>
  <sheetData>
    <row r="1" spans="1:19" x14ac:dyDescent="0.25">
      <c r="A1" s="24"/>
      <c r="B1" s="26" t="s">
        <v>86</v>
      </c>
      <c r="C1" s="26"/>
      <c r="D1" s="26"/>
    </row>
    <row r="2" spans="1:19" x14ac:dyDescent="0.25">
      <c r="A2" s="24" t="s">
        <v>75</v>
      </c>
      <c r="B2" s="24" t="s">
        <v>72</v>
      </c>
      <c r="C2" s="24" t="s">
        <v>73</v>
      </c>
      <c r="D2" s="24" t="s">
        <v>74</v>
      </c>
    </row>
    <row r="3" spans="1:19" x14ac:dyDescent="0.25">
      <c r="A3" s="24" t="s">
        <v>106</v>
      </c>
      <c r="B3" s="24">
        <v>56.298999999999999</v>
      </c>
      <c r="C3" s="24">
        <v>10</v>
      </c>
      <c r="D3" s="24">
        <v>0.876</v>
      </c>
    </row>
    <row r="5" spans="1:19" x14ac:dyDescent="0.25">
      <c r="A5" s="25" t="s">
        <v>104</v>
      </c>
      <c r="B5" s="25"/>
      <c r="C5" s="25"/>
      <c r="D5" s="25"/>
      <c r="E5" s="25"/>
      <c r="F5" s="25"/>
    </row>
    <row r="6" spans="1:19" x14ac:dyDescent="0.25">
      <c r="A6" s="22"/>
      <c r="B6" s="22" t="s">
        <v>70</v>
      </c>
      <c r="C6" s="22" t="s">
        <v>16</v>
      </c>
      <c r="D6" s="22" t="s">
        <v>71</v>
      </c>
      <c r="E6" s="22" t="s">
        <v>76</v>
      </c>
      <c r="F6" s="22" t="s">
        <v>77</v>
      </c>
    </row>
    <row r="7" spans="1:19" x14ac:dyDescent="0.25">
      <c r="A7" s="24" t="s">
        <v>106</v>
      </c>
      <c r="B7" s="22">
        <f>'C'!E21</f>
        <v>0.06</v>
      </c>
      <c r="C7" s="23">
        <f>'C'!V21</f>
        <v>0.9</v>
      </c>
      <c r="D7" s="22">
        <v>10</v>
      </c>
      <c r="E7" s="22">
        <f>ROUND($B$3/(D7+$C$3)^$D$3,2)</f>
        <v>4.08</v>
      </c>
      <c r="F7" s="22">
        <f>ROUND(B7*C7*E7,2)</f>
        <v>0.22</v>
      </c>
    </row>
    <row r="9" spans="1:19" x14ac:dyDescent="0.25">
      <c r="A9" s="25" t="s">
        <v>101</v>
      </c>
      <c r="B9" s="25"/>
      <c r="C9" s="25"/>
      <c r="D9" s="25"/>
      <c r="E9" s="25"/>
      <c r="F9" s="25"/>
      <c r="N9" s="25" t="s">
        <v>95</v>
      </c>
      <c r="O9" s="25"/>
      <c r="P9" s="25"/>
      <c r="Q9" s="25"/>
      <c r="R9" s="25"/>
      <c r="S9" s="25"/>
    </row>
    <row r="10" spans="1:19" x14ac:dyDescent="0.25">
      <c r="A10" s="22"/>
      <c r="B10" s="22" t="s">
        <v>70</v>
      </c>
      <c r="C10" s="22" t="s">
        <v>16</v>
      </c>
      <c r="D10" s="22" t="s">
        <v>71</v>
      </c>
      <c r="E10" s="22" t="s">
        <v>76</v>
      </c>
      <c r="F10" s="22" t="s">
        <v>77</v>
      </c>
      <c r="N10" s="22"/>
      <c r="O10" s="22" t="s">
        <v>70</v>
      </c>
      <c r="P10" s="22" t="s">
        <v>16</v>
      </c>
      <c r="Q10" s="22" t="s">
        <v>71</v>
      </c>
      <c r="R10" s="22" t="s">
        <v>76</v>
      </c>
      <c r="S10" s="22" t="s">
        <v>77</v>
      </c>
    </row>
    <row r="11" spans="1:19" x14ac:dyDescent="0.25">
      <c r="A11" s="24" t="s">
        <v>106</v>
      </c>
      <c r="B11" s="22">
        <f>'C'!E22</f>
        <v>0.51</v>
      </c>
      <c r="C11" s="23">
        <f>'C'!V22</f>
        <v>0.9</v>
      </c>
      <c r="D11" s="22">
        <v>10</v>
      </c>
      <c r="E11" s="22">
        <f>ROUND($B$3/(D11+$C$3)^$D$3,2)</f>
        <v>4.08</v>
      </c>
      <c r="F11" s="22">
        <f>ROUND(B11*C11*E11,2)</f>
        <v>1.87</v>
      </c>
      <c r="N11" s="24" t="s">
        <v>106</v>
      </c>
      <c r="O11" s="22">
        <f>ROUND(21721/43560,2)</f>
        <v>0.5</v>
      </c>
      <c r="P11" s="23">
        <v>0.9</v>
      </c>
      <c r="Q11" s="22">
        <v>10</v>
      </c>
      <c r="R11" s="22">
        <f>ROUND($B$3/(Q11+$C$3)^$D$3,2)</f>
        <v>4.08</v>
      </c>
      <c r="S11" s="22">
        <f>ROUND(O11*P11*R11,2)</f>
        <v>1.84</v>
      </c>
    </row>
    <row r="13" spans="1:19" x14ac:dyDescent="0.25">
      <c r="A13" s="25" t="s">
        <v>99</v>
      </c>
      <c r="B13" s="25"/>
      <c r="C13" s="25"/>
      <c r="D13" s="25"/>
      <c r="E13" s="25"/>
      <c r="F13" s="25"/>
    </row>
    <row r="14" spans="1:19" x14ac:dyDescent="0.25">
      <c r="A14" s="22"/>
      <c r="B14" s="22" t="s">
        <v>70</v>
      </c>
      <c r="C14" s="22" t="s">
        <v>16</v>
      </c>
      <c r="D14" s="22" t="s">
        <v>71</v>
      </c>
      <c r="E14" s="22" t="s">
        <v>76</v>
      </c>
      <c r="F14" s="22" t="s">
        <v>77</v>
      </c>
    </row>
    <row r="15" spans="1:19" x14ac:dyDescent="0.25">
      <c r="A15" s="24" t="s">
        <v>106</v>
      </c>
      <c r="B15" s="22">
        <f>'C'!E23</f>
        <v>0.55000000000000004</v>
      </c>
      <c r="C15" s="23">
        <f>'C'!V23</f>
        <v>0.9</v>
      </c>
      <c r="D15" s="22">
        <v>10</v>
      </c>
      <c r="E15" s="22">
        <f>ROUND($B$3/(D15+$C$3)^$D$3,2)</f>
        <v>4.08</v>
      </c>
      <c r="F15" s="22">
        <f>ROUND(B15*C15*E15,2)</f>
        <v>2.02</v>
      </c>
    </row>
    <row r="17" spans="1:6" x14ac:dyDescent="0.25">
      <c r="A17" s="25" t="s">
        <v>97</v>
      </c>
      <c r="B17" s="25"/>
      <c r="C17" s="25"/>
      <c r="D17" s="25"/>
      <c r="E17" s="25"/>
      <c r="F17" s="25"/>
    </row>
    <row r="18" spans="1:6" x14ac:dyDescent="0.25">
      <c r="A18" s="22"/>
      <c r="B18" s="22" t="s">
        <v>70</v>
      </c>
      <c r="C18" s="22" t="s">
        <v>16</v>
      </c>
      <c r="D18" s="22" t="s">
        <v>71</v>
      </c>
      <c r="E18" s="22" t="s">
        <v>76</v>
      </c>
      <c r="F18" s="22" t="s">
        <v>77</v>
      </c>
    </row>
    <row r="19" spans="1:6" x14ac:dyDescent="0.25">
      <c r="A19" s="24" t="s">
        <v>106</v>
      </c>
      <c r="B19" s="22">
        <f>'C'!E24</f>
        <v>0.59</v>
      </c>
      <c r="C19" s="23">
        <f>'C'!V24</f>
        <v>0.9</v>
      </c>
      <c r="D19" s="22">
        <v>10</v>
      </c>
      <c r="E19" s="22">
        <f>ROUND($B$3/(D19+$C$3)^$D$3,2)</f>
        <v>4.08</v>
      </c>
      <c r="F19" s="22">
        <f>ROUND(B19*C19*E19,2)</f>
        <v>2.17</v>
      </c>
    </row>
    <row r="21" spans="1:6" x14ac:dyDescent="0.25">
      <c r="A21" s="25" t="s">
        <v>95</v>
      </c>
      <c r="B21" s="25"/>
      <c r="C21" s="25"/>
      <c r="D21" s="25"/>
      <c r="E21" s="25"/>
      <c r="F21" s="25"/>
    </row>
    <row r="22" spans="1:6" x14ac:dyDescent="0.25">
      <c r="A22" s="22"/>
      <c r="B22" s="22" t="s">
        <v>70</v>
      </c>
      <c r="C22" s="22" t="s">
        <v>16</v>
      </c>
      <c r="D22" s="22" t="s">
        <v>71</v>
      </c>
      <c r="E22" s="22" t="s">
        <v>76</v>
      </c>
      <c r="F22" s="22" t="s">
        <v>77</v>
      </c>
    </row>
    <row r="23" spans="1:6" x14ac:dyDescent="0.25">
      <c r="A23" s="24" t="s">
        <v>106</v>
      </c>
      <c r="B23" s="22">
        <f>'C'!E25</f>
        <v>0.82</v>
      </c>
      <c r="C23" s="23">
        <f>'C'!V25</f>
        <v>0.9</v>
      </c>
      <c r="D23" s="22">
        <v>10</v>
      </c>
      <c r="E23" s="22">
        <f>ROUND($B$3/(D23+$C$3)^$D$3,2)</f>
        <v>4.08</v>
      </c>
      <c r="F23" s="22">
        <f>ROUND(B23*C23*E23,2)</f>
        <v>3.01</v>
      </c>
    </row>
    <row r="25" spans="1:6" x14ac:dyDescent="0.25">
      <c r="A25" s="25" t="s">
        <v>119</v>
      </c>
      <c r="B25" s="25"/>
      <c r="C25" s="25"/>
      <c r="D25" s="25"/>
      <c r="E25" s="25"/>
      <c r="F25" s="25"/>
    </row>
    <row r="26" spans="1:6" x14ac:dyDescent="0.25">
      <c r="A26" s="22"/>
      <c r="B26" s="22" t="s">
        <v>70</v>
      </c>
      <c r="C26" s="22" t="s">
        <v>16</v>
      </c>
      <c r="D26" s="22" t="s">
        <v>71</v>
      </c>
      <c r="E26" s="22" t="s">
        <v>76</v>
      </c>
      <c r="F26" s="22" t="s">
        <v>77</v>
      </c>
    </row>
    <row r="27" spans="1:6" x14ac:dyDescent="0.25">
      <c r="A27" s="24" t="s">
        <v>106</v>
      </c>
      <c r="B27" s="22">
        <f>'C'!E26</f>
        <v>0.26</v>
      </c>
      <c r="C27" s="23">
        <f>'C'!V26</f>
        <v>0.9</v>
      </c>
      <c r="D27" s="22">
        <v>10</v>
      </c>
      <c r="E27" s="22">
        <f>ROUND($B$3/(D27+$C$3)^$D$3,2)</f>
        <v>4.08</v>
      </c>
      <c r="F27" s="22">
        <f>ROUND(B27*C27*E27,2)</f>
        <v>0.95</v>
      </c>
    </row>
    <row r="29" spans="1:6" x14ac:dyDescent="0.25">
      <c r="A29" s="25" t="s">
        <v>120</v>
      </c>
      <c r="B29" s="25"/>
      <c r="C29" s="25"/>
      <c r="D29" s="25"/>
      <c r="E29" s="25"/>
      <c r="F29" s="25"/>
    </row>
    <row r="30" spans="1:6" x14ac:dyDescent="0.25">
      <c r="A30" s="22"/>
      <c r="B30" s="22" t="s">
        <v>70</v>
      </c>
      <c r="C30" s="22" t="s">
        <v>16</v>
      </c>
      <c r="D30" s="22" t="s">
        <v>71</v>
      </c>
      <c r="E30" s="22" t="s">
        <v>76</v>
      </c>
      <c r="F30" s="22" t="s">
        <v>77</v>
      </c>
    </row>
    <row r="31" spans="1:6" x14ac:dyDescent="0.25">
      <c r="A31" s="24" t="s">
        <v>106</v>
      </c>
      <c r="B31" s="22">
        <f>'C'!E27</f>
        <v>0.38</v>
      </c>
      <c r="C31" s="23">
        <f>'C'!V27</f>
        <v>0.9</v>
      </c>
      <c r="D31" s="22">
        <v>10</v>
      </c>
      <c r="E31" s="22">
        <f>ROUND($B$3/(D31+$C$3)^$D$3,2)</f>
        <v>4.08</v>
      </c>
      <c r="F31" s="22">
        <f>ROUND(B31*C31*E31,2)</f>
        <v>1.4</v>
      </c>
    </row>
    <row r="33" spans="1:6" x14ac:dyDescent="0.25">
      <c r="A33" s="25" t="s">
        <v>121</v>
      </c>
      <c r="B33" s="25"/>
      <c r="C33" s="25"/>
      <c r="D33" s="25"/>
      <c r="E33" s="25"/>
      <c r="F33" s="25"/>
    </row>
    <row r="34" spans="1:6" x14ac:dyDescent="0.25">
      <c r="A34" s="22"/>
      <c r="B34" s="22" t="s">
        <v>70</v>
      </c>
      <c r="C34" s="22" t="s">
        <v>16</v>
      </c>
      <c r="D34" s="22" t="s">
        <v>71</v>
      </c>
      <c r="E34" s="22" t="s">
        <v>76</v>
      </c>
      <c r="F34" s="22" t="s">
        <v>77</v>
      </c>
    </row>
    <row r="35" spans="1:6" x14ac:dyDescent="0.25">
      <c r="A35" s="24" t="s">
        <v>106</v>
      </c>
      <c r="B35" s="22">
        <f>'C'!E28</f>
        <v>0.5</v>
      </c>
      <c r="C35" s="23">
        <f>'C'!V28</f>
        <v>0.9</v>
      </c>
      <c r="D35" s="22">
        <v>10</v>
      </c>
      <c r="E35" s="22">
        <f>ROUND($B$3/(D35+$C$3)^$D$3,2)</f>
        <v>4.08</v>
      </c>
      <c r="F35" s="22">
        <f>ROUND(B35*C35*E35,2)</f>
        <v>1.84</v>
      </c>
    </row>
  </sheetData>
  <mergeCells count="10">
    <mergeCell ref="B1:D1"/>
    <mergeCell ref="A5:F5"/>
    <mergeCell ref="A9:F9"/>
    <mergeCell ref="A13:F13"/>
    <mergeCell ref="A17:F17"/>
    <mergeCell ref="N9:S9"/>
    <mergeCell ref="A25:F25"/>
    <mergeCell ref="A29:F29"/>
    <mergeCell ref="A33:F33"/>
    <mergeCell ref="A21:F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CD155-4624-43F5-B6CC-9CEE1694CDB0}">
  <sheetPr>
    <pageSetUpPr fitToPage="1"/>
  </sheetPr>
  <dimension ref="A4:W22"/>
  <sheetViews>
    <sheetView zoomScale="90" zoomScaleNormal="90" workbookViewId="0">
      <pane xSplit="5" ySplit="20" topLeftCell="F21" activePane="bottomRight" state="frozen"/>
      <selection pane="topRight" activeCell="F1" sqref="F1"/>
      <selection pane="bottomLeft" activeCell="A21" sqref="A21"/>
      <selection pane="bottomRight" activeCell="AA11" sqref="AA11"/>
    </sheetView>
  </sheetViews>
  <sheetFormatPr defaultColWidth="9.140625" defaultRowHeight="12.75" x14ac:dyDescent="0.2"/>
  <cols>
    <col min="1" max="1" width="21.28515625" style="3" bestFit="1" customWidth="1"/>
    <col min="2" max="3" width="21.28515625" style="3" customWidth="1"/>
    <col min="4" max="4" width="10.85546875" style="3" customWidth="1"/>
    <col min="5" max="7" width="10.42578125" style="3" customWidth="1"/>
    <col min="8" max="8" width="10.5703125" style="3" customWidth="1"/>
    <col min="9" max="11" width="18.28515625" style="3" hidden="1" customWidth="1"/>
    <col min="12" max="14" width="18.28515625" style="3" customWidth="1"/>
    <col min="15" max="17" width="18.28515625" style="3" hidden="1" customWidth="1"/>
    <col min="18" max="20" width="16.140625" style="3" hidden="1" customWidth="1"/>
    <col min="21" max="21" width="16.42578125" style="3" customWidth="1"/>
    <col min="22" max="22" width="10.7109375" style="3" bestFit="1" customWidth="1"/>
    <col min="23" max="23" width="79.7109375" style="3" hidden="1" customWidth="1"/>
    <col min="24" max="16384" width="9.140625" style="3"/>
  </cols>
  <sheetData>
    <row r="4" spans="1:8" x14ac:dyDescent="0.2">
      <c r="A4" s="1" t="s">
        <v>83</v>
      </c>
      <c r="B4" s="1"/>
    </row>
    <row r="5" spans="1:8" x14ac:dyDescent="0.2">
      <c r="A5" s="1" t="s">
        <v>84</v>
      </c>
      <c r="B5" s="1"/>
    </row>
    <row r="6" spans="1:8" x14ac:dyDescent="0.2">
      <c r="A6" s="1" t="s">
        <v>85</v>
      </c>
      <c r="B6" s="1"/>
    </row>
    <row r="7" spans="1:8" x14ac:dyDescent="0.2">
      <c r="A7" s="1" t="s">
        <v>68</v>
      </c>
      <c r="B7" s="1"/>
    </row>
    <row r="9" spans="1:8" x14ac:dyDescent="0.2">
      <c r="A9" s="1" t="s">
        <v>0</v>
      </c>
      <c r="B9" s="1"/>
      <c r="C9" s="2">
        <v>0.9</v>
      </c>
      <c r="F9" s="2"/>
      <c r="G9" s="2"/>
      <c r="H9" s="2"/>
    </row>
    <row r="10" spans="1:8" ht="12.75" customHeight="1" x14ac:dyDescent="0.2">
      <c r="A10" s="1" t="s">
        <v>1</v>
      </c>
      <c r="B10" s="1"/>
      <c r="C10" s="2">
        <v>0.5</v>
      </c>
      <c r="F10" s="2"/>
      <c r="G10" s="2"/>
      <c r="H10" s="2"/>
    </row>
    <row r="11" spans="1:8" ht="12.75" customHeight="1" x14ac:dyDescent="0.2">
      <c r="A11" s="1" t="s">
        <v>2</v>
      </c>
      <c r="B11" s="1"/>
      <c r="C11" s="2">
        <v>0.7</v>
      </c>
      <c r="F11" s="2"/>
      <c r="G11" s="2"/>
      <c r="H11" s="2"/>
    </row>
    <row r="12" spans="1:8" ht="12.75" customHeight="1" x14ac:dyDescent="0.2">
      <c r="A12" s="1" t="s">
        <v>3</v>
      </c>
      <c r="B12" s="1"/>
      <c r="C12" s="2">
        <v>0.4</v>
      </c>
      <c r="F12" s="2"/>
      <c r="G12" s="2"/>
      <c r="H12" s="2"/>
    </row>
    <row r="13" spans="1:8" ht="12.75" customHeight="1" x14ac:dyDescent="0.2">
      <c r="A13" s="1" t="s">
        <v>4</v>
      </c>
      <c r="B13" s="1"/>
      <c r="C13" s="2">
        <v>0.55000000000000004</v>
      </c>
      <c r="F13" s="2"/>
      <c r="G13" s="2"/>
      <c r="H13" s="2"/>
    </row>
    <row r="14" spans="1:8" x14ac:dyDescent="0.2">
      <c r="A14" s="1" t="s">
        <v>5</v>
      </c>
      <c r="B14" s="1"/>
      <c r="C14" s="2">
        <v>0.65</v>
      </c>
      <c r="F14" s="2"/>
      <c r="G14" s="2"/>
      <c r="H14" s="2"/>
    </row>
    <row r="15" spans="1:8" x14ac:dyDescent="0.2">
      <c r="A15" s="1" t="s">
        <v>6</v>
      </c>
      <c r="B15" s="1"/>
      <c r="C15" s="2">
        <v>0.6</v>
      </c>
      <c r="F15" s="2"/>
      <c r="G15" s="2"/>
      <c r="H15" s="2"/>
    </row>
    <row r="16" spans="1:8" x14ac:dyDescent="0.2">
      <c r="A16" s="1" t="s">
        <v>7</v>
      </c>
      <c r="B16" s="1"/>
      <c r="C16" s="2">
        <v>0.3</v>
      </c>
      <c r="F16" s="2"/>
      <c r="G16" s="2"/>
      <c r="H16" s="2"/>
    </row>
    <row r="17" spans="1:23" x14ac:dyDescent="0.2">
      <c r="A17" s="1" t="s">
        <v>43</v>
      </c>
      <c r="B17" s="1"/>
      <c r="C17" s="2">
        <v>0.4</v>
      </c>
      <c r="F17" s="2"/>
      <c r="G17" s="2"/>
      <c r="H17" s="2"/>
    </row>
    <row r="20" spans="1:23" ht="38.25" customHeight="1" x14ac:dyDescent="0.2">
      <c r="A20" s="6" t="s">
        <v>64</v>
      </c>
      <c r="B20" s="6" t="s">
        <v>78</v>
      </c>
      <c r="C20" s="6" t="s">
        <v>69</v>
      </c>
      <c r="D20" s="7" t="s">
        <v>8</v>
      </c>
      <c r="E20" s="7" t="s">
        <v>9</v>
      </c>
      <c r="F20" s="7" t="s">
        <v>11</v>
      </c>
      <c r="G20" s="7" t="s">
        <v>12</v>
      </c>
      <c r="H20" s="7" t="s">
        <v>13</v>
      </c>
      <c r="I20" s="7" t="s">
        <v>40</v>
      </c>
      <c r="J20" s="7" t="s">
        <v>41</v>
      </c>
      <c r="K20" s="7" t="s">
        <v>42</v>
      </c>
      <c r="L20" s="7" t="s">
        <v>65</v>
      </c>
      <c r="M20" s="7" t="s">
        <v>66</v>
      </c>
      <c r="N20" s="7" t="s">
        <v>67</v>
      </c>
      <c r="O20" s="7" t="s">
        <v>44</v>
      </c>
      <c r="P20" s="7" t="s">
        <v>45</v>
      </c>
      <c r="Q20" s="7" t="s">
        <v>46</v>
      </c>
      <c r="R20" s="7" t="s">
        <v>61</v>
      </c>
      <c r="S20" s="7" t="s">
        <v>62</v>
      </c>
      <c r="T20" s="7" t="s">
        <v>63</v>
      </c>
      <c r="U20" s="6" t="s">
        <v>14</v>
      </c>
      <c r="V20" s="6" t="s">
        <v>10</v>
      </c>
      <c r="W20" s="6" t="s">
        <v>81</v>
      </c>
    </row>
    <row r="21" spans="1:23" x14ac:dyDescent="0.2">
      <c r="A21" s="14" t="s">
        <v>90</v>
      </c>
      <c r="B21" s="14"/>
      <c r="C21" s="14"/>
      <c r="D21" s="14">
        <v>2756900</v>
      </c>
      <c r="E21" s="14">
        <f t="shared" ref="E21" si="0">ROUND(D21/43560,2)</f>
        <v>63.29</v>
      </c>
      <c r="F21" s="15">
        <v>139141</v>
      </c>
      <c r="G21" s="14">
        <f t="shared" ref="G21" si="1">ROUND(F21/43560,2)</f>
        <v>3.19</v>
      </c>
      <c r="H21" s="14">
        <f t="shared" ref="H21" si="2">ROUND(G21*$C$9,2)</f>
        <v>2.87</v>
      </c>
      <c r="I21" s="15"/>
      <c r="J21" s="14">
        <f t="shared" ref="J21" si="3">ROUND(I21/43560,2)</f>
        <v>0</v>
      </c>
      <c r="K21" s="14">
        <f t="shared" ref="K21" si="4">ROUND(J21*$C$10,2)</f>
        <v>0</v>
      </c>
      <c r="L21" s="15">
        <f>D21-F21</f>
        <v>2617759</v>
      </c>
      <c r="M21" s="14">
        <f t="shared" ref="M21" si="5">ROUND(L21/43560,2)</f>
        <v>60.1</v>
      </c>
      <c r="N21" s="14">
        <f>ROUND(M21*$C$17,2)</f>
        <v>24.04</v>
      </c>
      <c r="O21" s="15"/>
      <c r="P21" s="14"/>
      <c r="Q21" s="14"/>
      <c r="R21" s="15"/>
      <c r="S21" s="14"/>
      <c r="T21" s="14"/>
      <c r="U21" s="14">
        <f>SUM(H21,K21,N21,Q21,T21)</f>
        <v>26.91</v>
      </c>
      <c r="V21" s="13">
        <f t="shared" ref="V21" si="6">ROUND(U21/E21,2)</f>
        <v>0.43</v>
      </c>
      <c r="W21" s="21"/>
    </row>
    <row r="22" spans="1:23" x14ac:dyDescent="0.2">
      <c r="A22" s="14" t="s">
        <v>89</v>
      </c>
      <c r="B22" s="14"/>
      <c r="C22" s="14"/>
      <c r="D22" s="14">
        <f>2756900+296372</f>
        <v>3053272</v>
      </c>
      <c r="E22" s="14">
        <f t="shared" ref="E22" si="7">ROUND(D22/43560,2)</f>
        <v>70.09</v>
      </c>
      <c r="F22" s="15">
        <f>139141+267241</f>
        <v>406382</v>
      </c>
      <c r="G22" s="14">
        <f t="shared" ref="G22" si="8">ROUND(F22/43560,2)</f>
        <v>9.33</v>
      </c>
      <c r="H22" s="14">
        <f t="shared" ref="H22" si="9">ROUND(G22*$C$9,2)</f>
        <v>8.4</v>
      </c>
      <c r="I22" s="15"/>
      <c r="J22" s="14">
        <f t="shared" ref="J22" si="10">ROUND(I22/43560,2)</f>
        <v>0</v>
      </c>
      <c r="K22" s="14">
        <f t="shared" ref="K22" si="11">ROUND(J22*$C$10,2)</f>
        <v>0</v>
      </c>
      <c r="L22" s="15">
        <f>D22-F22</f>
        <v>2646890</v>
      </c>
      <c r="M22" s="14">
        <f t="shared" ref="M22" si="12">ROUND(L22/43560,2)</f>
        <v>60.76</v>
      </c>
      <c r="N22" s="14">
        <f>ROUND(M22*$C$17,2)</f>
        <v>24.3</v>
      </c>
      <c r="O22" s="15"/>
      <c r="P22" s="14"/>
      <c r="Q22" s="14"/>
      <c r="R22" s="15"/>
      <c r="S22" s="14"/>
      <c r="T22" s="14"/>
      <c r="U22" s="14">
        <f>SUM(H22,K22,N22,Q22,T22)</f>
        <v>32.700000000000003</v>
      </c>
      <c r="V22" s="13">
        <f t="shared" ref="V22" si="13">ROUND(U22/E22,2)</f>
        <v>0.47</v>
      </c>
      <c r="W22" s="21"/>
    </row>
  </sheetData>
  <phoneticPr fontId="12" type="noConversion"/>
  <pageMargins left="0.7" right="0.7" top="0.75" bottom="0.75" header="0.3" footer="0.3"/>
  <pageSetup paperSize="3" fitToHeight="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75C1C-8F39-4F67-80B7-4A50B882F409}">
  <sheetPr>
    <pageSetUpPr fitToPage="1"/>
  </sheetPr>
  <dimension ref="A4:AM40"/>
  <sheetViews>
    <sheetView zoomScale="90" zoomScaleNormal="90" workbookViewId="0">
      <pane ySplit="20" topLeftCell="A21" activePane="bottomLeft" state="frozen"/>
      <selection pane="bottomLeft" activeCell="K1" sqref="K1:O1048576"/>
    </sheetView>
  </sheetViews>
  <sheetFormatPr defaultColWidth="9.140625" defaultRowHeight="12.75" x14ac:dyDescent="0.2"/>
  <cols>
    <col min="1" max="1" width="15.7109375" style="3" customWidth="1"/>
    <col min="2" max="2" width="16.7109375" style="3" customWidth="1"/>
    <col min="3" max="10" width="10.42578125" style="3" customWidth="1"/>
    <col min="11" max="15" width="10.42578125" style="3" hidden="1" customWidth="1"/>
    <col min="16" max="16" width="10.42578125" style="3" customWidth="1"/>
    <col min="17" max="18" width="10.42578125" style="3" hidden="1" customWidth="1"/>
    <col min="19" max="19" width="12.28515625" style="3" hidden="1" customWidth="1"/>
    <col min="20" max="20" width="10.42578125" style="3" hidden="1" customWidth="1"/>
    <col min="21" max="21" width="17.7109375" style="3" hidden="1" customWidth="1"/>
    <col min="22" max="22" width="10.7109375" style="3" hidden="1" customWidth="1"/>
    <col min="23" max="24" width="10.42578125" style="3" customWidth="1"/>
    <col min="25" max="28" width="12.28515625" style="3" customWidth="1"/>
    <col min="29" max="29" width="10.42578125" style="3" customWidth="1"/>
    <col min="30" max="30" width="11.7109375" style="3" customWidth="1"/>
    <col min="31" max="32" width="14.140625" style="3" customWidth="1"/>
    <col min="33" max="33" width="17.7109375" style="3" customWidth="1"/>
    <col min="34" max="34" width="10.7109375" style="3" customWidth="1"/>
    <col min="35" max="36" width="10.42578125" style="3" customWidth="1"/>
    <col min="37" max="38" width="16.42578125" style="3" customWidth="1"/>
    <col min="39" max="39" width="10.7109375" style="3" bestFit="1" customWidth="1"/>
    <col min="40" max="16384" width="9.140625" style="3"/>
  </cols>
  <sheetData>
    <row r="4" spans="1:24" x14ac:dyDescent="0.2">
      <c r="A4" s="1" t="s">
        <v>87</v>
      </c>
    </row>
    <row r="5" spans="1:24" x14ac:dyDescent="0.2">
      <c r="A5" s="1" t="s">
        <v>84</v>
      </c>
    </row>
    <row r="6" spans="1:24" x14ac:dyDescent="0.2">
      <c r="A6" s="1" t="s">
        <v>85</v>
      </c>
    </row>
    <row r="7" spans="1:24" x14ac:dyDescent="0.2">
      <c r="A7" s="1" t="s">
        <v>68</v>
      </c>
    </row>
    <row r="9" spans="1:24" x14ac:dyDescent="0.2">
      <c r="A9" s="1" t="s">
        <v>0</v>
      </c>
      <c r="B9" s="1"/>
      <c r="C9" s="1"/>
      <c r="D9" s="2">
        <v>0.9</v>
      </c>
      <c r="E9" s="1"/>
      <c r="F9" s="1" t="s">
        <v>19</v>
      </c>
      <c r="G9" s="1"/>
      <c r="H9" s="1"/>
      <c r="I9" s="1">
        <v>7.5999999999999998E-2</v>
      </c>
      <c r="J9" s="1"/>
      <c r="K9" s="2"/>
      <c r="L9" s="2"/>
      <c r="M9" s="2"/>
      <c r="R9" s="1"/>
      <c r="X9" s="1"/>
    </row>
    <row r="10" spans="1:24" ht="12.75" customHeight="1" x14ac:dyDescent="0.2">
      <c r="A10" s="30" t="s">
        <v>1</v>
      </c>
      <c r="B10" s="30"/>
      <c r="C10" s="30"/>
      <c r="D10" s="2">
        <v>0.5</v>
      </c>
      <c r="E10" s="4"/>
      <c r="F10" s="1" t="s">
        <v>20</v>
      </c>
      <c r="G10" s="4"/>
      <c r="H10" s="4"/>
      <c r="I10" s="1">
        <v>0.152</v>
      </c>
      <c r="J10" s="1"/>
      <c r="K10" s="2"/>
      <c r="L10" s="2"/>
      <c r="M10" s="2"/>
    </row>
    <row r="11" spans="1:24" ht="12.75" customHeight="1" x14ac:dyDescent="0.2">
      <c r="A11" s="30" t="s">
        <v>2</v>
      </c>
      <c r="B11" s="30"/>
      <c r="C11" s="30"/>
      <c r="D11" s="2">
        <v>0.7</v>
      </c>
      <c r="E11" s="4"/>
      <c r="F11" s="1" t="s">
        <v>21</v>
      </c>
      <c r="G11" s="4"/>
      <c r="H11" s="4"/>
      <c r="I11" s="1">
        <v>0.21299999999999999</v>
      </c>
      <c r="J11" s="1"/>
      <c r="K11" s="2"/>
      <c r="L11" s="2"/>
      <c r="M11" s="2"/>
    </row>
    <row r="12" spans="1:24" ht="12.75" customHeight="1" x14ac:dyDescent="0.2">
      <c r="A12" s="30" t="s">
        <v>3</v>
      </c>
      <c r="B12" s="30"/>
      <c r="C12" s="30"/>
      <c r="D12" s="2">
        <v>0.4</v>
      </c>
      <c r="E12" s="4"/>
      <c r="F12" s="1" t="s">
        <v>22</v>
      </c>
      <c r="G12" s="4"/>
      <c r="H12" s="4"/>
      <c r="I12" s="1">
        <v>0.27400000000000002</v>
      </c>
      <c r="J12" s="1"/>
      <c r="K12" s="2"/>
      <c r="L12" s="2"/>
      <c r="M12" s="2"/>
    </row>
    <row r="13" spans="1:24" ht="12.75" customHeight="1" x14ac:dyDescent="0.2">
      <c r="A13" s="30" t="s">
        <v>4</v>
      </c>
      <c r="B13" s="30"/>
      <c r="C13" s="30"/>
      <c r="D13" s="2">
        <v>0.55000000000000004</v>
      </c>
      <c r="E13" s="4"/>
      <c r="F13" s="1" t="s">
        <v>23</v>
      </c>
      <c r="G13" s="4"/>
      <c r="H13" s="4"/>
      <c r="I13" s="1">
        <v>0.30499999999999999</v>
      </c>
      <c r="J13" s="1"/>
      <c r="K13" s="2"/>
      <c r="L13" s="2"/>
      <c r="M13" s="2"/>
    </row>
    <row r="14" spans="1:24" x14ac:dyDescent="0.2">
      <c r="A14" s="1" t="s">
        <v>5</v>
      </c>
      <c r="D14" s="2">
        <v>0.65</v>
      </c>
      <c r="F14" s="1" t="s">
        <v>24</v>
      </c>
      <c r="I14" s="1">
        <v>0.45700000000000002</v>
      </c>
      <c r="J14" s="1"/>
      <c r="K14" s="2"/>
      <c r="L14" s="2"/>
      <c r="M14" s="2"/>
    </row>
    <row r="15" spans="1:24" x14ac:dyDescent="0.2">
      <c r="A15" s="1" t="s">
        <v>6</v>
      </c>
      <c r="D15" s="2">
        <v>0.6</v>
      </c>
      <c r="F15" s="1" t="s">
        <v>25</v>
      </c>
      <c r="I15" s="1">
        <v>0.49099999999999999</v>
      </c>
      <c r="J15" s="1"/>
      <c r="K15" s="2"/>
      <c r="L15" s="2"/>
      <c r="M15" s="2"/>
    </row>
    <row r="16" spans="1:24" x14ac:dyDescent="0.2">
      <c r="A16" s="1" t="s">
        <v>7</v>
      </c>
      <c r="D16" s="2">
        <v>0.3</v>
      </c>
      <c r="F16" s="1" t="s">
        <v>26</v>
      </c>
      <c r="I16" s="1">
        <v>0.61899999999999999</v>
      </c>
      <c r="J16" s="1"/>
      <c r="K16" s="2"/>
      <c r="L16" s="2"/>
      <c r="M16" s="2"/>
    </row>
    <row r="18" spans="1:39" ht="13.5" thickBot="1" x14ac:dyDescent="0.25"/>
    <row r="19" spans="1:39" ht="15.75" customHeight="1" thickBot="1" x14ac:dyDescent="0.25">
      <c r="B19" s="27" t="s">
        <v>18</v>
      </c>
      <c r="C19" s="28"/>
      <c r="D19" s="28"/>
      <c r="E19" s="29"/>
      <c r="F19" s="27" t="s">
        <v>27</v>
      </c>
      <c r="G19" s="28"/>
      <c r="H19" s="28"/>
      <c r="I19" s="28"/>
      <c r="J19" s="28"/>
      <c r="K19" s="28"/>
      <c r="L19" s="28"/>
      <c r="M19" s="28"/>
      <c r="N19" s="28"/>
      <c r="O19" s="28"/>
      <c r="P19" s="29"/>
      <c r="Q19" s="27" t="s">
        <v>33</v>
      </c>
      <c r="R19" s="28"/>
      <c r="S19" s="28"/>
      <c r="T19" s="28"/>
      <c r="U19" s="28"/>
      <c r="V19" s="29"/>
      <c r="W19" s="27" t="s">
        <v>29</v>
      </c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9"/>
      <c r="AI19" s="5"/>
    </row>
    <row r="20" spans="1:39" ht="38.25" x14ac:dyDescent="0.2">
      <c r="A20" s="6" t="s">
        <v>64</v>
      </c>
      <c r="B20" s="7" t="s">
        <v>15</v>
      </c>
      <c r="C20" s="7" t="s">
        <v>16</v>
      </c>
      <c r="D20" s="7" t="s">
        <v>17</v>
      </c>
      <c r="E20" s="8" t="s">
        <v>47</v>
      </c>
      <c r="F20" s="9" t="s">
        <v>48</v>
      </c>
      <c r="G20" s="7" t="s">
        <v>49</v>
      </c>
      <c r="H20" s="7" t="s">
        <v>50</v>
      </c>
      <c r="I20" s="7" t="s">
        <v>51</v>
      </c>
      <c r="J20" s="7" t="s">
        <v>52</v>
      </c>
      <c r="K20" s="9" t="s">
        <v>53</v>
      </c>
      <c r="L20" s="7" t="s">
        <v>54</v>
      </c>
      <c r="M20" s="7" t="s">
        <v>55</v>
      </c>
      <c r="N20" s="7" t="s">
        <v>56</v>
      </c>
      <c r="O20" s="7" t="s">
        <v>57</v>
      </c>
      <c r="P20" s="8" t="s">
        <v>58</v>
      </c>
      <c r="Q20" s="9" t="s">
        <v>30</v>
      </c>
      <c r="R20" s="7" t="s">
        <v>32</v>
      </c>
      <c r="S20" s="7" t="s">
        <v>31</v>
      </c>
      <c r="T20" s="7" t="s">
        <v>28</v>
      </c>
      <c r="U20" s="10" t="s">
        <v>15</v>
      </c>
      <c r="V20" s="8" t="s">
        <v>59</v>
      </c>
      <c r="W20" s="9" t="s">
        <v>30</v>
      </c>
      <c r="X20" s="7" t="s">
        <v>34</v>
      </c>
      <c r="Y20" s="7" t="s">
        <v>35</v>
      </c>
      <c r="Z20" s="7" t="s">
        <v>36</v>
      </c>
      <c r="AA20" s="7" t="s">
        <v>37</v>
      </c>
      <c r="AB20" s="7" t="s">
        <v>31</v>
      </c>
      <c r="AC20" s="7" t="s">
        <v>60</v>
      </c>
      <c r="AD20" s="7" t="s">
        <v>38</v>
      </c>
      <c r="AE20" s="7" t="s">
        <v>39</v>
      </c>
      <c r="AF20" s="7" t="s">
        <v>28</v>
      </c>
      <c r="AG20" s="10" t="s">
        <v>15</v>
      </c>
      <c r="AH20" s="8" t="s">
        <v>59</v>
      </c>
      <c r="AI20" s="8" t="s">
        <v>80</v>
      </c>
      <c r="AJ20" s="11" t="s">
        <v>79</v>
      </c>
      <c r="AL20" s="5"/>
      <c r="AM20" s="5"/>
    </row>
    <row r="21" spans="1:39" x14ac:dyDescent="0.2">
      <c r="A21" s="14" t="s">
        <v>82</v>
      </c>
      <c r="B21" s="14">
        <v>300</v>
      </c>
      <c r="C21" s="13">
        <f>D12</f>
        <v>0.4</v>
      </c>
      <c r="D21" s="14">
        <v>1</v>
      </c>
      <c r="E21" s="17">
        <f t="shared" ref="E21" si="0">IF(B21="","0",ROUND((1.8*(1.1-C21)*((B21)^0.5))/(D21)^(1/3),2))</f>
        <v>21.82</v>
      </c>
      <c r="F21" s="20">
        <f>I12</f>
        <v>0.27400000000000002</v>
      </c>
      <c r="G21" s="14">
        <v>1</v>
      </c>
      <c r="H21" s="14">
        <f>IF(F21="","",ROUND(3.281*F21*(G21)^0.5,2))</f>
        <v>0.9</v>
      </c>
      <c r="I21" s="15">
        <v>1428</v>
      </c>
      <c r="J21" s="14">
        <f t="shared" ref="J21" si="1">IF(I21="",0,ROUND(I21/(60*H21),2))</f>
        <v>26.44</v>
      </c>
      <c r="K21" s="14"/>
      <c r="L21" s="14"/>
      <c r="M21" s="14" t="str">
        <f>IF(K21="","",ROUND(3.281*K21*(L21)^0.5,2))</f>
        <v/>
      </c>
      <c r="N21" s="14"/>
      <c r="O21" s="14">
        <f t="shared" ref="O21" si="2">IF(N21="",0,ROUND(N21/(60*M21),2))</f>
        <v>0</v>
      </c>
      <c r="P21" s="17">
        <f t="shared" ref="P21" si="3">IF(F21="",0,J21+O21)</f>
        <v>26.44</v>
      </c>
      <c r="Q21" s="20"/>
      <c r="R21" s="14"/>
      <c r="S21" s="14"/>
      <c r="T21" s="14" t="str">
        <f>IF(Q21="","",ROUND(1.49/Q21*(R21/4/12)^(2/3)*S21^(1/2),2))</f>
        <v/>
      </c>
      <c r="U21" s="18"/>
      <c r="V21" s="17">
        <f t="shared" ref="V21" si="4">IF(U21="",0,ROUNDUP(U21/(60*T21),2))</f>
        <v>0</v>
      </c>
      <c r="W21" s="20">
        <v>0.03</v>
      </c>
      <c r="X21" s="14">
        <v>4</v>
      </c>
      <c r="Y21" s="14">
        <v>8</v>
      </c>
      <c r="Z21" s="14">
        <v>8</v>
      </c>
      <c r="AA21" s="14">
        <v>0.5</v>
      </c>
      <c r="AB21" s="14">
        <v>1.0999999999999999E-2</v>
      </c>
      <c r="AC21" s="19">
        <f>IF(X21="","",ROUND(((X21+AA21*(Y21+Z21)+X21)/2)*AA21,2))</f>
        <v>4</v>
      </c>
      <c r="AD21" s="19">
        <f>IF(X21="","",ROUND(X21+(AA21^2+(Y21*AA21)^2)^(1/2)+(AA21^2+(Z21*AA21)^2)^(1/2),2))</f>
        <v>12.06</v>
      </c>
      <c r="AE21" s="19">
        <f>IF(W21="","",ROUND(1.49/W21*AC21*(AC21/AD21)^(2/3)*(AB21)^(1/2),2))</f>
        <v>9.98</v>
      </c>
      <c r="AF21" s="19">
        <f>IF(AC21="","",ROUND(AE21/AC21,2))</f>
        <v>2.5</v>
      </c>
      <c r="AG21" s="18">
        <v>3072</v>
      </c>
      <c r="AH21" s="17">
        <f>IF(AG21="",0,ROUNDUP(AG21/(60*AF21),2))</f>
        <v>20.48</v>
      </c>
      <c r="AI21" s="16">
        <f>E21+P21+V21+AH21</f>
        <v>68.740000000000009</v>
      </c>
      <c r="AJ21" s="16">
        <f t="shared" ref="AJ21" si="5">IF(AI21&gt;15,AI21,15)</f>
        <v>68.740000000000009</v>
      </c>
      <c r="AL21" s="12"/>
      <c r="AM21" s="12"/>
    </row>
    <row r="22" spans="1:39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39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</sheetData>
  <mergeCells count="8">
    <mergeCell ref="F19:P19"/>
    <mergeCell ref="Q19:V19"/>
    <mergeCell ref="W19:AH19"/>
    <mergeCell ref="A10:C10"/>
    <mergeCell ref="A11:C11"/>
    <mergeCell ref="A12:C12"/>
    <mergeCell ref="A13:C13"/>
    <mergeCell ref="B19:E19"/>
  </mergeCells>
  <conditionalFormatting sqref="AI21">
    <cfRule type="cellIs" dxfId="0" priority="2" operator="lessThan">
      <formula>10</formula>
    </cfRule>
  </conditionalFormatting>
  <pageMargins left="0.7" right="0.7" top="0.75" bottom="0.75" header="0.3" footer="0.3"/>
  <pageSetup paperSize="3" scale="67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A628F-11BE-4F1B-AA0C-1EA7E94C5B2F}">
  <dimension ref="A1:F14"/>
  <sheetViews>
    <sheetView workbookViewId="0">
      <selection activeCell="A16" sqref="A16"/>
    </sheetView>
  </sheetViews>
  <sheetFormatPr defaultRowHeight="15" x14ac:dyDescent="0.25"/>
  <cols>
    <col min="1" max="1" width="11" customWidth="1"/>
  </cols>
  <sheetData>
    <row r="1" spans="1:6" x14ac:dyDescent="0.25">
      <c r="A1" s="26" t="s">
        <v>86</v>
      </c>
      <c r="B1" s="26"/>
      <c r="C1" s="26"/>
      <c r="D1" s="26"/>
    </row>
    <row r="2" spans="1:6" x14ac:dyDescent="0.25">
      <c r="A2" s="24" t="s">
        <v>75</v>
      </c>
      <c r="B2" s="24" t="s">
        <v>72</v>
      </c>
      <c r="C2" s="24" t="s">
        <v>73</v>
      </c>
      <c r="D2" s="24" t="s">
        <v>74</v>
      </c>
    </row>
    <row r="3" spans="1:6" x14ac:dyDescent="0.25">
      <c r="A3" s="24" t="s">
        <v>107</v>
      </c>
      <c r="B3" s="24">
        <v>95.736000000000004</v>
      </c>
      <c r="C3" s="24">
        <v>14</v>
      </c>
      <c r="D3" s="24">
        <v>0.871</v>
      </c>
    </row>
    <row r="4" spans="1:6" x14ac:dyDescent="0.25">
      <c r="A4" s="24" t="s">
        <v>108</v>
      </c>
      <c r="B4" s="24">
        <v>80.436000000000007</v>
      </c>
      <c r="C4" s="24">
        <v>11.5</v>
      </c>
      <c r="D4" s="24">
        <v>0.79400000000000004</v>
      </c>
    </row>
    <row r="6" spans="1:6" x14ac:dyDescent="0.25">
      <c r="A6" s="25" t="s">
        <v>88</v>
      </c>
      <c r="B6" s="25"/>
      <c r="C6" s="25"/>
      <c r="D6" s="25"/>
      <c r="E6" s="25"/>
      <c r="F6" s="25"/>
    </row>
    <row r="7" spans="1:6" x14ac:dyDescent="0.25">
      <c r="A7" s="22"/>
      <c r="B7" s="22" t="s">
        <v>70</v>
      </c>
      <c r="C7" s="22" t="s">
        <v>16</v>
      </c>
      <c r="D7" s="22" t="s">
        <v>71</v>
      </c>
      <c r="E7" s="22" t="s">
        <v>76</v>
      </c>
      <c r="F7" s="22" t="s">
        <v>77</v>
      </c>
    </row>
    <row r="8" spans="1:6" x14ac:dyDescent="0.25">
      <c r="A8" s="24" t="s">
        <v>107</v>
      </c>
      <c r="B8" s="22">
        <f>'Culvert C'!E21</f>
        <v>63.29</v>
      </c>
      <c r="C8" s="23">
        <f>'Culvert C'!V21</f>
        <v>0.43</v>
      </c>
      <c r="D8" s="22">
        <f>'Culvert Tc'!AJ21</f>
        <v>68.740000000000009</v>
      </c>
      <c r="E8" s="22">
        <f>ROUND($B$3/(D8+$C$3)^$D$3,2)</f>
        <v>2.0499999999999998</v>
      </c>
      <c r="F8" s="22">
        <f>ROUND(B8*C8*E8,2)</f>
        <v>55.79</v>
      </c>
    </row>
    <row r="9" spans="1:6" x14ac:dyDescent="0.25">
      <c r="A9" s="24" t="s">
        <v>108</v>
      </c>
      <c r="B9" s="22">
        <f>B8</f>
        <v>63.29</v>
      </c>
      <c r="C9" s="22">
        <f>C8</f>
        <v>0.43</v>
      </c>
      <c r="D9" s="22">
        <f>D8</f>
        <v>68.740000000000009</v>
      </c>
      <c r="E9" s="22">
        <f>ROUND($B$4/(D9+$C$4)^$D$4,2)</f>
        <v>2.4700000000000002</v>
      </c>
      <c r="F9" s="22">
        <f>ROUND(B9*C9*E9,2)</f>
        <v>67.22</v>
      </c>
    </row>
    <row r="11" spans="1:6" x14ac:dyDescent="0.25">
      <c r="A11" s="25" t="s">
        <v>91</v>
      </c>
      <c r="B11" s="25"/>
      <c r="C11" s="25"/>
      <c r="D11" s="25"/>
      <c r="E11" s="25"/>
      <c r="F11" s="25"/>
    </row>
    <row r="12" spans="1:6" x14ac:dyDescent="0.25">
      <c r="A12" s="22"/>
      <c r="B12" s="22" t="s">
        <v>70</v>
      </c>
      <c r="C12" s="22" t="s">
        <v>16</v>
      </c>
      <c r="D12" s="22" t="s">
        <v>71</v>
      </c>
      <c r="E12" s="22" t="s">
        <v>76</v>
      </c>
      <c r="F12" s="22" t="s">
        <v>77</v>
      </c>
    </row>
    <row r="13" spans="1:6" x14ac:dyDescent="0.25">
      <c r="A13" s="24" t="s">
        <v>107</v>
      </c>
      <c r="B13" s="22">
        <f>'Culvert C'!E22</f>
        <v>70.09</v>
      </c>
      <c r="C13" s="23">
        <f>'Culvert C'!V22</f>
        <v>0.47</v>
      </c>
      <c r="D13" s="22">
        <f>'Culvert Tc'!AJ21</f>
        <v>68.740000000000009</v>
      </c>
      <c r="E13" s="22">
        <f>ROUND($B$3/(D13+$C$3)^$D$3,2)</f>
        <v>2.0499999999999998</v>
      </c>
      <c r="F13" s="22">
        <f>ROUND(B13*C13*E13,2)</f>
        <v>67.53</v>
      </c>
    </row>
    <row r="14" spans="1:6" x14ac:dyDescent="0.25">
      <c r="A14" s="24" t="s">
        <v>108</v>
      </c>
      <c r="B14" s="22">
        <f>B13</f>
        <v>70.09</v>
      </c>
      <c r="C14" s="22">
        <f>C13</f>
        <v>0.47</v>
      </c>
      <c r="D14" s="22">
        <f>D13</f>
        <v>68.740000000000009</v>
      </c>
      <c r="E14" s="22">
        <f>ROUND($B$4/(D14+$C$4)^$D$4,2)</f>
        <v>2.4700000000000002</v>
      </c>
      <c r="F14" s="22">
        <f>ROUND(B14*C14*E14,2)</f>
        <v>81.37</v>
      </c>
    </row>
  </sheetData>
  <mergeCells count="3">
    <mergeCell ref="A6:F6"/>
    <mergeCell ref="A11:F11"/>
    <mergeCell ref="A1:D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</vt:lpstr>
      <vt:lpstr>Curb Cut Q</vt:lpstr>
      <vt:lpstr>Culvert C</vt:lpstr>
      <vt:lpstr>Culvert Tc</vt:lpstr>
      <vt:lpstr>Culvert Flow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AFarmer</dc:creator>
  <cp:lastModifiedBy>Farmer, Andrew</cp:lastModifiedBy>
  <cp:lastPrinted>2025-10-06T22:48:09Z</cp:lastPrinted>
  <dcterms:created xsi:type="dcterms:W3CDTF">2016-08-10T13:19:34Z</dcterms:created>
  <dcterms:modified xsi:type="dcterms:W3CDTF">2025-10-31T19:18:51Z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