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\arcadispw01\jason.watt\d0241401\"/>
    </mc:Choice>
  </mc:AlternateContent>
  <xr:revisionPtr revIDLastSave="0" documentId="13_ncr:1_{52E98890-0775-482C-A67F-66ADA4A4CD1A}" xr6:coauthVersionLast="47" xr6:coauthVersionMax="47" xr10:uidLastSave="{00000000-0000-0000-0000-000000000000}"/>
  <bookViews>
    <workbookView xWindow="28920" yWindow="0" windowWidth="26640" windowHeight="15480" tabRatio="878" activeTab="2" xr2:uid="{00000000-000D-0000-FFFF-FFFF00000000}"/>
  </bookViews>
  <sheets>
    <sheet name="Circuit A" sheetId="27" r:id="rId1"/>
    <sheet name="Circuit B" sheetId="28" r:id="rId2"/>
    <sheet name="Circuit C" sheetId="29" r:id="rId3"/>
  </sheets>
  <definedNames>
    <definedName name="_xlnm.Print_Area" localSheetId="0">'Circuit A'!$A$1:$K$27</definedName>
    <definedName name="_xlnm.Print_Area" localSheetId="1">'Circuit B'!$A$1:$K$26</definedName>
    <definedName name="_xlnm.Print_Area" localSheetId="2">'Circuit C'!$A$1:$K$25</definedName>
    <definedName name="VOLTAGE_DROP_CALCULATION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28" l="1"/>
  <c r="C18" i="28"/>
  <c r="C17" i="28"/>
  <c r="C16" i="28"/>
  <c r="C15" i="28"/>
  <c r="F15" i="28" s="1"/>
  <c r="H15" i="28" s="1"/>
  <c r="C18" i="29"/>
  <c r="C17" i="29"/>
  <c r="C16" i="29"/>
  <c r="C15" i="29"/>
  <c r="E15" i="29"/>
  <c r="F15" i="29" s="1"/>
  <c r="H15" i="29" s="1"/>
  <c r="K15" i="28"/>
  <c r="E15" i="28"/>
  <c r="A18" i="29"/>
  <c r="K18" i="29" s="1"/>
  <c r="A17" i="29"/>
  <c r="K17" i="29" s="1"/>
  <c r="A16" i="29"/>
  <c r="K16" i="29" s="1"/>
  <c r="K15" i="29"/>
  <c r="F5" i="29"/>
  <c r="A19" i="28"/>
  <c r="K19" i="28" s="1"/>
  <c r="A18" i="28"/>
  <c r="K18" i="28" s="1"/>
  <c r="A17" i="28"/>
  <c r="K17" i="28" s="1"/>
  <c r="A16" i="28"/>
  <c r="K16" i="28" s="1"/>
  <c r="F5" i="28"/>
  <c r="K16" i="27"/>
  <c r="K17" i="27"/>
  <c r="K18" i="27"/>
  <c r="K19" i="27"/>
  <c r="K20" i="27"/>
  <c r="I15" i="27"/>
  <c r="I18" i="27"/>
  <c r="I17" i="27" s="1"/>
  <c r="I16" i="27" s="1"/>
  <c r="I19" i="27"/>
  <c r="J19" i="27" s="1"/>
  <c r="I20" i="27"/>
  <c r="J20" i="27"/>
  <c r="H19" i="27"/>
  <c r="H20" i="27"/>
  <c r="F19" i="27"/>
  <c r="F20" i="27"/>
  <c r="E20" i="27"/>
  <c r="E17" i="27"/>
  <c r="E18" i="27"/>
  <c r="E19" i="27"/>
  <c r="E16" i="27"/>
  <c r="E15" i="27"/>
  <c r="C20" i="27"/>
  <c r="C19" i="27"/>
  <c r="C18" i="27"/>
  <c r="C17" i="27"/>
  <c r="C16" i="27"/>
  <c r="C15" i="27"/>
  <c r="A17" i="27"/>
  <c r="A18" i="27"/>
  <c r="A19" i="27"/>
  <c r="A20" i="27"/>
  <c r="A16" i="27"/>
  <c r="F5" i="27"/>
  <c r="H16" i="27"/>
  <c r="H17" i="27"/>
  <c r="H18" i="27"/>
  <c r="H15" i="27"/>
  <c r="F16" i="27"/>
  <c r="F17" i="27"/>
  <c r="F18" i="27"/>
  <c r="E16" i="29" l="1"/>
  <c r="E17" i="29" s="1"/>
  <c r="E18" i="29" s="1"/>
  <c r="F18" i="29" s="1"/>
  <c r="H18" i="29" s="1"/>
  <c r="I18" i="29" s="1"/>
  <c r="E16" i="28"/>
  <c r="J18" i="27"/>
  <c r="J17" i="27"/>
  <c r="K15" i="27"/>
  <c r="F16" i="29" l="1"/>
  <c r="H16" i="29" s="1"/>
  <c r="F17" i="29"/>
  <c r="H17" i="29" s="1"/>
  <c r="I17" i="29" s="1"/>
  <c r="F16" i="28"/>
  <c r="H16" i="28" s="1"/>
  <c r="E17" i="28"/>
  <c r="J18" i="29"/>
  <c r="J16" i="27"/>
  <c r="F15" i="27"/>
  <c r="E18" i="28" l="1"/>
  <c r="F17" i="28"/>
  <c r="H17" i="28" s="1"/>
  <c r="J17" i="29"/>
  <c r="I16" i="29"/>
  <c r="J15" i="27"/>
  <c r="E19" i="28" l="1"/>
  <c r="F19" i="28" s="1"/>
  <c r="H19" i="28" s="1"/>
  <c r="I19" i="28" s="1"/>
  <c r="F18" i="28"/>
  <c r="H18" i="28" s="1"/>
  <c r="I15" i="29"/>
  <c r="J16" i="29"/>
  <c r="J19" i="28" l="1"/>
  <c r="I18" i="28"/>
  <c r="J15" i="29"/>
  <c r="I17" i="28" l="1"/>
  <c r="J18" i="28"/>
  <c r="I16" i="28" l="1"/>
  <c r="J17" i="28"/>
  <c r="J16" i="28" l="1"/>
  <c r="I15" i="28"/>
  <c r="J15" i="28" s="1"/>
</calcChain>
</file>

<file path=xl/sharedStrings.xml><?xml version="1.0" encoding="utf-8"?>
<sst xmlns="http://schemas.openxmlformats.org/spreadsheetml/2006/main" count="138" uniqueCount="52">
  <si>
    <t>VOLTAGE DROP CALCULATIONS</t>
  </si>
  <si>
    <t>AWG</t>
  </si>
  <si>
    <t>Section</t>
  </si>
  <si>
    <t>From</t>
  </si>
  <si>
    <t>To</t>
  </si>
  <si>
    <t>At Point</t>
  </si>
  <si>
    <t>Accum.</t>
  </si>
  <si>
    <t>Amperes</t>
  </si>
  <si>
    <t>Voltage Drop</t>
  </si>
  <si>
    <t>In Section</t>
  </si>
  <si>
    <t>% Drop</t>
  </si>
  <si>
    <t>ohms/mft/1000</t>
  </si>
  <si>
    <t xml:space="preserve">Wire Factor Used (Two - No. 4 AWG Wires): </t>
  </si>
  <si>
    <t>Voltage:</t>
  </si>
  <si>
    <t xml:space="preserve">Wire Factor Used (Two - No. 8 AWG Wires): </t>
  </si>
  <si>
    <t xml:space="preserve">Wire Factor Used (Two - No. 6 AWG Wires): </t>
  </si>
  <si>
    <t xml:space="preserve">Wire Factor Used (Two - No. 10 AWG Wires): </t>
  </si>
  <si>
    <t>Design
Feet</t>
  </si>
  <si>
    <t>Ampere-
Feet</t>
  </si>
  <si>
    <t>Supply Voltage:</t>
  </si>
  <si>
    <t>Wire Resistance Used:</t>
  </si>
  <si>
    <t>No.</t>
  </si>
  <si>
    <t>AWG.</t>
  </si>
  <si>
    <t>Power Service:</t>
  </si>
  <si>
    <t>County-Route-Section:</t>
  </si>
  <si>
    <t>Circuit:</t>
  </si>
  <si>
    <t>1/0</t>
  </si>
  <si>
    <t>2/0</t>
  </si>
  <si>
    <t>4/0</t>
  </si>
  <si>
    <t>No. of Wires for Calculation Purposes:</t>
  </si>
  <si>
    <t>Circuit: 'A'</t>
  </si>
  <si>
    <t>A</t>
  </si>
  <si>
    <t>AA-6</t>
  </si>
  <si>
    <t>AA-5</t>
  </si>
  <si>
    <t>AA-4</t>
  </si>
  <si>
    <t>AA-3</t>
  </si>
  <si>
    <t>AA-2</t>
  </si>
  <si>
    <t>AA-1</t>
  </si>
  <si>
    <t>B</t>
  </si>
  <si>
    <t>Circuit: 'B'</t>
  </si>
  <si>
    <t>C</t>
  </si>
  <si>
    <t>Circuit: 'C'</t>
  </si>
  <si>
    <t>AB-5</t>
  </si>
  <si>
    <t>AB-4</t>
  </si>
  <si>
    <t>AB-3</t>
  </si>
  <si>
    <t>AB-2</t>
  </si>
  <si>
    <t>AB-1</t>
  </si>
  <si>
    <t>AC-4</t>
  </si>
  <si>
    <t>AC-3</t>
  </si>
  <si>
    <t>AC-2</t>
  </si>
  <si>
    <t>AC-1</t>
  </si>
  <si>
    <t>LCC-A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</si>
</sst>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b/>
      <sz val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1"/>
      <name val="Arial"/>
      <family val="2"/>
    </font>
    <font>
      <sz val="10"/>
      <name val="Arial"/>
      <family val="2"/>
    </font>
    <font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9" fontId="5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2" fillId="0" borderId="5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49" fontId="5" fillId="0" borderId="0" xfId="0" applyNumberFormat="1" applyFont="1" applyAlignment="1">
      <alignment horizontal="right"/>
    </xf>
    <xf numFmtId="2" fontId="0" fillId="0" borderId="0" xfId="0" applyNumberFormat="1"/>
    <xf numFmtId="164" fontId="4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Percent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0"/>
  <sheetViews>
    <sheetView zoomScaleNormal="100" workbookViewId="0">
      <selection activeCell="B20" sqref="B20"/>
    </sheetView>
  </sheetViews>
  <sheetFormatPr defaultColWidth="0" defaultRowHeight="12.75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M1" s="13"/>
      <c r="R1" s="13">
        <v>14</v>
      </c>
      <c r="S1" s="26">
        <v>3.1</v>
      </c>
    </row>
    <row r="2" spans="1:19" ht="14.25" x14ac:dyDescent="0.2">
      <c r="A2" s="20" t="s">
        <v>24</v>
      </c>
      <c r="B2" s="20"/>
      <c r="C2" s="20"/>
      <c r="D2" s="20"/>
      <c r="E2" s="20"/>
      <c r="F2" s="20"/>
      <c r="G2" s="20" t="s">
        <v>29</v>
      </c>
      <c r="H2" s="20"/>
      <c r="I2" s="20"/>
      <c r="J2" s="20"/>
      <c r="K2" s="19">
        <v>2</v>
      </c>
      <c r="M2" s="13"/>
      <c r="R2" s="13">
        <v>12</v>
      </c>
      <c r="S2" s="26">
        <v>2</v>
      </c>
    </row>
    <row r="3" spans="1:19" ht="14.25" x14ac:dyDescent="0.2">
      <c r="A3" s="20" t="s">
        <v>23</v>
      </c>
      <c r="B3" s="20"/>
      <c r="C3" s="24" t="s">
        <v>51</v>
      </c>
      <c r="D3" s="20" t="s">
        <v>25</v>
      </c>
      <c r="E3" s="20" t="s">
        <v>31</v>
      </c>
      <c r="F3" s="20"/>
      <c r="G3" s="20"/>
      <c r="H3" s="20"/>
      <c r="I3" s="20"/>
      <c r="J3" s="20"/>
      <c r="K3" s="20"/>
      <c r="M3" s="13"/>
      <c r="R3" s="13">
        <v>10</v>
      </c>
      <c r="S3" s="26">
        <v>1.2</v>
      </c>
    </row>
    <row r="4" spans="1:19" ht="14.25" x14ac:dyDescent="0.2">
      <c r="A4" s="20" t="s">
        <v>19</v>
      </c>
      <c r="B4" s="20"/>
      <c r="C4" s="20">
        <v>480</v>
      </c>
      <c r="D4" s="20"/>
      <c r="E4" s="20"/>
      <c r="F4" s="20"/>
      <c r="G4" s="20"/>
      <c r="H4" s="20"/>
      <c r="I4" s="20"/>
      <c r="J4" s="20"/>
      <c r="K4" s="20"/>
      <c r="R4" s="13">
        <v>8</v>
      </c>
      <c r="S4" s="26">
        <v>0.78</v>
      </c>
    </row>
    <row r="5" spans="1:19" ht="14.25" x14ac:dyDescent="0.2">
      <c r="A5" s="20" t="s">
        <v>20</v>
      </c>
      <c r="B5" s="20"/>
      <c r="C5" s="20" t="s">
        <v>21</v>
      </c>
      <c r="D5" s="19">
        <v>4</v>
      </c>
      <c r="E5" s="20" t="s">
        <v>22</v>
      </c>
      <c r="F5" s="27">
        <f>IF(D5="","",VLOOKUP(D5,R1:S10,2,FALSE))</f>
        <v>0.31</v>
      </c>
      <c r="G5" s="20"/>
      <c r="H5" s="20"/>
      <c r="I5" s="20"/>
      <c r="J5" s="20"/>
      <c r="K5" s="20"/>
      <c r="R5" s="13">
        <v>6</v>
      </c>
      <c r="S5" s="26">
        <v>0.49</v>
      </c>
    </row>
    <row r="6" spans="1:19" ht="14.25" x14ac:dyDescent="0.2">
      <c r="A6" s="20"/>
      <c r="B6" s="20"/>
      <c r="C6" s="20" t="s">
        <v>21</v>
      </c>
      <c r="D6" s="19"/>
      <c r="E6" s="20" t="s">
        <v>22</v>
      </c>
      <c r="F6" s="19"/>
      <c r="G6" s="20"/>
      <c r="H6" s="20"/>
      <c r="I6" s="20"/>
      <c r="J6" s="20"/>
      <c r="K6" s="20"/>
      <c r="R6" s="13">
        <v>4</v>
      </c>
      <c r="S6" s="26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6">
        <v>0.19</v>
      </c>
    </row>
    <row r="8" spans="1:19" x14ac:dyDescent="0.2">
      <c r="A8" s="4" t="s">
        <v>13</v>
      </c>
      <c r="B8" s="12">
        <v>240</v>
      </c>
      <c r="C8" s="33" t="s">
        <v>16</v>
      </c>
      <c r="D8" s="34"/>
      <c r="E8" s="34"/>
      <c r="F8" s="34"/>
      <c r="G8" s="34"/>
      <c r="H8" s="21">
        <v>2.4</v>
      </c>
      <c r="I8" s="35" t="s">
        <v>11</v>
      </c>
      <c r="J8" s="36"/>
      <c r="R8" s="25" t="s">
        <v>26</v>
      </c>
      <c r="S8" s="26">
        <v>0.12</v>
      </c>
    </row>
    <row r="9" spans="1:19" x14ac:dyDescent="0.2">
      <c r="A9" s="7"/>
      <c r="B9" s="8"/>
      <c r="C9" s="33" t="s">
        <v>14</v>
      </c>
      <c r="D9" s="34"/>
      <c r="E9" s="34"/>
      <c r="F9" s="34"/>
      <c r="G9" s="34"/>
      <c r="H9" s="21">
        <v>1.56</v>
      </c>
      <c r="I9" s="35" t="s">
        <v>11</v>
      </c>
      <c r="J9" s="36"/>
      <c r="K9" s="3"/>
      <c r="R9" s="25" t="s">
        <v>27</v>
      </c>
      <c r="S9" s="26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21">
        <v>0.98</v>
      </c>
      <c r="I10" s="11" t="s">
        <v>11</v>
      </c>
      <c r="J10" s="12"/>
      <c r="K10" s="3"/>
      <c r="R10" s="25" t="s">
        <v>28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21">
        <v>0.62</v>
      </c>
      <c r="I11" s="11" t="s">
        <v>11</v>
      </c>
      <c r="J11" s="12"/>
      <c r="K11" s="2" t="s">
        <v>30</v>
      </c>
      <c r="R11" s="17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7"/>
    </row>
    <row r="13" spans="1:19" x14ac:dyDescent="0.2">
      <c r="A13" s="37" t="s">
        <v>2</v>
      </c>
      <c r="B13" s="38"/>
      <c r="C13" s="38"/>
      <c r="D13" s="37" t="s">
        <v>7</v>
      </c>
      <c r="E13" s="38"/>
      <c r="F13" s="28" t="s">
        <v>18</v>
      </c>
      <c r="G13" s="30" t="s">
        <v>1</v>
      </c>
      <c r="H13" s="37" t="s">
        <v>8</v>
      </c>
      <c r="I13" s="38"/>
      <c r="J13" s="30" t="s">
        <v>10</v>
      </c>
      <c r="K13" s="30" t="s">
        <v>5</v>
      </c>
      <c r="R13" s="17"/>
    </row>
    <row r="14" spans="1:19" ht="25.5" x14ac:dyDescent="0.2">
      <c r="A14" s="18" t="s">
        <v>3</v>
      </c>
      <c r="B14" s="18" t="s">
        <v>4</v>
      </c>
      <c r="C14" s="22" t="s">
        <v>17</v>
      </c>
      <c r="D14" s="18" t="s">
        <v>5</v>
      </c>
      <c r="E14" s="18" t="s">
        <v>6</v>
      </c>
      <c r="F14" s="29"/>
      <c r="G14" s="31"/>
      <c r="H14" s="23" t="s">
        <v>9</v>
      </c>
      <c r="I14" s="23" t="s">
        <v>6</v>
      </c>
      <c r="J14" s="31"/>
      <c r="K14" s="31"/>
      <c r="R14" s="17"/>
    </row>
    <row r="15" spans="1:19" x14ac:dyDescent="0.2">
      <c r="A15" s="2" t="s">
        <v>32</v>
      </c>
      <c r="B15" s="2" t="s">
        <v>33</v>
      </c>
      <c r="C15" s="5">
        <f>131+10</f>
        <v>141</v>
      </c>
      <c r="D15" s="6">
        <v>2.2000000000000002</v>
      </c>
      <c r="E15" s="6">
        <f>D15</f>
        <v>2.2000000000000002</v>
      </c>
      <c r="F15" s="5">
        <f t="shared" ref="F15:F20" si="0">IF(E15="","",C15*E15)</f>
        <v>310.20000000000005</v>
      </c>
      <c r="G15" s="2">
        <v>4</v>
      </c>
      <c r="H15" s="6">
        <f>IF(G15="","",F15*(2*(VLOOKUP(G15,$R$1:$S$10,2,FALSE)))/1000)</f>
        <v>0.19232400000000005</v>
      </c>
      <c r="I15" s="6">
        <f>I16+H15</f>
        <v>3.6105079999999998</v>
      </c>
      <c r="J15" s="6">
        <f>IF(G15="","",I15/$B$8*100)</f>
        <v>1.5043783333333334</v>
      </c>
      <c r="K15" s="2" t="str">
        <f>IF(A15="","",A15)</f>
        <v>AA-6</v>
      </c>
      <c r="R15" s="17"/>
    </row>
    <row r="16" spans="1:19" x14ac:dyDescent="0.2">
      <c r="A16" s="2" t="str">
        <f>B15</f>
        <v>AA-5</v>
      </c>
      <c r="B16" s="2" t="s">
        <v>34</v>
      </c>
      <c r="C16" s="5">
        <f>133+10</f>
        <v>143</v>
      </c>
      <c r="D16" s="6">
        <v>2.2000000000000002</v>
      </c>
      <c r="E16" s="6">
        <f>E15+D16</f>
        <v>4.4000000000000004</v>
      </c>
      <c r="F16" s="5">
        <f t="shared" si="0"/>
        <v>629.20000000000005</v>
      </c>
      <c r="G16" s="2">
        <v>4</v>
      </c>
      <c r="H16" s="6">
        <f t="shared" ref="H16:H20" si="1">IF(G16="","",F16*(2*(VLOOKUP(G16,$R$1:$S$10,2,FALSE)))/1000)</f>
        <v>0.39010400000000006</v>
      </c>
      <c r="I16" s="6">
        <f t="shared" ref="I16:I18" si="2">I17+H16</f>
        <v>3.4181839999999997</v>
      </c>
      <c r="J16" s="6">
        <f t="shared" ref="J16:J20" si="3">IF(G16="","",I16/$B$8*100)</f>
        <v>1.4242433333333331</v>
      </c>
      <c r="K16" s="2" t="str">
        <f t="shared" ref="K16:K20" si="4">IF(A16="","",A16)</f>
        <v>AA-5</v>
      </c>
    </row>
    <row r="17" spans="1:11" x14ac:dyDescent="0.2">
      <c r="A17" s="2" t="str">
        <f t="shared" ref="A17:A20" si="5">B16</f>
        <v>AA-4</v>
      </c>
      <c r="B17" s="2" t="s">
        <v>35</v>
      </c>
      <c r="C17" s="5">
        <f>133+10</f>
        <v>143</v>
      </c>
      <c r="D17" s="6">
        <v>2.2000000000000002</v>
      </c>
      <c r="E17" s="6">
        <f t="shared" ref="E17:E20" si="6">E16+D17</f>
        <v>6.6000000000000005</v>
      </c>
      <c r="F17" s="5">
        <f t="shared" si="0"/>
        <v>943.80000000000007</v>
      </c>
      <c r="G17" s="2">
        <v>4</v>
      </c>
      <c r="H17" s="6">
        <f t="shared" si="1"/>
        <v>0.58515600000000001</v>
      </c>
      <c r="I17" s="6">
        <f t="shared" si="2"/>
        <v>3.0280799999999997</v>
      </c>
      <c r="J17" s="6">
        <f t="shared" si="3"/>
        <v>1.2616999999999998</v>
      </c>
      <c r="K17" s="2" t="str">
        <f t="shared" si="4"/>
        <v>AA-4</v>
      </c>
    </row>
    <row r="18" spans="1:11" x14ac:dyDescent="0.2">
      <c r="A18" s="2" t="str">
        <f t="shared" si="5"/>
        <v>AA-3</v>
      </c>
      <c r="B18" s="2" t="s">
        <v>36</v>
      </c>
      <c r="C18" s="5">
        <f>211+10</f>
        <v>221</v>
      </c>
      <c r="D18" s="6">
        <v>2.2000000000000002</v>
      </c>
      <c r="E18" s="6">
        <f t="shared" si="6"/>
        <v>8.8000000000000007</v>
      </c>
      <c r="F18" s="5">
        <f t="shared" si="0"/>
        <v>1944.8000000000002</v>
      </c>
      <c r="G18" s="2">
        <v>4</v>
      </c>
      <c r="H18" s="6">
        <f t="shared" si="1"/>
        <v>1.205776</v>
      </c>
      <c r="I18" s="6">
        <f t="shared" si="2"/>
        <v>2.4429239999999997</v>
      </c>
      <c r="J18" s="6">
        <f t="shared" si="3"/>
        <v>1.0178849999999997</v>
      </c>
      <c r="K18" s="2" t="str">
        <f t="shared" si="4"/>
        <v>AA-3</v>
      </c>
    </row>
    <row r="19" spans="1:11" x14ac:dyDescent="0.2">
      <c r="A19" s="2" t="str">
        <f t="shared" si="5"/>
        <v>AA-2</v>
      </c>
      <c r="B19" s="2" t="s">
        <v>37</v>
      </c>
      <c r="C19" s="5">
        <f>145+10</f>
        <v>155</v>
      </c>
      <c r="D19" s="6">
        <v>2.2000000000000002</v>
      </c>
      <c r="E19" s="6">
        <f t="shared" si="6"/>
        <v>11</v>
      </c>
      <c r="F19" s="5">
        <f t="shared" si="0"/>
        <v>1705</v>
      </c>
      <c r="G19" s="2">
        <v>4</v>
      </c>
      <c r="H19" s="6">
        <f t="shared" si="1"/>
        <v>1.0570999999999999</v>
      </c>
      <c r="I19" s="6">
        <f>I20+H19</f>
        <v>1.2371479999999999</v>
      </c>
      <c r="J19" s="6">
        <f t="shared" si="3"/>
        <v>0.51547833333333326</v>
      </c>
      <c r="K19" s="2" t="str">
        <f t="shared" si="4"/>
        <v>AA-2</v>
      </c>
    </row>
    <row r="20" spans="1:11" x14ac:dyDescent="0.2">
      <c r="A20" s="2" t="str">
        <f t="shared" si="5"/>
        <v>AA-1</v>
      </c>
      <c r="B20" s="2" t="s">
        <v>51</v>
      </c>
      <c r="C20" s="5">
        <f>12+10</f>
        <v>22</v>
      </c>
      <c r="D20" s="6">
        <v>2.2000000000000002</v>
      </c>
      <c r="E20" s="6">
        <f t="shared" si="6"/>
        <v>13.2</v>
      </c>
      <c r="F20" s="5">
        <f t="shared" si="0"/>
        <v>290.39999999999998</v>
      </c>
      <c r="G20" s="2">
        <v>4</v>
      </c>
      <c r="H20" s="6">
        <f t="shared" si="1"/>
        <v>0.18004799999999999</v>
      </c>
      <c r="I20" s="6">
        <f>H20</f>
        <v>0.18004799999999999</v>
      </c>
      <c r="J20" s="6">
        <f t="shared" si="3"/>
        <v>7.5019999999999989E-2</v>
      </c>
      <c r="K20" s="2" t="str">
        <f t="shared" si="4"/>
        <v>AA-1</v>
      </c>
    </row>
    <row r="21" spans="1:11" x14ac:dyDescent="0.2">
      <c r="A21" s="2"/>
      <c r="B21" s="2"/>
      <c r="C21" s="5"/>
      <c r="D21" s="6"/>
      <c r="E21" s="6"/>
      <c r="F21" s="5"/>
      <c r="G21" s="2"/>
      <c r="H21" s="6"/>
      <c r="I21" s="6"/>
      <c r="J21" s="6"/>
      <c r="K21" s="2"/>
    </row>
    <row r="22" spans="1:11" x14ac:dyDescent="0.2">
      <c r="A22" s="2"/>
      <c r="B22" s="2"/>
      <c r="C22" s="5"/>
      <c r="D22" s="6"/>
      <c r="E22" s="6"/>
      <c r="F22" s="5"/>
      <c r="G22" s="2"/>
      <c r="H22" s="6"/>
      <c r="I22" s="6"/>
      <c r="J22" s="6"/>
      <c r="K22" s="2"/>
    </row>
    <row r="23" spans="1:11" x14ac:dyDescent="0.2">
      <c r="A23" s="2"/>
      <c r="B23" s="2"/>
      <c r="C23" s="5"/>
      <c r="D23" s="6"/>
      <c r="E23" s="6"/>
      <c r="F23" s="5"/>
      <c r="G23" s="2"/>
      <c r="H23" s="6"/>
      <c r="I23" s="6"/>
      <c r="J23" s="6"/>
      <c r="K23" s="2"/>
    </row>
    <row r="24" spans="1:11" x14ac:dyDescent="0.2">
      <c r="A24" s="2"/>
      <c r="B24" s="2"/>
      <c r="C24" s="5"/>
      <c r="D24" s="6"/>
      <c r="E24" s="6"/>
      <c r="F24" s="5"/>
      <c r="G24" s="2"/>
      <c r="H24" s="6"/>
      <c r="I24" s="6"/>
      <c r="J24" s="6"/>
      <c r="K24" s="2"/>
    </row>
    <row r="25" spans="1:11" x14ac:dyDescent="0.2">
      <c r="A25" s="14"/>
      <c r="B25" s="14"/>
      <c r="C25" s="15"/>
      <c r="D25" s="16"/>
      <c r="E25" s="6"/>
      <c r="F25" s="5"/>
      <c r="G25" s="2"/>
      <c r="H25" s="6"/>
      <c r="I25" s="6"/>
      <c r="J25" s="6"/>
      <c r="K25" s="2"/>
    </row>
    <row r="26" spans="1:11" x14ac:dyDescent="0.2">
      <c r="A26" s="2"/>
      <c r="B26" s="2"/>
      <c r="C26" s="5"/>
      <c r="D26" s="6"/>
      <c r="E26" s="6"/>
      <c r="F26" s="5"/>
      <c r="G26" s="2"/>
      <c r="H26" s="6"/>
      <c r="I26" s="6"/>
      <c r="J26" s="6"/>
      <c r="K26" s="2"/>
    </row>
    <row r="28" spans="1:11" hidden="1" x14ac:dyDescent="0.2">
      <c r="A28" s="8">
        <v>120</v>
      </c>
    </row>
    <row r="29" spans="1:11" hidden="1" x14ac:dyDescent="0.2">
      <c r="A29" s="8">
        <v>240</v>
      </c>
      <c r="B29" s="8"/>
      <c r="D29" s="17"/>
    </row>
    <row r="30" spans="1:11" hidden="1" x14ac:dyDescent="0.2">
      <c r="A30" s="8">
        <v>480</v>
      </c>
      <c r="B30" s="17"/>
      <c r="D30" s="17"/>
    </row>
  </sheetData>
  <mergeCells count="12">
    <mergeCell ref="F13:F14"/>
    <mergeCell ref="K13:K14"/>
    <mergeCell ref="A1:K1"/>
    <mergeCell ref="C8:G8"/>
    <mergeCell ref="I8:J8"/>
    <mergeCell ref="C9:G9"/>
    <mergeCell ref="I9:J9"/>
    <mergeCell ref="A13:C13"/>
    <mergeCell ref="D13:E13"/>
    <mergeCell ref="G13:G14"/>
    <mergeCell ref="H13:I13"/>
    <mergeCell ref="J13:J14"/>
  </mergeCells>
  <dataValidations count="2">
    <dataValidation type="list" allowBlank="1" showInputMessage="1" showErrorMessage="1" sqref="B8" xr:uid="{00000000-0002-0000-0000-000000000000}">
      <formula1>$A$28:$A$30</formula1>
    </dataValidation>
    <dataValidation type="list" allowBlank="1" showInputMessage="1" showErrorMessage="1" sqref="D5:D6 G15:G26" xr:uid="{00000000-0002-0000-0000-000001000000}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60B8D-8453-4B04-8C61-72DB4993A7F3}">
  <sheetPr>
    <pageSetUpPr fitToPage="1"/>
  </sheetPr>
  <dimension ref="A1:S30"/>
  <sheetViews>
    <sheetView zoomScaleNormal="100" workbookViewId="0">
      <selection activeCell="B19" sqref="B19"/>
    </sheetView>
  </sheetViews>
  <sheetFormatPr defaultColWidth="0" defaultRowHeight="12.75" customHeight="1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M1" s="13"/>
      <c r="R1" s="13">
        <v>14</v>
      </c>
      <c r="S1" s="26">
        <v>3.1</v>
      </c>
    </row>
    <row r="2" spans="1:19" ht="14.25" x14ac:dyDescent="0.2">
      <c r="A2" s="20" t="s">
        <v>24</v>
      </c>
      <c r="B2" s="20"/>
      <c r="C2" s="20"/>
      <c r="D2" s="20"/>
      <c r="E2" s="20"/>
      <c r="F2" s="20"/>
      <c r="G2" s="20" t="s">
        <v>29</v>
      </c>
      <c r="H2" s="20"/>
      <c r="I2" s="20"/>
      <c r="J2" s="20"/>
      <c r="K2" s="19">
        <v>2</v>
      </c>
      <c r="M2" s="13"/>
      <c r="R2" s="13">
        <v>12</v>
      </c>
      <c r="S2" s="26">
        <v>2</v>
      </c>
    </row>
    <row r="3" spans="1:19" ht="14.25" x14ac:dyDescent="0.2">
      <c r="A3" s="20" t="s">
        <v>23</v>
      </c>
      <c r="B3" s="20"/>
      <c r="C3" s="24" t="s">
        <v>51</v>
      </c>
      <c r="D3" s="20" t="s">
        <v>25</v>
      </c>
      <c r="E3" s="20" t="s">
        <v>38</v>
      </c>
      <c r="F3" s="20"/>
      <c r="G3" s="20"/>
      <c r="H3" s="20"/>
      <c r="I3" s="20"/>
      <c r="J3" s="20"/>
      <c r="K3" s="20"/>
      <c r="M3" s="13"/>
      <c r="R3" s="13">
        <v>10</v>
      </c>
      <c r="S3" s="26">
        <v>1.2</v>
      </c>
    </row>
    <row r="4" spans="1:19" ht="14.25" x14ac:dyDescent="0.2">
      <c r="A4" s="20" t="s">
        <v>19</v>
      </c>
      <c r="B4" s="20"/>
      <c r="C4" s="20">
        <v>480</v>
      </c>
      <c r="D4" s="20"/>
      <c r="E4" s="20"/>
      <c r="F4" s="20"/>
      <c r="G4" s="20"/>
      <c r="H4" s="20"/>
      <c r="I4" s="20"/>
      <c r="J4" s="20"/>
      <c r="K4" s="20"/>
      <c r="R4" s="13">
        <v>8</v>
      </c>
      <c r="S4" s="26">
        <v>0.78</v>
      </c>
    </row>
    <row r="5" spans="1:19" ht="14.25" x14ac:dyDescent="0.2">
      <c r="A5" s="20" t="s">
        <v>20</v>
      </c>
      <c r="B5" s="20"/>
      <c r="C5" s="20" t="s">
        <v>21</v>
      </c>
      <c r="D5" s="19">
        <v>4</v>
      </c>
      <c r="E5" s="20" t="s">
        <v>22</v>
      </c>
      <c r="F5" s="27">
        <f>IF(D5="","",VLOOKUP(D5,R1:S10,2,FALSE))</f>
        <v>0.31</v>
      </c>
      <c r="G5" s="20"/>
      <c r="H5" s="20"/>
      <c r="I5" s="20"/>
      <c r="J5" s="20"/>
      <c r="K5" s="20"/>
      <c r="R5" s="13">
        <v>6</v>
      </c>
      <c r="S5" s="26">
        <v>0.49</v>
      </c>
    </row>
    <row r="6" spans="1:19" ht="14.25" x14ac:dyDescent="0.2">
      <c r="A6" s="20"/>
      <c r="B6" s="20"/>
      <c r="C6" s="20" t="s">
        <v>21</v>
      </c>
      <c r="D6" s="19"/>
      <c r="E6" s="20" t="s">
        <v>22</v>
      </c>
      <c r="F6" s="19"/>
      <c r="G6" s="20"/>
      <c r="H6" s="20"/>
      <c r="I6" s="20"/>
      <c r="J6" s="20"/>
      <c r="K6" s="20"/>
      <c r="R6" s="13">
        <v>4</v>
      </c>
      <c r="S6" s="26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6">
        <v>0.19</v>
      </c>
    </row>
    <row r="8" spans="1:19" x14ac:dyDescent="0.2">
      <c r="A8" s="4" t="s">
        <v>13</v>
      </c>
      <c r="B8" s="12">
        <v>240</v>
      </c>
      <c r="C8" s="33" t="s">
        <v>16</v>
      </c>
      <c r="D8" s="34"/>
      <c r="E8" s="34"/>
      <c r="F8" s="34"/>
      <c r="G8" s="34"/>
      <c r="H8" s="21">
        <v>2.4</v>
      </c>
      <c r="I8" s="35" t="s">
        <v>11</v>
      </c>
      <c r="J8" s="36"/>
      <c r="R8" s="25" t="s">
        <v>26</v>
      </c>
      <c r="S8" s="26">
        <v>0.12</v>
      </c>
    </row>
    <row r="9" spans="1:19" x14ac:dyDescent="0.2">
      <c r="A9" s="7"/>
      <c r="B9" s="8"/>
      <c r="C9" s="33" t="s">
        <v>14</v>
      </c>
      <c r="D9" s="34"/>
      <c r="E9" s="34"/>
      <c r="F9" s="34"/>
      <c r="G9" s="34"/>
      <c r="H9" s="21">
        <v>1.56</v>
      </c>
      <c r="I9" s="35" t="s">
        <v>11</v>
      </c>
      <c r="J9" s="36"/>
      <c r="K9" s="3"/>
      <c r="R9" s="25" t="s">
        <v>27</v>
      </c>
      <c r="S9" s="26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21">
        <v>0.98</v>
      </c>
      <c r="I10" s="11" t="s">
        <v>11</v>
      </c>
      <c r="J10" s="12"/>
      <c r="K10" s="3"/>
      <c r="R10" s="25" t="s">
        <v>28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21">
        <v>0.62</v>
      </c>
      <c r="I11" s="11" t="s">
        <v>11</v>
      </c>
      <c r="J11" s="12"/>
      <c r="K11" s="2" t="s">
        <v>39</v>
      </c>
      <c r="R11" s="17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7"/>
    </row>
    <row r="13" spans="1:19" x14ac:dyDescent="0.2">
      <c r="A13" s="37" t="s">
        <v>2</v>
      </c>
      <c r="B13" s="38"/>
      <c r="C13" s="38"/>
      <c r="D13" s="37" t="s">
        <v>7</v>
      </c>
      <c r="E13" s="38"/>
      <c r="F13" s="28" t="s">
        <v>18</v>
      </c>
      <c r="G13" s="30" t="s">
        <v>1</v>
      </c>
      <c r="H13" s="37" t="s">
        <v>8</v>
      </c>
      <c r="I13" s="38"/>
      <c r="J13" s="30" t="s">
        <v>10</v>
      </c>
      <c r="K13" s="30" t="s">
        <v>5</v>
      </c>
      <c r="R13" s="17"/>
    </row>
    <row r="14" spans="1:19" ht="25.5" x14ac:dyDescent="0.2">
      <c r="A14" s="18" t="s">
        <v>3</v>
      </c>
      <c r="B14" s="18" t="s">
        <v>4</v>
      </c>
      <c r="C14" s="22" t="s">
        <v>17</v>
      </c>
      <c r="D14" s="18" t="s">
        <v>5</v>
      </c>
      <c r="E14" s="18" t="s">
        <v>6</v>
      </c>
      <c r="F14" s="29"/>
      <c r="G14" s="31"/>
      <c r="H14" s="23" t="s">
        <v>9</v>
      </c>
      <c r="I14" s="23" t="s">
        <v>6</v>
      </c>
      <c r="J14" s="31"/>
      <c r="K14" s="31"/>
      <c r="R14" s="17"/>
    </row>
    <row r="15" spans="1:19" x14ac:dyDescent="0.2">
      <c r="A15" s="2" t="s">
        <v>42</v>
      </c>
      <c r="B15" s="2" t="s">
        <v>43</v>
      </c>
      <c r="C15" s="5">
        <f>121+10</f>
        <v>131</v>
      </c>
      <c r="D15" s="6">
        <v>2.2000000000000002</v>
      </c>
      <c r="E15" s="6">
        <f>+D15</f>
        <v>2.2000000000000002</v>
      </c>
      <c r="F15" s="5">
        <f t="shared" ref="F15:F19" si="0">IF(E15="","",C15*E15)</f>
        <v>288.20000000000005</v>
      </c>
      <c r="G15" s="2">
        <v>4</v>
      </c>
      <c r="H15" s="6">
        <f t="shared" ref="H15:H19" si="1">IF(G15="","",F15*(2*(VLOOKUP(G15,$R$1:$S$10,2,FALSE)))/1000)</f>
        <v>0.17868400000000004</v>
      </c>
      <c r="I15" s="6">
        <f t="shared" ref="I15:I17" si="2">I16+H15</f>
        <v>3.8546640000000001</v>
      </c>
      <c r="J15" s="6">
        <f t="shared" ref="J15:J19" si="3">IF(G15="","",I15/$B$8*100)</f>
        <v>1.6061100000000001</v>
      </c>
      <c r="K15" s="2" t="str">
        <f t="shared" ref="K15:K19" si="4">IF(A15="","",A15)</f>
        <v>AB-5</v>
      </c>
      <c r="R15" s="17"/>
    </row>
    <row r="16" spans="1:19" x14ac:dyDescent="0.2">
      <c r="A16" s="2" t="str">
        <f t="shared" ref="A16:A19" si="5">B15</f>
        <v>AB-4</v>
      </c>
      <c r="B16" s="2" t="s">
        <v>44</v>
      </c>
      <c r="C16" s="5">
        <f>120+10</f>
        <v>130</v>
      </c>
      <c r="D16" s="6">
        <v>2.2000000000000002</v>
      </c>
      <c r="E16" s="6">
        <f t="shared" ref="E16:E19" si="6">E15+D16</f>
        <v>4.4000000000000004</v>
      </c>
      <c r="F16" s="5">
        <f t="shared" si="0"/>
        <v>572</v>
      </c>
      <c r="G16" s="2">
        <v>4</v>
      </c>
      <c r="H16" s="6">
        <f t="shared" si="1"/>
        <v>0.35464000000000001</v>
      </c>
      <c r="I16" s="6">
        <f t="shared" si="2"/>
        <v>3.67598</v>
      </c>
      <c r="J16" s="6">
        <f t="shared" si="3"/>
        <v>1.5316583333333333</v>
      </c>
      <c r="K16" s="2" t="str">
        <f t="shared" si="4"/>
        <v>AB-4</v>
      </c>
    </row>
    <row r="17" spans="1:11" x14ac:dyDescent="0.2">
      <c r="A17" s="2" t="str">
        <f t="shared" si="5"/>
        <v>AB-3</v>
      </c>
      <c r="B17" s="2" t="s">
        <v>45</v>
      </c>
      <c r="C17" s="5">
        <f>119+10</f>
        <v>129</v>
      </c>
      <c r="D17" s="6">
        <v>2.2000000000000002</v>
      </c>
      <c r="E17" s="6">
        <f t="shared" si="6"/>
        <v>6.6000000000000005</v>
      </c>
      <c r="F17" s="5">
        <f t="shared" si="0"/>
        <v>851.40000000000009</v>
      </c>
      <c r="G17" s="2">
        <v>4</v>
      </c>
      <c r="H17" s="6">
        <f t="shared" si="1"/>
        <v>0.527868</v>
      </c>
      <c r="I17" s="6">
        <f t="shared" si="2"/>
        <v>3.3213400000000002</v>
      </c>
      <c r="J17" s="6">
        <f t="shared" si="3"/>
        <v>1.3838916666666667</v>
      </c>
      <c r="K17" s="2" t="str">
        <f t="shared" si="4"/>
        <v>AB-3</v>
      </c>
    </row>
    <row r="18" spans="1:11" x14ac:dyDescent="0.2">
      <c r="A18" s="2" t="str">
        <f t="shared" si="5"/>
        <v>AB-2</v>
      </c>
      <c r="B18" s="2" t="s">
        <v>46</v>
      </c>
      <c r="C18" s="5">
        <f>137+10</f>
        <v>147</v>
      </c>
      <c r="D18" s="6">
        <v>2.2000000000000002</v>
      </c>
      <c r="E18" s="6">
        <f t="shared" si="6"/>
        <v>8.8000000000000007</v>
      </c>
      <c r="F18" s="5">
        <f t="shared" si="0"/>
        <v>1293.6000000000001</v>
      </c>
      <c r="G18" s="2">
        <v>4</v>
      </c>
      <c r="H18" s="6">
        <f t="shared" si="1"/>
        <v>0.80203200000000008</v>
      </c>
      <c r="I18" s="6">
        <f>I19+H18</f>
        <v>2.7934720000000004</v>
      </c>
      <c r="J18" s="6">
        <f t="shared" si="3"/>
        <v>1.1639466666666669</v>
      </c>
      <c r="K18" s="2" t="str">
        <f t="shared" si="4"/>
        <v>AB-2</v>
      </c>
    </row>
    <row r="19" spans="1:11" x14ac:dyDescent="0.2">
      <c r="A19" s="2" t="str">
        <f t="shared" si="5"/>
        <v>AB-1</v>
      </c>
      <c r="B19" s="2" t="s">
        <v>51</v>
      </c>
      <c r="C19" s="5">
        <f>38+160+84+10</f>
        <v>292</v>
      </c>
      <c r="D19" s="6">
        <v>2.2000000000000002</v>
      </c>
      <c r="E19" s="6">
        <f t="shared" si="6"/>
        <v>11</v>
      </c>
      <c r="F19" s="5">
        <f t="shared" si="0"/>
        <v>3212</v>
      </c>
      <c r="G19" s="2">
        <v>4</v>
      </c>
      <c r="H19" s="6">
        <f t="shared" si="1"/>
        <v>1.9914400000000001</v>
      </c>
      <c r="I19" s="6">
        <f>H19</f>
        <v>1.9914400000000001</v>
      </c>
      <c r="J19" s="6">
        <f t="shared" si="3"/>
        <v>0.82976666666666665</v>
      </c>
      <c r="K19" s="2" t="str">
        <f t="shared" si="4"/>
        <v>AB-1</v>
      </c>
    </row>
    <row r="20" spans="1:11" x14ac:dyDescent="0.2">
      <c r="A20" s="2"/>
      <c r="B20" s="2"/>
      <c r="C20" s="5"/>
      <c r="D20" s="6"/>
      <c r="E20" s="6"/>
      <c r="F20" s="5"/>
      <c r="G20" s="2"/>
      <c r="H20" s="6"/>
      <c r="I20" s="6"/>
      <c r="J20" s="6"/>
      <c r="K20" s="2"/>
    </row>
    <row r="21" spans="1:11" x14ac:dyDescent="0.2">
      <c r="A21" s="2"/>
      <c r="B21" s="2"/>
      <c r="C21" s="5"/>
      <c r="D21" s="6"/>
      <c r="E21" s="6"/>
      <c r="F21" s="5"/>
      <c r="G21" s="2"/>
      <c r="H21" s="6"/>
      <c r="I21" s="6"/>
      <c r="J21" s="6"/>
      <c r="K21" s="2"/>
    </row>
    <row r="22" spans="1:11" x14ac:dyDescent="0.2">
      <c r="A22" s="2"/>
      <c r="B22" s="2"/>
      <c r="C22" s="5"/>
      <c r="D22" s="6"/>
      <c r="E22" s="6"/>
      <c r="F22" s="5"/>
      <c r="G22" s="2"/>
      <c r="H22" s="6"/>
      <c r="I22" s="6"/>
      <c r="J22" s="6"/>
      <c r="K22" s="2"/>
    </row>
    <row r="23" spans="1:11" x14ac:dyDescent="0.2">
      <c r="A23" s="2"/>
      <c r="B23" s="2"/>
      <c r="C23" s="5"/>
      <c r="D23" s="6"/>
      <c r="E23" s="6"/>
      <c r="F23" s="5"/>
      <c r="G23" s="2"/>
      <c r="H23" s="6"/>
      <c r="I23" s="6"/>
      <c r="J23" s="6"/>
      <c r="K23" s="2"/>
    </row>
    <row r="24" spans="1:11" x14ac:dyDescent="0.2">
      <c r="A24" s="14"/>
      <c r="B24" s="14"/>
      <c r="C24" s="15"/>
      <c r="D24" s="16"/>
      <c r="E24" s="6"/>
      <c r="F24" s="5"/>
      <c r="G24" s="2"/>
      <c r="H24" s="6"/>
      <c r="I24" s="6"/>
      <c r="J24" s="6"/>
      <c r="K24" s="2"/>
    </row>
    <row r="25" spans="1:11" x14ac:dyDescent="0.2">
      <c r="A25" s="2"/>
      <c r="B25" s="2"/>
      <c r="C25" s="5"/>
      <c r="D25" s="6"/>
      <c r="E25" s="6"/>
      <c r="F25" s="5"/>
      <c r="G25" s="2"/>
      <c r="H25" s="6"/>
      <c r="I25" s="6"/>
      <c r="J25" s="6"/>
      <c r="K25" s="2"/>
    </row>
    <row r="26" spans="1:11" x14ac:dyDescent="0.2"/>
    <row r="27" spans="1:11" ht="12.75" hidden="1" customHeight="1" x14ac:dyDescent="0.2">
      <c r="A27" s="8">
        <v>120</v>
      </c>
    </row>
    <row r="28" spans="1:11" hidden="1" x14ac:dyDescent="0.2">
      <c r="A28" s="8">
        <v>240</v>
      </c>
      <c r="B28" s="8"/>
      <c r="D28" s="17"/>
    </row>
    <row r="29" spans="1:11" hidden="1" x14ac:dyDescent="0.2">
      <c r="A29" s="8">
        <v>480</v>
      </c>
      <c r="B29" s="17"/>
      <c r="D29" s="17"/>
    </row>
    <row r="30" spans="1:11" hidden="1" x14ac:dyDescent="0.2"/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D5:D6 G15:G25" xr:uid="{8B9E715F-D59E-4626-9190-DDBA394E3F4F}">
      <formula1>$R$1:$R$10</formula1>
    </dataValidation>
    <dataValidation type="list" allowBlank="1" showInputMessage="1" showErrorMessage="1" sqref="B8" xr:uid="{EC938164-55BD-4703-9AA1-716A121815E6}">
      <formula1>$A$27:$A$29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EA53B-BE3D-4D91-8012-58426655A8DE}">
  <sheetPr>
    <pageSetUpPr fitToPage="1"/>
  </sheetPr>
  <dimension ref="A1:S30"/>
  <sheetViews>
    <sheetView tabSelected="1" zoomScaleNormal="100" workbookViewId="0">
      <selection activeCell="G4" sqref="G4"/>
    </sheetView>
  </sheetViews>
  <sheetFormatPr defaultColWidth="0" defaultRowHeight="12.75" customHeight="1" zeroHeight="1" x14ac:dyDescent="0.2"/>
  <cols>
    <col min="1" max="2" width="11.7109375" customWidth="1"/>
    <col min="3" max="7" width="9.140625" customWidth="1"/>
    <col min="8" max="8" width="10.85546875" customWidth="1"/>
    <col min="9" max="10" width="9.140625" customWidth="1"/>
    <col min="11" max="11" width="11.42578125" bestFit="1" customWidth="1"/>
    <col min="12" max="19" width="0" hidden="1" customWidth="1"/>
    <col min="20" max="16384" width="9.140625" hidden="1"/>
  </cols>
  <sheetData>
    <row r="1" spans="1:19" ht="15.7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M1" s="13"/>
      <c r="R1" s="13">
        <v>14</v>
      </c>
      <c r="S1" s="26">
        <v>3.1</v>
      </c>
    </row>
    <row r="2" spans="1:19" ht="14.25" x14ac:dyDescent="0.2">
      <c r="A2" s="20" t="s">
        <v>24</v>
      </c>
      <c r="B2" s="20"/>
      <c r="C2" s="20"/>
      <c r="D2" s="20"/>
      <c r="E2" s="20"/>
      <c r="F2" s="20"/>
      <c r="G2" s="20" t="s">
        <v>29</v>
      </c>
      <c r="H2" s="20"/>
      <c r="I2" s="20"/>
      <c r="J2" s="20"/>
      <c r="K2" s="19">
        <v>2</v>
      </c>
      <c r="M2" s="13"/>
      <c r="R2" s="13">
        <v>12</v>
      </c>
      <c r="S2" s="26">
        <v>2</v>
      </c>
    </row>
    <row r="3" spans="1:19" ht="14.25" x14ac:dyDescent="0.2">
      <c r="A3" s="20" t="s">
        <v>23</v>
      </c>
      <c r="B3" s="20"/>
      <c r="C3" s="24" t="s">
        <v>51</v>
      </c>
      <c r="D3" s="20" t="s">
        <v>25</v>
      </c>
      <c r="E3" s="20" t="s">
        <v>40</v>
      </c>
      <c r="F3" s="20"/>
      <c r="G3" s="20"/>
      <c r="H3" s="20"/>
      <c r="I3" s="20"/>
      <c r="J3" s="20"/>
      <c r="K3" s="20"/>
      <c r="M3" s="13"/>
      <c r="R3" s="13">
        <v>10</v>
      </c>
      <c r="S3" s="26">
        <v>1.2</v>
      </c>
    </row>
    <row r="4" spans="1:19" ht="14.25" x14ac:dyDescent="0.2">
      <c r="A4" s="20" t="s">
        <v>19</v>
      </c>
      <c r="B4" s="20"/>
      <c r="C4" s="20">
        <v>480</v>
      </c>
      <c r="D4" s="20"/>
      <c r="E4" s="20"/>
      <c r="F4" s="20"/>
      <c r="G4" s="20"/>
      <c r="H4" s="20"/>
      <c r="I4" s="20"/>
      <c r="J4" s="20"/>
      <c r="K4" s="20"/>
      <c r="R4" s="13">
        <v>8</v>
      </c>
      <c r="S4" s="26">
        <v>0.78</v>
      </c>
    </row>
    <row r="5" spans="1:19" ht="14.25" x14ac:dyDescent="0.2">
      <c r="A5" s="20" t="s">
        <v>20</v>
      </c>
      <c r="B5" s="20"/>
      <c r="C5" s="20" t="s">
        <v>21</v>
      </c>
      <c r="D5" s="19">
        <v>4</v>
      </c>
      <c r="E5" s="20" t="s">
        <v>22</v>
      </c>
      <c r="F5" s="27">
        <f>IF(D5="","",VLOOKUP(D5,R1:S10,2,FALSE))</f>
        <v>0.31</v>
      </c>
      <c r="G5" s="20"/>
      <c r="H5" s="20"/>
      <c r="I5" s="20"/>
      <c r="J5" s="20"/>
      <c r="K5" s="20"/>
      <c r="R5" s="13">
        <v>6</v>
      </c>
      <c r="S5" s="26">
        <v>0.49</v>
      </c>
    </row>
    <row r="6" spans="1:19" ht="14.25" x14ac:dyDescent="0.2">
      <c r="A6" s="20"/>
      <c r="B6" s="20"/>
      <c r="C6" s="20" t="s">
        <v>21</v>
      </c>
      <c r="D6" s="19"/>
      <c r="E6" s="20" t="s">
        <v>22</v>
      </c>
      <c r="F6" s="19"/>
      <c r="G6" s="20"/>
      <c r="H6" s="20"/>
      <c r="I6" s="20"/>
      <c r="J6" s="20"/>
      <c r="K6" s="20"/>
      <c r="R6" s="13">
        <v>4</v>
      </c>
      <c r="S6" s="26">
        <v>0.31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3"/>
      <c r="R7" s="13">
        <v>2</v>
      </c>
      <c r="S7" s="26">
        <v>0.19</v>
      </c>
    </row>
    <row r="8" spans="1:19" x14ac:dyDescent="0.2">
      <c r="A8" s="4" t="s">
        <v>13</v>
      </c>
      <c r="B8" s="12">
        <v>240</v>
      </c>
      <c r="C8" s="33" t="s">
        <v>16</v>
      </c>
      <c r="D8" s="34"/>
      <c r="E8" s="34"/>
      <c r="F8" s="34"/>
      <c r="G8" s="34"/>
      <c r="H8" s="21">
        <v>2.4</v>
      </c>
      <c r="I8" s="35" t="s">
        <v>11</v>
      </c>
      <c r="J8" s="36"/>
      <c r="R8" s="25" t="s">
        <v>26</v>
      </c>
      <c r="S8" s="26">
        <v>0.12</v>
      </c>
    </row>
    <row r="9" spans="1:19" x14ac:dyDescent="0.2">
      <c r="A9" s="7"/>
      <c r="B9" s="8"/>
      <c r="C9" s="33" t="s">
        <v>14</v>
      </c>
      <c r="D9" s="34"/>
      <c r="E9" s="34"/>
      <c r="F9" s="34"/>
      <c r="G9" s="34"/>
      <c r="H9" s="21">
        <v>1.56</v>
      </c>
      <c r="I9" s="35" t="s">
        <v>11</v>
      </c>
      <c r="J9" s="36"/>
      <c r="K9" s="3"/>
      <c r="R9" s="25" t="s">
        <v>27</v>
      </c>
      <c r="S9" s="26">
        <v>0.1</v>
      </c>
    </row>
    <row r="10" spans="1:19" x14ac:dyDescent="0.2">
      <c r="A10" s="7"/>
      <c r="B10" s="8"/>
      <c r="C10" s="9" t="s">
        <v>15</v>
      </c>
      <c r="D10" s="10"/>
      <c r="E10" s="10"/>
      <c r="F10" s="10"/>
      <c r="G10" s="10"/>
      <c r="H10" s="21">
        <v>0.98</v>
      </c>
      <c r="I10" s="11" t="s">
        <v>11</v>
      </c>
      <c r="J10" s="12"/>
      <c r="K10" s="3"/>
      <c r="R10" s="25" t="s">
        <v>28</v>
      </c>
      <c r="S10">
        <v>7.9000000000000001E-2</v>
      </c>
    </row>
    <row r="11" spans="1:19" x14ac:dyDescent="0.2">
      <c r="A11" s="7"/>
      <c r="B11" s="8"/>
      <c r="C11" s="9" t="s">
        <v>12</v>
      </c>
      <c r="D11" s="10"/>
      <c r="E11" s="10"/>
      <c r="F11" s="10"/>
      <c r="G11" s="10"/>
      <c r="H11" s="21">
        <v>0.62</v>
      </c>
      <c r="I11" s="11" t="s">
        <v>11</v>
      </c>
      <c r="J11" s="12"/>
      <c r="K11" s="2" t="s">
        <v>41</v>
      </c>
      <c r="R11" s="17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R12" s="17"/>
    </row>
    <row r="13" spans="1:19" x14ac:dyDescent="0.2">
      <c r="A13" s="37" t="s">
        <v>2</v>
      </c>
      <c r="B13" s="38"/>
      <c r="C13" s="38"/>
      <c r="D13" s="37" t="s">
        <v>7</v>
      </c>
      <c r="E13" s="38"/>
      <c r="F13" s="28" t="s">
        <v>18</v>
      </c>
      <c r="G13" s="30" t="s">
        <v>1</v>
      </c>
      <c r="H13" s="37" t="s">
        <v>8</v>
      </c>
      <c r="I13" s="38"/>
      <c r="J13" s="30" t="s">
        <v>10</v>
      </c>
      <c r="K13" s="30" t="s">
        <v>5</v>
      </c>
      <c r="R13" s="17"/>
    </row>
    <row r="14" spans="1:19" ht="25.5" x14ac:dyDescent="0.2">
      <c r="A14" s="18" t="s">
        <v>3</v>
      </c>
      <c r="B14" s="18" t="s">
        <v>4</v>
      </c>
      <c r="C14" s="22" t="s">
        <v>17</v>
      </c>
      <c r="D14" s="18" t="s">
        <v>5</v>
      </c>
      <c r="E14" s="18" t="s">
        <v>6</v>
      </c>
      <c r="F14" s="29"/>
      <c r="G14" s="31"/>
      <c r="H14" s="23" t="s">
        <v>9</v>
      </c>
      <c r="I14" s="23" t="s">
        <v>6</v>
      </c>
      <c r="J14" s="31"/>
      <c r="K14" s="31"/>
      <c r="R14" s="17"/>
    </row>
    <row r="15" spans="1:19" x14ac:dyDescent="0.2">
      <c r="A15" s="2" t="s">
        <v>47</v>
      </c>
      <c r="B15" s="2" t="s">
        <v>48</v>
      </c>
      <c r="C15" s="5">
        <f>197+10</f>
        <v>207</v>
      </c>
      <c r="D15" s="6">
        <v>1.4</v>
      </c>
      <c r="E15" s="6">
        <f>+D15</f>
        <v>1.4</v>
      </c>
      <c r="F15" s="5">
        <f t="shared" ref="F15:F18" si="0">IF(E15="","",C15*E15)</f>
        <v>289.79999999999995</v>
      </c>
      <c r="G15" s="2">
        <v>4</v>
      </c>
      <c r="H15" s="6">
        <f t="shared" ref="H15:H18" si="1">IF(G15="","",F15*(2*(VLOOKUP(G15,$R$1:$S$10,2,FALSE)))/1000)</f>
        <v>0.17967599999999995</v>
      </c>
      <c r="I15" s="6">
        <f t="shared" ref="I15:I16" si="2">I16+H15</f>
        <v>1.6057999999999997</v>
      </c>
      <c r="J15" s="6">
        <f t="shared" ref="J15:J18" si="3">IF(G15="","",I15/$B$8*100)</f>
        <v>0.66908333333333314</v>
      </c>
      <c r="K15" s="2" t="str">
        <f t="shared" ref="K15:K18" si="4">IF(A15="","",A15)</f>
        <v>AC-4</v>
      </c>
      <c r="R15" s="17"/>
    </row>
    <row r="16" spans="1:19" x14ac:dyDescent="0.2">
      <c r="A16" s="2" t="str">
        <f t="shared" ref="A16:A18" si="5">B15</f>
        <v>AC-3</v>
      </c>
      <c r="B16" s="2" t="s">
        <v>49</v>
      </c>
      <c r="C16" s="5">
        <f>207+10</f>
        <v>217</v>
      </c>
      <c r="D16" s="6">
        <v>1.4</v>
      </c>
      <c r="E16" s="6">
        <f t="shared" ref="E16:E18" si="6">E15+D16</f>
        <v>2.8</v>
      </c>
      <c r="F16" s="5">
        <f t="shared" si="0"/>
        <v>607.59999999999991</v>
      </c>
      <c r="G16" s="2">
        <v>4</v>
      </c>
      <c r="H16" s="6">
        <f t="shared" si="1"/>
        <v>0.37671199999999994</v>
      </c>
      <c r="I16" s="6">
        <f t="shared" si="2"/>
        <v>1.4261239999999997</v>
      </c>
      <c r="J16" s="6">
        <f t="shared" si="3"/>
        <v>0.59421833333333329</v>
      </c>
      <c r="K16" s="2" t="str">
        <f t="shared" si="4"/>
        <v>AC-3</v>
      </c>
    </row>
    <row r="17" spans="1:11" x14ac:dyDescent="0.2">
      <c r="A17" s="2" t="str">
        <f t="shared" si="5"/>
        <v>AC-2</v>
      </c>
      <c r="B17" s="2" t="s">
        <v>50</v>
      </c>
      <c r="C17" s="5">
        <f>169+10</f>
        <v>179</v>
      </c>
      <c r="D17" s="6">
        <v>1.4</v>
      </c>
      <c r="E17" s="6">
        <f t="shared" si="6"/>
        <v>4.1999999999999993</v>
      </c>
      <c r="F17" s="5">
        <f t="shared" si="0"/>
        <v>751.79999999999984</v>
      </c>
      <c r="G17" s="2">
        <v>4</v>
      </c>
      <c r="H17" s="6">
        <f t="shared" si="1"/>
        <v>0.46611599999999986</v>
      </c>
      <c r="I17" s="6">
        <f>I18+H17</f>
        <v>1.0494119999999998</v>
      </c>
      <c r="J17" s="6">
        <f t="shared" si="3"/>
        <v>0.43725499999999995</v>
      </c>
      <c r="K17" s="2" t="str">
        <f t="shared" si="4"/>
        <v>AC-2</v>
      </c>
    </row>
    <row r="18" spans="1:11" x14ac:dyDescent="0.2">
      <c r="A18" s="2" t="str">
        <f t="shared" si="5"/>
        <v>AC-1</v>
      </c>
      <c r="B18" s="2" t="s">
        <v>51</v>
      </c>
      <c r="C18" s="5">
        <f>84+74+10</f>
        <v>168</v>
      </c>
      <c r="D18" s="6">
        <v>1.4</v>
      </c>
      <c r="E18" s="6">
        <f t="shared" si="6"/>
        <v>5.6</v>
      </c>
      <c r="F18" s="5">
        <f t="shared" si="0"/>
        <v>940.8</v>
      </c>
      <c r="G18" s="2">
        <v>4</v>
      </c>
      <c r="H18" s="6">
        <f t="shared" si="1"/>
        <v>0.58329599999999993</v>
      </c>
      <c r="I18" s="6">
        <f>H18</f>
        <v>0.58329599999999993</v>
      </c>
      <c r="J18" s="6">
        <f t="shared" si="3"/>
        <v>0.24303999999999998</v>
      </c>
      <c r="K18" s="2" t="str">
        <f t="shared" si="4"/>
        <v>AC-1</v>
      </c>
    </row>
    <row r="19" spans="1:11" x14ac:dyDescent="0.2">
      <c r="A19" s="2"/>
      <c r="B19" s="2"/>
      <c r="C19" s="5"/>
      <c r="D19" s="6"/>
      <c r="E19" s="6"/>
      <c r="F19" s="5"/>
      <c r="G19" s="2"/>
      <c r="H19" s="6"/>
      <c r="I19" s="6"/>
      <c r="J19" s="6"/>
      <c r="K19" s="2"/>
    </row>
    <row r="20" spans="1:11" x14ac:dyDescent="0.2">
      <c r="A20" s="2"/>
      <c r="B20" s="2"/>
      <c r="C20" s="5"/>
      <c r="D20" s="6"/>
      <c r="E20" s="6"/>
      <c r="F20" s="5"/>
      <c r="G20" s="2"/>
      <c r="H20" s="6"/>
      <c r="I20" s="6"/>
      <c r="J20" s="6"/>
      <c r="K20" s="2"/>
    </row>
    <row r="21" spans="1:11" x14ac:dyDescent="0.2">
      <c r="A21" s="2"/>
      <c r="B21" s="2"/>
      <c r="C21" s="5"/>
      <c r="D21" s="6"/>
      <c r="E21" s="6"/>
      <c r="F21" s="5"/>
      <c r="G21" s="2"/>
      <c r="H21" s="6"/>
      <c r="I21" s="6"/>
      <c r="J21" s="6"/>
      <c r="K21" s="2"/>
    </row>
    <row r="22" spans="1:11" x14ac:dyDescent="0.2">
      <c r="A22" s="2"/>
      <c r="B22" s="2"/>
      <c r="C22" s="5"/>
      <c r="D22" s="6"/>
      <c r="E22" s="6"/>
      <c r="F22" s="5"/>
      <c r="G22" s="2"/>
      <c r="H22" s="6"/>
      <c r="I22" s="6"/>
      <c r="J22" s="6"/>
      <c r="K22" s="2"/>
    </row>
    <row r="23" spans="1:11" x14ac:dyDescent="0.2">
      <c r="A23" s="14"/>
      <c r="B23" s="14"/>
      <c r="C23" s="15"/>
      <c r="D23" s="16"/>
      <c r="E23" s="6"/>
      <c r="F23" s="5"/>
      <c r="G23" s="2"/>
      <c r="H23" s="6"/>
      <c r="I23" s="6"/>
      <c r="J23" s="6"/>
      <c r="K23" s="2"/>
    </row>
    <row r="24" spans="1:11" x14ac:dyDescent="0.2">
      <c r="A24" s="2"/>
      <c r="B24" s="2"/>
      <c r="C24" s="5"/>
      <c r="D24" s="6"/>
      <c r="E24" s="6"/>
      <c r="F24" s="5"/>
      <c r="G24" s="2"/>
      <c r="H24" s="6"/>
      <c r="I24" s="6"/>
      <c r="J24" s="6"/>
      <c r="K24" s="2"/>
    </row>
    <row r="25" spans="1:11" x14ac:dyDescent="0.2"/>
    <row r="26" spans="1:11" x14ac:dyDescent="0.2">
      <c r="A26" s="8"/>
    </row>
    <row r="27" spans="1:11" ht="12.75" hidden="1" customHeight="1" x14ac:dyDescent="0.2">
      <c r="A27" s="8">
        <v>240</v>
      </c>
      <c r="B27" s="8"/>
      <c r="D27" s="17"/>
    </row>
    <row r="28" spans="1:11" hidden="1" x14ac:dyDescent="0.2">
      <c r="A28" s="8">
        <v>480</v>
      </c>
      <c r="B28" s="17"/>
      <c r="D28" s="17"/>
    </row>
    <row r="29" spans="1:11" hidden="1" x14ac:dyDescent="0.2"/>
    <row r="30" spans="1:11" hidden="1" x14ac:dyDescent="0.2"/>
  </sheetData>
  <mergeCells count="12">
    <mergeCell ref="J13:J14"/>
    <mergeCell ref="K13:K14"/>
    <mergeCell ref="A1:K1"/>
    <mergeCell ref="C8:G8"/>
    <mergeCell ref="I8:J8"/>
    <mergeCell ref="C9:G9"/>
    <mergeCell ref="I9:J9"/>
    <mergeCell ref="A13:C13"/>
    <mergeCell ref="D13:E13"/>
    <mergeCell ref="F13:F14"/>
    <mergeCell ref="G13:G14"/>
    <mergeCell ref="H13:I13"/>
  </mergeCells>
  <dataValidations count="2">
    <dataValidation type="list" allowBlank="1" showInputMessage="1" showErrorMessage="1" sqref="B8" xr:uid="{C30E568A-AC0D-44F2-A41A-E440D47D9604}">
      <formula1>$A$26:$A$28</formula1>
    </dataValidation>
    <dataValidation type="list" allowBlank="1" showInputMessage="1" showErrorMessage="1" sqref="D5:D6 G15:G24" xr:uid="{397D729A-14A7-44CC-8911-FCF170E98138}">
      <formula1>$R$1:$R$10</formula1>
    </dataValidation>
  </dataValidations>
  <pageMargins left="0.7" right="0.7" top="0.75" bottom="0.75" header="0.3" footer="0.3"/>
  <pageSetup scale="83" orientation="portrait" r:id="rId1"/>
  <headerFooter>
    <oddHeader xml:space="preserve">&amp;R
4/11/16
CALC: KWR
CHKD: DRB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5566A9EF6F54D81FD85FDE38B1A10" ma:contentTypeVersion="9" ma:contentTypeDescription="Create a new document." ma:contentTypeScope="" ma:versionID="65d02c62c6ba6a791774631a983a4334">
  <xsd:schema xmlns:xsd="http://www.w3.org/2001/XMLSchema" xmlns:xs="http://www.w3.org/2001/XMLSchema" xmlns:p="http://schemas.microsoft.com/office/2006/metadata/properties" xmlns:ns2="cdf5cfbf-cf86-4eb7-ac31-a9fd0075546e" targetNamespace="http://schemas.microsoft.com/office/2006/metadata/properties" ma:root="true" ma:fieldsID="5769d7150f2363f74b93521d7e0a0866" ns2:_=""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990DDF-75FE-4513-BE8D-2917F8F114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4568D6C-51A5-40F6-A532-7C6BAC697F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FCE8F8-37CB-4E29-AEDE-09EFF7D0C1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Circuit A</vt:lpstr>
      <vt:lpstr>Circuit B</vt:lpstr>
      <vt:lpstr>Circuit C</vt:lpstr>
      <vt:lpstr>'Circuit A'!Print_Area</vt:lpstr>
      <vt:lpstr>'Circuit B'!Print_Area</vt:lpstr>
      <vt:lpstr>'Circuit C'!Print_Area</vt:lpstr>
    </vt:vector>
  </TitlesOfParts>
  <Company>MS Consultants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Voltage Drop Calculations</dc:title>
  <dc:creator>ms consultants, inc.</dc:creator>
  <cp:lastModifiedBy>Watt, Jason</cp:lastModifiedBy>
  <cp:lastPrinted>2016-04-12T14:20:22Z</cp:lastPrinted>
  <dcterms:created xsi:type="dcterms:W3CDTF">2000-12-11T14:28:56Z</dcterms:created>
  <dcterms:modified xsi:type="dcterms:W3CDTF">2025-09-12T18:26:42Z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0x01010077A5566A9EF6F54D81FD85FDE38B1A10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