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ProjectData\SCI\107640_SCI_348_0656\Design\Structures\SCI348_0656C\EngData\"/>
    </mc:Choice>
  </mc:AlternateContent>
  <xr:revisionPtr revIDLastSave="0" documentId="13_ncr:1_{7E5D586F-AC3F-4AE6-9D09-A5CBFE75320F}" xr6:coauthVersionLast="36" xr6:coauthVersionMax="36" xr10:uidLastSave="{00000000-0000-0000-0000-000000000000}"/>
  <bookViews>
    <workbookView xWindow="0" yWindow="0" windowWidth="13740" windowHeight="10800" xr2:uid="{00000000-000D-0000-FFFF-FFFF00000000}"/>
  </bookViews>
  <sheets>
    <sheet name="Stru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6" i="1" l="1"/>
  <c r="B16" i="1"/>
  <c r="B15" i="1"/>
  <c r="K11" i="1"/>
  <c r="B5" i="1" l="1"/>
  <c r="K17" i="1" l="1"/>
  <c r="K15" i="1"/>
  <c r="H15" i="1"/>
  <c r="E15" i="1"/>
  <c r="E12" i="1" l="1"/>
  <c r="E16" i="1" s="1"/>
  <c r="K12" i="1" l="1"/>
  <c r="K16" i="1" s="1"/>
  <c r="H12" i="1"/>
  <c r="H16" i="1" s="1"/>
  <c r="B98" i="1"/>
  <c r="E88" i="1"/>
  <c r="O57" i="1"/>
  <c r="K57" i="1"/>
  <c r="G57" i="1"/>
  <c r="K98" i="1" l="1"/>
  <c r="H98" i="1"/>
  <c r="E98" i="1"/>
  <c r="H17" i="1"/>
  <c r="E17" i="1"/>
  <c r="B17" i="1"/>
  <c r="C22" i="1"/>
  <c r="E45" i="1" l="1"/>
  <c r="B45" i="1"/>
  <c r="E48" i="1" l="1"/>
  <c r="K99" i="1"/>
  <c r="H99" i="1"/>
  <c r="E99" i="1"/>
  <c r="B99" i="1"/>
  <c r="B6" i="1" l="1"/>
  <c r="B77" i="1"/>
  <c r="B84" i="1"/>
  <c r="F84" i="1" s="1"/>
  <c r="K96" i="1" l="1"/>
  <c r="H96" i="1"/>
  <c r="E96" i="1"/>
  <c r="B96" i="1"/>
  <c r="N67" i="1" l="1"/>
  <c r="O58" i="1"/>
  <c r="N58" i="1"/>
  <c r="K58" i="1"/>
  <c r="J58" i="1"/>
  <c r="G58" i="1"/>
  <c r="F58" i="1"/>
  <c r="C58" i="1"/>
  <c r="B58" i="1"/>
  <c r="J67" i="1"/>
  <c r="G67" i="1"/>
  <c r="C67" i="1"/>
  <c r="F67" i="1"/>
  <c r="B67" i="1"/>
  <c r="D23" i="1" l="1"/>
  <c r="C20" i="1"/>
  <c r="D21" i="1" s="1"/>
  <c r="E26" i="1" l="1"/>
  <c r="E25" i="1"/>
  <c r="K100" i="1"/>
  <c r="H100" i="1"/>
  <c r="E100" i="1"/>
  <c r="B100" i="1"/>
  <c r="F77" i="1"/>
  <c r="E91" i="1"/>
  <c r="B91" i="1"/>
  <c r="D107" i="1"/>
  <c r="E109" i="1" s="1"/>
  <c r="E46" i="1"/>
  <c r="B46" i="1"/>
  <c r="K36" i="1"/>
  <c r="E36" i="1"/>
  <c r="E49" i="1" l="1"/>
  <c r="F59" i="1"/>
  <c r="N59" i="1"/>
  <c r="J59" i="1"/>
  <c r="B59" i="1"/>
  <c r="F68" i="1"/>
  <c r="B68" i="1"/>
  <c r="E102" i="1"/>
  <c r="E92" i="1"/>
  <c r="E38" i="1"/>
  <c r="G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Zickafoose</author>
  </authors>
  <commentList>
    <comment ref="B5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wings along length of wing</t>
        </r>
      </text>
    </comment>
    <comment ref="C5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 at outside edge</t>
        </r>
      </text>
    </comment>
    <comment ref="C5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G57" authorId="0" shapeId="0" xr:uid="{3EFA9C3A-EBFC-419F-A2DD-C1DF58658F8A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K57" authorId="0" shapeId="0" xr:uid="{79AB4D3D-5615-4418-9E88-1E80DBD6376D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O57" authorId="0" shapeId="0" xr:uid="{5B894549-FB8F-4523-8C70-BA373F75B3B8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</commentList>
</comments>
</file>

<file path=xl/sharedStrings.xml><?xml version="1.0" encoding="utf-8"?>
<sst xmlns="http://schemas.openxmlformats.org/spreadsheetml/2006/main" count="374" uniqueCount="78">
  <si>
    <t>Item 511- Class QC1 Concrete, Footing</t>
  </si>
  <si>
    <t>Item 511- Class QC1 Concrete, Headwall</t>
  </si>
  <si>
    <t>Item 512 - Sealing of Concrete Surfaces (Epoxy-Urethane)</t>
  </si>
  <si>
    <t>Wingwall 1</t>
  </si>
  <si>
    <t xml:space="preserve">L = </t>
  </si>
  <si>
    <t xml:space="preserve">W = </t>
  </si>
  <si>
    <t xml:space="preserve">H = </t>
  </si>
  <si>
    <t>ft</t>
  </si>
  <si>
    <t xml:space="preserve">H1 = </t>
  </si>
  <si>
    <t xml:space="preserve">H2 = </t>
  </si>
  <si>
    <t>Wingwall 2</t>
  </si>
  <si>
    <t>Wingwall 3</t>
  </si>
  <si>
    <t>Wingwall 4</t>
  </si>
  <si>
    <t>TOTAL = L*W*[(H1+H2)/2]</t>
  </si>
  <si>
    <t xml:space="preserve">Total = 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</si>
  <si>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</si>
  <si>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Sum = </t>
  </si>
  <si>
    <t>CY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</si>
  <si>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</si>
  <si>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</si>
  <si>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Area from MicroStation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</si>
  <si>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Cutoff wall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</si>
  <si>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</si>
  <si>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Closure Pour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</si>
  <si>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</si>
  <si>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Total = 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3</t>
    </r>
  </si>
  <si>
    <t xml:space="preserve">Convert to CY = </t>
  </si>
  <si>
    <r>
      <t>L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= </t>
    </r>
  </si>
  <si>
    <r>
      <t>Total = L</t>
    </r>
    <r>
      <rPr>
        <sz val="11"/>
        <color theme="1"/>
        <rFont val="Calibri"/>
        <family val="2"/>
        <scheme val="minor"/>
      </rPr>
      <t>*W*H</t>
    </r>
  </si>
  <si>
    <t xml:space="preserve">D = </t>
  </si>
  <si>
    <t xml:space="preserve">A = Area from MicroStation = </t>
  </si>
  <si>
    <t>Total = A*D</t>
  </si>
  <si>
    <t>Item 516 - 1" Preformed Expansion Joint Filler</t>
  </si>
  <si>
    <t>SY</t>
  </si>
  <si>
    <t>SF</t>
  </si>
  <si>
    <t xml:space="preserve">Sides = </t>
  </si>
  <si>
    <t xml:space="preserve">T = H*W*2 = </t>
  </si>
  <si>
    <t xml:space="preserve">Convert to SY = </t>
  </si>
  <si>
    <t>Front</t>
  </si>
  <si>
    <r>
      <t>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 = </t>
    </r>
  </si>
  <si>
    <t>Back/Top</t>
  </si>
  <si>
    <t xml:space="preserve">Overhang = </t>
  </si>
  <si>
    <t xml:space="preserve">Width = </t>
  </si>
  <si>
    <t>Item 518 - Porous Backfill with Geotextile Fabric</t>
  </si>
  <si>
    <t>Item 511 - Class QC1 Concrete, Retaining/Wingwall Not Including Footing</t>
  </si>
  <si>
    <t>Minus Pipes and Weep Holes</t>
  </si>
  <si>
    <t xml:space="preserve">Weep Hole Vol. = </t>
  </si>
  <si>
    <t xml:space="preserve">pi*r^2*w = </t>
  </si>
  <si>
    <t xml:space="preserve"># Weep Holes = </t>
  </si>
  <si>
    <t xml:space="preserve">Pipe Vol. = </t>
  </si>
  <si>
    <t xml:space="preserve"># Pipes = </t>
  </si>
  <si>
    <r>
      <t>Total B/T= L*W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>+L*H</t>
    </r>
  </si>
  <si>
    <r>
      <t xml:space="preserve">Total F= </t>
    </r>
    <r>
      <rPr>
        <sz val="11"/>
        <color theme="1"/>
        <rFont val="Calibri"/>
        <family val="2"/>
        <scheme val="minor"/>
      </rPr>
      <t>L*H</t>
    </r>
  </si>
  <si>
    <t>Inside of Box</t>
  </si>
  <si>
    <t>Total Box = (L*W*S+L*H*S)*2</t>
  </si>
  <si>
    <t>Total = (L*[H1+H2]/2) + (L*W) + (W*H1) + (L*[H1+H2]/2)</t>
  </si>
  <si>
    <t>Front/Edge</t>
  </si>
  <si>
    <t>Face of Box</t>
  </si>
  <si>
    <t xml:space="preserve">Area of Opening = </t>
  </si>
  <si>
    <t>Total = [(L*W*H)-A]*S</t>
  </si>
  <si>
    <t>T=L*(W+O) =</t>
  </si>
  <si>
    <t xml:space="preserve">T= H*(L+O)*S = </t>
  </si>
  <si>
    <t>Item 202 - Wearing Course Removed</t>
  </si>
  <si>
    <t xml:space="preserve">Total = L*W/9 = </t>
  </si>
  <si>
    <t xml:space="preserve">**Convert to CY = </t>
  </si>
  <si>
    <t>**for information only</t>
  </si>
  <si>
    <t xml:space="preserve">Corner Total = </t>
  </si>
  <si>
    <t xml:space="preserve">Corner Area = </t>
  </si>
  <si>
    <t>Item 601 - RCP, Type A with Aggregate Filter</t>
  </si>
  <si>
    <t>Item 512 - Type 2 Waterproofing (Sides)</t>
  </si>
  <si>
    <t>Quantity Calculations for SCI-348-0656</t>
  </si>
  <si>
    <t>Item 512 - Type 3 Waterproofing (Top)</t>
  </si>
  <si>
    <t>East Footing</t>
  </si>
  <si>
    <t>West Footing</t>
  </si>
  <si>
    <t>East Headwall</t>
  </si>
  <si>
    <t>West Headwall</t>
  </si>
  <si>
    <t>East End</t>
  </si>
  <si>
    <t>West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</si>
</sst>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/>
    <xf numFmtId="164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1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9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7" fillId="0" borderId="0" xfId="0" applyFont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"/>
  <sheetViews>
    <sheetView tabSelected="1" workbookViewId="0">
      <selection activeCell="D4" sqref="D4"/>
    </sheetView>
  </sheetViews>
  <sheetFormatPr defaultRowHeight="15" x14ac:dyDescent="0.25"/>
  <cols>
    <col min="1" max="1" width="25.28515625" customWidth="1"/>
    <col min="2" max="2" width="13" customWidth="1"/>
    <col min="3" max="3" width="10.5703125" customWidth="1"/>
    <col min="4" max="4" width="10.140625" customWidth="1"/>
    <col min="5" max="5" width="10.5703125" bestFit="1" customWidth="1"/>
    <col min="6" max="6" width="12.7109375" customWidth="1"/>
    <col min="7" max="7" width="10.5703125" customWidth="1"/>
    <col min="10" max="10" width="10.140625" customWidth="1"/>
    <col min="11" max="11" width="11.140625" customWidth="1"/>
    <col min="14" max="14" width="10.140625" customWidth="1"/>
    <col min="15" max="15" width="10.5703125" customWidth="1"/>
  </cols>
  <sheetData>
    <row r="1" spans="1:12" ht="15.75" x14ac:dyDescent="0.25">
      <c r="A1" s="94" t="s">
        <v>70</v>
      </c>
      <c r="B1" s="94"/>
      <c r="C1" s="94"/>
      <c r="D1" s="94"/>
      <c r="E1" s="94"/>
      <c r="F1" s="94"/>
    </row>
    <row r="2" spans="1:12" ht="15.75" x14ac:dyDescent="0.25">
      <c r="A2" s="55"/>
      <c r="B2" s="55"/>
      <c r="C2" s="55"/>
      <c r="D2" s="55"/>
      <c r="E2" s="55"/>
      <c r="F2" s="55"/>
    </row>
    <row r="3" spans="1:12" ht="15.75" x14ac:dyDescent="0.25">
      <c r="A3" s="6" t="s">
        <v>62</v>
      </c>
      <c r="B3" s="55"/>
      <c r="C3" s="64"/>
      <c r="D3" s="55"/>
      <c r="E3" s="55"/>
      <c r="F3" s="55"/>
    </row>
    <row r="4" spans="1:12" x14ac:dyDescent="0.25">
      <c r="A4" s="65" t="s">
        <v>4</v>
      </c>
      <c r="B4" s="84">
        <v>21.75</v>
      </c>
      <c r="C4" s="66" t="s">
        <v>7</v>
      </c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 x14ac:dyDescent="0.3">
      <c r="A5" s="17" t="s">
        <v>5</v>
      </c>
      <c r="B5" s="83">
        <f>22+8/12</f>
        <v>22.666666666666668</v>
      </c>
      <c r="C5" s="67" t="s">
        <v>7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 x14ac:dyDescent="0.3">
      <c r="A6" s="54" t="s">
        <v>63</v>
      </c>
      <c r="B6" s="68">
        <f>ROUNDUP(B4*B5/9,0)</f>
        <v>55</v>
      </c>
      <c r="C6" s="19" t="s">
        <v>33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8"/>
      <c r="B7" s="86"/>
      <c r="C7" s="10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5">
      <c r="A8" s="6" t="s">
        <v>44</v>
      </c>
      <c r="B8" s="11"/>
    </row>
    <row r="9" spans="1:12" x14ac:dyDescent="0.25">
      <c r="A9" s="91" t="s">
        <v>3</v>
      </c>
      <c r="B9" s="92"/>
      <c r="C9" s="93"/>
      <c r="D9" s="91" t="s">
        <v>10</v>
      </c>
      <c r="E9" s="92"/>
      <c r="F9" s="93"/>
      <c r="G9" s="91" t="s">
        <v>11</v>
      </c>
      <c r="H9" s="92"/>
      <c r="I9" s="93"/>
      <c r="J9" s="91" t="s">
        <v>12</v>
      </c>
      <c r="K9" s="92"/>
      <c r="L9" s="93"/>
    </row>
    <row r="10" spans="1:12" ht="17.25" x14ac:dyDescent="0.25">
      <c r="A10" s="78" t="s">
        <v>67</v>
      </c>
      <c r="B10" s="82">
        <v>0.54010000000000002</v>
      </c>
      <c r="C10" s="35" t="s">
        <v>18</v>
      </c>
      <c r="D10" s="78" t="s">
        <v>67</v>
      </c>
      <c r="E10" s="82">
        <v>0</v>
      </c>
      <c r="F10" s="35" t="s">
        <v>18</v>
      </c>
      <c r="G10" s="78" t="s">
        <v>67</v>
      </c>
      <c r="H10" s="82">
        <v>1</v>
      </c>
      <c r="I10" s="35" t="s">
        <v>18</v>
      </c>
      <c r="J10" s="78" t="s">
        <v>67</v>
      </c>
      <c r="K10" s="82">
        <v>0.54010000000000002</v>
      </c>
      <c r="L10" s="35" t="s">
        <v>18</v>
      </c>
    </row>
    <row r="11" spans="1:12" x14ac:dyDescent="0.25">
      <c r="A11" s="76" t="s">
        <v>4</v>
      </c>
      <c r="B11" s="70">
        <v>15</v>
      </c>
      <c r="C11" s="35" t="s">
        <v>7</v>
      </c>
      <c r="D11" s="76" t="s">
        <v>4</v>
      </c>
      <c r="E11" s="70">
        <v>14</v>
      </c>
      <c r="F11" s="35" t="s">
        <v>7</v>
      </c>
      <c r="G11" s="76" t="s">
        <v>4</v>
      </c>
      <c r="H11" s="70">
        <v>14</v>
      </c>
      <c r="I11" s="35" t="s">
        <v>7</v>
      </c>
      <c r="J11" s="76" t="s">
        <v>4</v>
      </c>
      <c r="K11" s="90">
        <f>18+4/12</f>
        <v>18.333333333333332</v>
      </c>
      <c r="L11" s="35" t="s">
        <v>7</v>
      </c>
    </row>
    <row r="12" spans="1:12" x14ac:dyDescent="0.25">
      <c r="A12" s="76" t="s">
        <v>5</v>
      </c>
      <c r="B12" s="70">
        <v>1</v>
      </c>
      <c r="C12" s="35" t="s">
        <v>7</v>
      </c>
      <c r="D12" s="76" t="s">
        <v>5</v>
      </c>
      <c r="E12" s="70">
        <f>B12</f>
        <v>1</v>
      </c>
      <c r="F12" s="35" t="s">
        <v>7</v>
      </c>
      <c r="G12" s="76" t="s">
        <v>5</v>
      </c>
      <c r="H12" s="70">
        <f>B12</f>
        <v>1</v>
      </c>
      <c r="I12" s="35" t="s">
        <v>7</v>
      </c>
      <c r="J12" s="76" t="s">
        <v>5</v>
      </c>
      <c r="K12" s="70">
        <f>B12</f>
        <v>1</v>
      </c>
      <c r="L12" s="35" t="s">
        <v>7</v>
      </c>
    </row>
    <row r="13" spans="1:12" x14ac:dyDescent="0.25">
      <c r="A13" s="76" t="s">
        <v>8</v>
      </c>
      <c r="B13" s="70">
        <v>9</v>
      </c>
      <c r="C13" s="35" t="s">
        <v>7</v>
      </c>
      <c r="D13" s="76" t="s">
        <v>8</v>
      </c>
      <c r="E13" s="87">
        <v>9</v>
      </c>
      <c r="F13" s="35" t="s">
        <v>7</v>
      </c>
      <c r="G13" s="76" t="s">
        <v>8</v>
      </c>
      <c r="H13" s="87">
        <v>9</v>
      </c>
      <c r="I13" s="35" t="s">
        <v>7</v>
      </c>
      <c r="J13" s="76" t="s">
        <v>8</v>
      </c>
      <c r="K13" s="87">
        <v>9</v>
      </c>
      <c r="L13" s="35" t="s">
        <v>7</v>
      </c>
    </row>
    <row r="14" spans="1:12" x14ac:dyDescent="0.25">
      <c r="A14" s="71" t="s">
        <v>9</v>
      </c>
      <c r="B14" s="42">
        <v>9</v>
      </c>
      <c r="C14" s="38" t="s">
        <v>7</v>
      </c>
      <c r="D14" s="71" t="s">
        <v>9</v>
      </c>
      <c r="E14" s="42">
        <v>9</v>
      </c>
      <c r="F14" s="38" t="s">
        <v>7</v>
      </c>
      <c r="G14" s="71" t="s">
        <v>9</v>
      </c>
      <c r="H14" s="42">
        <v>5.5</v>
      </c>
      <c r="I14" s="38" t="s">
        <v>7</v>
      </c>
      <c r="J14" s="71" t="s">
        <v>9</v>
      </c>
      <c r="K14" s="42">
        <v>7.5</v>
      </c>
      <c r="L14" s="38" t="s">
        <v>7</v>
      </c>
    </row>
    <row r="15" spans="1:12" ht="17.25" x14ac:dyDescent="0.25">
      <c r="A15" s="77" t="s">
        <v>14</v>
      </c>
      <c r="B15" s="70">
        <f>$B$11*(($B$13+$B$14)/2)</f>
        <v>135</v>
      </c>
      <c r="C15" s="5" t="s">
        <v>18</v>
      </c>
      <c r="D15" s="77" t="s">
        <v>14</v>
      </c>
      <c r="E15" s="89">
        <f>$E$11*(($E$13+$E$14)/2)</f>
        <v>126</v>
      </c>
      <c r="F15" s="5" t="s">
        <v>18</v>
      </c>
      <c r="G15" s="77" t="s">
        <v>14</v>
      </c>
      <c r="H15" s="70">
        <f>$H11*(($H13+$H14)/2)</f>
        <v>101.5</v>
      </c>
      <c r="I15" s="5" t="s">
        <v>18</v>
      </c>
      <c r="J15" s="77" t="s">
        <v>14</v>
      </c>
      <c r="K15" s="70">
        <f>$K$11*(($K$13+$K$14)/2)</f>
        <v>151.25</v>
      </c>
      <c r="L15" s="5" t="s">
        <v>18</v>
      </c>
    </row>
    <row r="16" spans="1:12" ht="17.25" x14ac:dyDescent="0.25">
      <c r="A16" s="77" t="s">
        <v>14</v>
      </c>
      <c r="B16" s="70">
        <f>$B$11*$B$12*(($B$13+$B$14)/2)</f>
        <v>135</v>
      </c>
      <c r="C16" s="5" t="s">
        <v>15</v>
      </c>
      <c r="D16" s="77" t="s">
        <v>14</v>
      </c>
      <c r="E16" s="70">
        <f>$E$11*$E$12*(($E$13+$E$14)/2)</f>
        <v>126</v>
      </c>
      <c r="F16" s="5" t="s">
        <v>15</v>
      </c>
      <c r="G16" s="77" t="s">
        <v>14</v>
      </c>
      <c r="H16" s="70">
        <f>$H$11*$H$12*(($H$13+$H$14)/2)</f>
        <v>101.5</v>
      </c>
      <c r="I16" s="5" t="s">
        <v>15</v>
      </c>
      <c r="J16" s="77" t="s">
        <v>14</v>
      </c>
      <c r="K16" s="70">
        <f>$K$11*$K$12*(($K$13+$K$14)/2)</f>
        <v>151.25</v>
      </c>
      <c r="L16" s="5" t="s">
        <v>15</v>
      </c>
    </row>
    <row r="17" spans="1:14" ht="17.25" x14ac:dyDescent="0.25">
      <c r="A17" s="77" t="s">
        <v>66</v>
      </c>
      <c r="B17" s="70">
        <f>B10*B13</f>
        <v>4.8609</v>
      </c>
      <c r="C17" s="5" t="s">
        <v>15</v>
      </c>
      <c r="D17" s="77" t="s">
        <v>66</v>
      </c>
      <c r="E17" s="70">
        <f>E10*E13</f>
        <v>0</v>
      </c>
      <c r="F17" s="5" t="s">
        <v>15</v>
      </c>
      <c r="G17" s="77" t="s">
        <v>66</v>
      </c>
      <c r="H17" s="70">
        <f>H10*H13</f>
        <v>9</v>
      </c>
      <c r="I17" s="5" t="s">
        <v>15</v>
      </c>
      <c r="J17" s="77" t="s">
        <v>66</v>
      </c>
      <c r="K17" s="70">
        <f>K10*K13</f>
        <v>4.8609</v>
      </c>
      <c r="L17" s="5" t="s">
        <v>15</v>
      </c>
    </row>
    <row r="18" spans="1:14" x14ac:dyDescent="0.25">
      <c r="A18" t="s">
        <v>13</v>
      </c>
    </row>
    <row r="19" spans="1:14" x14ac:dyDescent="0.25">
      <c r="A19" s="15" t="s">
        <v>45</v>
      </c>
    </row>
    <row r="20" spans="1:14" ht="17.25" x14ac:dyDescent="0.25">
      <c r="A20" s="24" t="s">
        <v>46</v>
      </c>
      <c r="B20" s="2" t="s">
        <v>47</v>
      </c>
      <c r="C20" s="25">
        <f>PI()*(2/12)^2*1</f>
        <v>8.7266462599716474E-2</v>
      </c>
      <c r="D20" s="5" t="s">
        <v>15</v>
      </c>
    </row>
    <row r="21" spans="1:14" ht="17.25" x14ac:dyDescent="0.25">
      <c r="A21" s="24" t="s">
        <v>48</v>
      </c>
      <c r="B21" s="1">
        <v>9</v>
      </c>
      <c r="C21" s="2" t="s">
        <v>14</v>
      </c>
      <c r="D21" s="25">
        <f>B21*C20</f>
        <v>0.78539816339744828</v>
      </c>
      <c r="E21" s="5" t="s">
        <v>15</v>
      </c>
    </row>
    <row r="22" spans="1:14" ht="17.25" x14ac:dyDescent="0.25">
      <c r="A22" s="24" t="s">
        <v>49</v>
      </c>
      <c r="B22" t="s">
        <v>47</v>
      </c>
      <c r="C22" s="25">
        <f>PI()*(0)^2*1</f>
        <v>0</v>
      </c>
      <c r="D22" s="5" t="s">
        <v>15</v>
      </c>
    </row>
    <row r="23" spans="1:14" ht="17.25" x14ac:dyDescent="0.25">
      <c r="A23" s="24" t="s">
        <v>50</v>
      </c>
      <c r="B23" s="1">
        <v>0</v>
      </c>
      <c r="C23" s="2" t="s">
        <v>14</v>
      </c>
      <c r="D23" s="25">
        <f>B23*C22</f>
        <v>0</v>
      </c>
      <c r="E23" s="5" t="s">
        <v>15</v>
      </c>
    </row>
    <row r="24" spans="1:14" ht="15.75" thickBot="1" x14ac:dyDescent="0.3"/>
    <row r="25" spans="1:14" ht="15.75" thickBot="1" x14ac:dyDescent="0.3">
      <c r="C25" s="95" t="s">
        <v>37</v>
      </c>
      <c r="D25" s="96"/>
      <c r="E25" s="57">
        <f>ROUNDUP((B15+B17+E15+E17+H15+H17+K15+K17-D21)/9,0)</f>
        <v>60</v>
      </c>
      <c r="F25" s="19" t="s">
        <v>33</v>
      </c>
    </row>
    <row r="26" spans="1:14" ht="15.75" thickBot="1" x14ac:dyDescent="0.3">
      <c r="A26" s="69" t="s">
        <v>65</v>
      </c>
      <c r="C26" s="95" t="s">
        <v>64</v>
      </c>
      <c r="D26" s="96"/>
      <c r="E26" s="57">
        <f>ROUNDUP((B16+E16+H16+K16-D21-D23)/27,0)</f>
        <v>19</v>
      </c>
      <c r="F26" s="19" t="s">
        <v>17</v>
      </c>
    </row>
    <row r="27" spans="1:14" x14ac:dyDescent="0.25">
      <c r="D27" s="8"/>
      <c r="E27" s="9"/>
      <c r="F27" s="10"/>
    </row>
    <row r="28" spans="1:14" x14ac:dyDescent="0.25">
      <c r="A28" s="6" t="s">
        <v>0</v>
      </c>
    </row>
    <row r="29" spans="1:14" x14ac:dyDescent="0.25">
      <c r="A29" s="91" t="s">
        <v>72</v>
      </c>
      <c r="B29" s="92"/>
      <c r="C29" s="92"/>
      <c r="D29" s="92"/>
      <c r="E29" s="92"/>
      <c r="F29" s="93"/>
      <c r="G29" s="91" t="s">
        <v>73</v>
      </c>
      <c r="H29" s="92"/>
      <c r="I29" s="92"/>
      <c r="J29" s="92"/>
      <c r="K29" s="92"/>
      <c r="L29" s="93"/>
    </row>
    <row r="30" spans="1:14" ht="18.75" x14ac:dyDescent="0.35">
      <c r="A30" s="45"/>
      <c r="B30" s="5"/>
      <c r="C30" s="5"/>
      <c r="D30" s="77" t="s">
        <v>20</v>
      </c>
      <c r="E30" s="36">
        <v>348.57780000000002</v>
      </c>
      <c r="F30" s="35" t="s">
        <v>18</v>
      </c>
      <c r="G30" s="45"/>
      <c r="H30" s="5"/>
      <c r="I30" s="5"/>
      <c r="J30" s="77" t="s">
        <v>20</v>
      </c>
      <c r="K30" s="36">
        <v>380.07780000000002</v>
      </c>
      <c r="L30" s="35" t="s">
        <v>18</v>
      </c>
      <c r="N30" s="7"/>
    </row>
    <row r="31" spans="1:14" ht="18" x14ac:dyDescent="0.35">
      <c r="A31" s="45"/>
      <c r="B31" s="5"/>
      <c r="C31" s="5"/>
      <c r="D31" s="77" t="s">
        <v>19</v>
      </c>
      <c r="E31" s="34">
        <v>1.5</v>
      </c>
      <c r="F31" s="35" t="s">
        <v>7</v>
      </c>
      <c r="G31" s="45"/>
      <c r="H31" s="5"/>
      <c r="I31" s="5"/>
      <c r="J31" s="77" t="s">
        <v>19</v>
      </c>
      <c r="K31" s="34">
        <v>1.5</v>
      </c>
      <c r="L31" s="35" t="s">
        <v>7</v>
      </c>
    </row>
    <row r="32" spans="1:14" ht="18.75" x14ac:dyDescent="0.35">
      <c r="A32" s="45"/>
      <c r="B32" s="5"/>
      <c r="C32" s="5"/>
      <c r="D32" s="77" t="s">
        <v>21</v>
      </c>
      <c r="E32" s="36">
        <v>70.239099999999993</v>
      </c>
      <c r="F32" s="35" t="s">
        <v>18</v>
      </c>
      <c r="G32" s="45"/>
      <c r="H32" s="5"/>
      <c r="I32" s="5"/>
      <c r="J32" s="77" t="s">
        <v>21</v>
      </c>
      <c r="K32" s="36">
        <v>68.839299999999994</v>
      </c>
      <c r="L32" s="35" t="s">
        <v>18</v>
      </c>
    </row>
    <row r="33" spans="1:12" ht="18" x14ac:dyDescent="0.35">
      <c r="A33" s="45"/>
      <c r="B33" s="5"/>
      <c r="C33" s="5"/>
      <c r="D33" s="77" t="s">
        <v>22</v>
      </c>
      <c r="E33" s="34">
        <v>2.5</v>
      </c>
      <c r="F33" s="35" t="s">
        <v>7</v>
      </c>
      <c r="G33" s="45"/>
      <c r="H33" s="5"/>
      <c r="I33" s="5"/>
      <c r="J33" s="77" t="s">
        <v>22</v>
      </c>
      <c r="K33" s="34">
        <v>2.5</v>
      </c>
      <c r="L33" s="35" t="s">
        <v>7</v>
      </c>
    </row>
    <row r="34" spans="1:12" ht="18.75" x14ac:dyDescent="0.35">
      <c r="A34" s="45"/>
      <c r="B34" s="5"/>
      <c r="C34" s="5"/>
      <c r="D34" s="77" t="s">
        <v>23</v>
      </c>
      <c r="E34" s="36">
        <v>58.4</v>
      </c>
      <c r="F34" s="35" t="s">
        <v>18</v>
      </c>
      <c r="G34" s="45"/>
      <c r="H34" s="5"/>
      <c r="I34" s="5"/>
      <c r="J34" s="77" t="s">
        <v>23</v>
      </c>
      <c r="K34" s="36">
        <v>58.333329999999997</v>
      </c>
      <c r="L34" s="35" t="s">
        <v>18</v>
      </c>
    </row>
    <row r="35" spans="1:12" ht="18" x14ac:dyDescent="0.35">
      <c r="A35" s="62"/>
      <c r="B35" s="63"/>
      <c r="C35" s="63"/>
      <c r="D35" s="72" t="s">
        <v>24</v>
      </c>
      <c r="E35" s="42">
        <v>1</v>
      </c>
      <c r="F35" s="38" t="s">
        <v>7</v>
      </c>
      <c r="G35" s="62"/>
      <c r="H35" s="63"/>
      <c r="I35" s="63"/>
      <c r="J35" s="72" t="s">
        <v>24</v>
      </c>
      <c r="K35" s="42">
        <v>1</v>
      </c>
      <c r="L35" s="38" t="s">
        <v>7</v>
      </c>
    </row>
    <row r="36" spans="1:12" ht="17.25" x14ac:dyDescent="0.25">
      <c r="A36" s="5"/>
      <c r="B36" s="5"/>
      <c r="C36" s="5"/>
      <c r="D36" s="77" t="s">
        <v>14</v>
      </c>
      <c r="E36" s="70">
        <f>E30*E31+E32*E33+E34*E35</f>
        <v>756.86445000000003</v>
      </c>
      <c r="F36" s="5" t="s">
        <v>15</v>
      </c>
      <c r="G36" s="5"/>
      <c r="H36" s="5"/>
      <c r="I36" s="5"/>
      <c r="J36" s="77" t="s">
        <v>14</v>
      </c>
      <c r="K36" s="70">
        <f>K30*K31+K32*K33+K34*K35</f>
        <v>800.54828000000009</v>
      </c>
      <c r="L36" s="5" t="s">
        <v>15</v>
      </c>
    </row>
    <row r="37" spans="1:12" ht="18.75" thickBot="1" x14ac:dyDescent="0.4">
      <c r="A37" s="4" t="s">
        <v>25</v>
      </c>
      <c r="B37" s="4"/>
      <c r="C37" s="4"/>
      <c r="D37" s="3"/>
      <c r="E37" s="12"/>
      <c r="F37" s="4"/>
      <c r="G37" s="4"/>
      <c r="H37" s="4"/>
      <c r="I37" s="4"/>
      <c r="J37" s="3"/>
      <c r="K37" s="12"/>
      <c r="L37" s="4"/>
    </row>
    <row r="38" spans="1:12" ht="15.75" thickBot="1" x14ac:dyDescent="0.3">
      <c r="A38" s="4"/>
      <c r="B38" s="4"/>
      <c r="C38" s="97" t="s">
        <v>26</v>
      </c>
      <c r="D38" s="98"/>
      <c r="E38" s="20">
        <f>ROUNDUP((E36+K36)/27,0)</f>
        <v>58</v>
      </c>
      <c r="F38" s="21" t="s">
        <v>17</v>
      </c>
      <c r="G38" s="4"/>
      <c r="H38" s="4"/>
      <c r="I38" s="4"/>
      <c r="J38" s="3"/>
      <c r="K38" s="12"/>
      <c r="L38" s="4"/>
    </row>
    <row r="40" spans="1:12" x14ac:dyDescent="0.25">
      <c r="A40" s="6" t="s">
        <v>1</v>
      </c>
    </row>
    <row r="41" spans="1:12" x14ac:dyDescent="0.25">
      <c r="A41" s="91" t="s">
        <v>74</v>
      </c>
      <c r="B41" s="92"/>
      <c r="C41" s="93"/>
      <c r="D41" s="91" t="s">
        <v>75</v>
      </c>
      <c r="E41" s="92"/>
      <c r="F41" s="93"/>
    </row>
    <row r="42" spans="1:12" ht="18" x14ac:dyDescent="0.35">
      <c r="A42" s="76" t="s">
        <v>27</v>
      </c>
      <c r="B42" s="36">
        <v>20</v>
      </c>
      <c r="C42" s="35" t="s">
        <v>7</v>
      </c>
      <c r="D42" s="76" t="s">
        <v>27</v>
      </c>
      <c r="E42" s="36">
        <v>20</v>
      </c>
      <c r="F42" s="35" t="s">
        <v>7</v>
      </c>
    </row>
    <row r="43" spans="1:12" x14ac:dyDescent="0.25">
      <c r="A43" s="76" t="s">
        <v>5</v>
      </c>
      <c r="B43" s="70">
        <v>1</v>
      </c>
      <c r="C43" s="35" t="s">
        <v>7</v>
      </c>
      <c r="D43" s="76" t="s">
        <v>5</v>
      </c>
      <c r="E43" s="70">
        <v>1</v>
      </c>
      <c r="F43" s="35" t="s">
        <v>7</v>
      </c>
    </row>
    <row r="44" spans="1:12" x14ac:dyDescent="0.25">
      <c r="A44" s="71" t="s">
        <v>6</v>
      </c>
      <c r="B44" s="52">
        <v>1</v>
      </c>
      <c r="C44" s="38" t="s">
        <v>7</v>
      </c>
      <c r="D44" s="71" t="s">
        <v>6</v>
      </c>
      <c r="E44" s="52">
        <v>1</v>
      </c>
      <c r="F44" s="38" t="s">
        <v>7</v>
      </c>
    </row>
    <row r="45" spans="1:12" ht="17.25" x14ac:dyDescent="0.25">
      <c r="A45" s="76" t="s">
        <v>14</v>
      </c>
      <c r="B45" s="28">
        <f>B42*B44</f>
        <v>20</v>
      </c>
      <c r="C45" s="5" t="s">
        <v>18</v>
      </c>
      <c r="D45" s="77" t="s">
        <v>14</v>
      </c>
      <c r="E45" s="28">
        <f>E42*E44</f>
        <v>20</v>
      </c>
      <c r="F45" s="5" t="s">
        <v>18</v>
      </c>
    </row>
    <row r="46" spans="1:12" ht="17.25" x14ac:dyDescent="0.25">
      <c r="A46" s="76" t="s">
        <v>14</v>
      </c>
      <c r="B46" s="28">
        <f>B42*B43*B44</f>
        <v>20</v>
      </c>
      <c r="C46" s="5" t="s">
        <v>15</v>
      </c>
      <c r="D46" s="77" t="s">
        <v>14</v>
      </c>
      <c r="E46" s="28">
        <f>E42*E43*E44</f>
        <v>20</v>
      </c>
      <c r="F46" s="5" t="s">
        <v>15</v>
      </c>
    </row>
    <row r="47" spans="1:12" ht="15.75" thickBot="1" x14ac:dyDescent="0.3">
      <c r="A47" s="13" t="s">
        <v>28</v>
      </c>
    </row>
    <row r="48" spans="1:12" ht="15.75" thickBot="1" x14ac:dyDescent="0.3">
      <c r="A48" s="15"/>
      <c r="C48" s="97" t="s">
        <v>37</v>
      </c>
      <c r="D48" s="98"/>
      <c r="E48" s="56">
        <f>ROUNDUP((B45+E45)/9,0)</f>
        <v>5</v>
      </c>
      <c r="F48" s="21" t="s">
        <v>33</v>
      </c>
    </row>
    <row r="49" spans="1:16" ht="15.75" thickBot="1" x14ac:dyDescent="0.3">
      <c r="A49" s="15" t="s">
        <v>65</v>
      </c>
      <c r="C49" s="97" t="s">
        <v>64</v>
      </c>
      <c r="D49" s="98"/>
      <c r="E49" s="56">
        <f>ROUNDUP((B46+E46)/27,0)</f>
        <v>2</v>
      </c>
      <c r="F49" s="21" t="s">
        <v>17</v>
      </c>
    </row>
    <row r="51" spans="1:16" x14ac:dyDescent="0.25">
      <c r="A51" s="26" t="s">
        <v>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25">
      <c r="A52" s="91" t="s">
        <v>3</v>
      </c>
      <c r="B52" s="92"/>
      <c r="C52" s="92"/>
      <c r="D52" s="93"/>
      <c r="E52" s="91" t="s">
        <v>10</v>
      </c>
      <c r="F52" s="92"/>
      <c r="G52" s="92"/>
      <c r="H52" s="93"/>
      <c r="I52" s="91" t="s">
        <v>11</v>
      </c>
      <c r="J52" s="92"/>
      <c r="K52" s="92"/>
      <c r="L52" s="93"/>
      <c r="M52" s="91" t="s">
        <v>12</v>
      </c>
      <c r="N52" s="92"/>
      <c r="O52" s="92"/>
      <c r="P52" s="93"/>
    </row>
    <row r="53" spans="1:16" x14ac:dyDescent="0.25">
      <c r="A53" s="39"/>
      <c r="B53" s="40" t="s">
        <v>40</v>
      </c>
      <c r="C53" s="40" t="s">
        <v>56</v>
      </c>
      <c r="D53" s="41"/>
      <c r="E53" s="39"/>
      <c r="F53" s="40" t="s">
        <v>40</v>
      </c>
      <c r="G53" s="40" t="s">
        <v>56</v>
      </c>
      <c r="H53" s="41"/>
      <c r="I53" s="39"/>
      <c r="J53" s="40" t="s">
        <v>40</v>
      </c>
      <c r="K53" s="40" t="s">
        <v>56</v>
      </c>
      <c r="L53" s="41"/>
      <c r="M53" s="45"/>
      <c r="N53" s="40" t="s">
        <v>40</v>
      </c>
      <c r="O53" s="40" t="s">
        <v>56</v>
      </c>
      <c r="P53" s="35"/>
    </row>
    <row r="54" spans="1:16" x14ac:dyDescent="0.25">
      <c r="A54" s="76" t="s">
        <v>4</v>
      </c>
      <c r="B54" s="70">
        <v>16.079999999999998</v>
      </c>
      <c r="C54" s="88">
        <v>15</v>
      </c>
      <c r="D54" s="35" t="s">
        <v>7</v>
      </c>
      <c r="E54" s="76" t="s">
        <v>4</v>
      </c>
      <c r="F54" s="85">
        <v>14</v>
      </c>
      <c r="G54" s="70">
        <v>14</v>
      </c>
      <c r="H54" s="35" t="s">
        <v>7</v>
      </c>
      <c r="I54" s="76" t="s">
        <v>4</v>
      </c>
      <c r="J54" s="85">
        <v>16</v>
      </c>
      <c r="K54" s="70">
        <v>14</v>
      </c>
      <c r="L54" s="35" t="s">
        <v>7</v>
      </c>
      <c r="M54" s="76" t="s">
        <v>4</v>
      </c>
      <c r="N54" s="85">
        <v>19.414000000000001</v>
      </c>
      <c r="O54" s="70">
        <v>18.333300000000001</v>
      </c>
      <c r="P54" s="35" t="s">
        <v>7</v>
      </c>
    </row>
    <row r="55" spans="1:16" x14ac:dyDescent="0.25">
      <c r="A55" s="76" t="s">
        <v>5</v>
      </c>
      <c r="B55" s="105">
        <v>1</v>
      </c>
      <c r="C55" s="105"/>
      <c r="D55" s="35" t="s">
        <v>7</v>
      </c>
      <c r="E55" s="76" t="s">
        <v>5</v>
      </c>
      <c r="F55" s="105">
        <v>1</v>
      </c>
      <c r="G55" s="105"/>
      <c r="H55" s="35" t="s">
        <v>7</v>
      </c>
      <c r="I55" s="76" t="s">
        <v>5</v>
      </c>
      <c r="J55" s="105">
        <v>1</v>
      </c>
      <c r="K55" s="105"/>
      <c r="L55" s="35" t="s">
        <v>7</v>
      </c>
      <c r="M55" s="76" t="s">
        <v>5</v>
      </c>
      <c r="N55" s="105">
        <v>1</v>
      </c>
      <c r="O55" s="105"/>
      <c r="P55" s="35" t="s">
        <v>7</v>
      </c>
    </row>
    <row r="56" spans="1:16" x14ac:dyDescent="0.25">
      <c r="A56" s="76" t="s">
        <v>8</v>
      </c>
      <c r="B56" s="70">
        <v>0.5</v>
      </c>
      <c r="C56" s="70">
        <v>0.5</v>
      </c>
      <c r="D56" s="35" t="s">
        <v>7</v>
      </c>
      <c r="E56" s="76" t="s">
        <v>8</v>
      </c>
      <c r="F56" s="34">
        <v>0.5</v>
      </c>
      <c r="G56" s="70">
        <v>0.5</v>
      </c>
      <c r="H56" s="35" t="s">
        <v>7</v>
      </c>
      <c r="I56" s="76" t="s">
        <v>8</v>
      </c>
      <c r="J56" s="34">
        <v>0.5</v>
      </c>
      <c r="K56" s="70">
        <v>0.5</v>
      </c>
      <c r="L56" s="35" t="s">
        <v>7</v>
      </c>
      <c r="M56" s="76" t="s">
        <v>8</v>
      </c>
      <c r="N56" s="34">
        <v>0.5</v>
      </c>
      <c r="O56" s="70">
        <v>0.5</v>
      </c>
      <c r="P56" s="35" t="s">
        <v>7</v>
      </c>
    </row>
    <row r="57" spans="1:16" x14ac:dyDescent="0.25">
      <c r="A57" s="71" t="s">
        <v>9</v>
      </c>
      <c r="B57" s="42">
        <v>0.5</v>
      </c>
      <c r="C57" s="42">
        <v>8</v>
      </c>
      <c r="D57" s="38" t="s">
        <v>7</v>
      </c>
      <c r="E57" s="71" t="s">
        <v>9</v>
      </c>
      <c r="F57" s="42">
        <v>0.5</v>
      </c>
      <c r="G57" s="42">
        <f>C57</f>
        <v>8</v>
      </c>
      <c r="H57" s="38" t="s">
        <v>7</v>
      </c>
      <c r="I57" s="71" t="s">
        <v>9</v>
      </c>
      <c r="J57" s="37">
        <v>0.5</v>
      </c>
      <c r="K57" s="42">
        <f>C57</f>
        <v>8</v>
      </c>
      <c r="L57" s="38" t="s">
        <v>7</v>
      </c>
      <c r="M57" s="71" t="s">
        <v>9</v>
      </c>
      <c r="N57" s="37">
        <v>0.5</v>
      </c>
      <c r="O57" s="42">
        <f>C57</f>
        <v>8</v>
      </c>
      <c r="P57" s="38" t="s">
        <v>7</v>
      </c>
    </row>
    <row r="58" spans="1:16" ht="17.25" x14ac:dyDescent="0.25">
      <c r="A58" s="73" t="s">
        <v>14</v>
      </c>
      <c r="B58" s="43">
        <f>(B54*(B56+B57)/2)+(B54*B55)</f>
        <v>24.119999999999997</v>
      </c>
      <c r="C58" s="43">
        <f>(B55*C56)+(C54*(C56+C57)/2)</f>
        <v>64.25</v>
      </c>
      <c r="D58" s="44" t="s">
        <v>18</v>
      </c>
      <c r="E58" s="74" t="s">
        <v>14</v>
      </c>
      <c r="F58" s="43">
        <f>(F54*(F56+F57)/2)+(F54*F55)</f>
        <v>21</v>
      </c>
      <c r="G58" s="43">
        <f>(F55*G56)+(G54*(G56+G57)/2)</f>
        <v>60</v>
      </c>
      <c r="H58" s="44" t="s">
        <v>18</v>
      </c>
      <c r="I58" s="74" t="s">
        <v>14</v>
      </c>
      <c r="J58" s="43">
        <f>(J54*(J56+J57)/2)+(J54*J55)</f>
        <v>24</v>
      </c>
      <c r="K58" s="43">
        <f>(J55*K56)+(K54*(K56+K57)/2)</f>
        <v>60</v>
      </c>
      <c r="L58" s="44" t="s">
        <v>18</v>
      </c>
      <c r="M58" s="74" t="s">
        <v>14</v>
      </c>
      <c r="N58" s="43">
        <f>(N54*(N56+N57)/2)+(N54*N55)</f>
        <v>29.121000000000002</v>
      </c>
      <c r="O58" s="43">
        <f>(N55*O56)+(O54*(O56+O57)/2)</f>
        <v>78.416525000000007</v>
      </c>
      <c r="P58" s="44" t="s">
        <v>18</v>
      </c>
    </row>
    <row r="59" spans="1:16" ht="17.25" x14ac:dyDescent="0.25">
      <c r="A59" s="77" t="s">
        <v>16</v>
      </c>
      <c r="B59" s="105">
        <f>B58+C58</f>
        <v>88.37</v>
      </c>
      <c r="C59" s="105"/>
      <c r="D59" s="5" t="s">
        <v>18</v>
      </c>
      <c r="E59" s="77" t="s">
        <v>16</v>
      </c>
      <c r="F59" s="105">
        <f>F58+G58</f>
        <v>81</v>
      </c>
      <c r="G59" s="105"/>
      <c r="H59" s="5" t="s">
        <v>18</v>
      </c>
      <c r="I59" s="77" t="s">
        <v>16</v>
      </c>
      <c r="J59" s="105">
        <f>J58+K58</f>
        <v>84</v>
      </c>
      <c r="K59" s="105"/>
      <c r="L59" s="5" t="s">
        <v>18</v>
      </c>
      <c r="M59" s="77" t="s">
        <v>16</v>
      </c>
      <c r="N59" s="105">
        <f>N58+O58</f>
        <v>107.53752500000002</v>
      </c>
      <c r="O59" s="105"/>
      <c r="P59" s="5" t="s">
        <v>18</v>
      </c>
    </row>
    <row r="60" spans="1:16" x14ac:dyDescent="0.25">
      <c r="A60" s="13" t="s">
        <v>55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x14ac:dyDescent="0.25">
      <c r="A62" s="91" t="s">
        <v>74</v>
      </c>
      <c r="B62" s="92"/>
      <c r="C62" s="92"/>
      <c r="D62" s="93"/>
      <c r="E62" s="91" t="s">
        <v>75</v>
      </c>
      <c r="F62" s="92"/>
      <c r="G62" s="92"/>
      <c r="H62" s="93"/>
      <c r="I62" s="91" t="s">
        <v>53</v>
      </c>
      <c r="J62" s="92"/>
      <c r="K62" s="93"/>
      <c r="L62" s="102" t="s">
        <v>57</v>
      </c>
      <c r="M62" s="103"/>
      <c r="N62" s="103"/>
      <c r="O62" s="104"/>
      <c r="P62" s="23"/>
    </row>
    <row r="63" spans="1:16" x14ac:dyDescent="0.25">
      <c r="A63" s="39"/>
      <c r="B63" s="40" t="s">
        <v>40</v>
      </c>
      <c r="C63" s="40" t="s">
        <v>38</v>
      </c>
      <c r="D63" s="41"/>
      <c r="E63" s="39"/>
      <c r="F63" s="40" t="s">
        <v>40</v>
      </c>
      <c r="G63" s="40" t="s">
        <v>38</v>
      </c>
      <c r="H63" s="41"/>
      <c r="I63" s="76" t="s">
        <v>4</v>
      </c>
      <c r="J63" s="46">
        <v>2</v>
      </c>
      <c r="K63" s="47" t="s">
        <v>7</v>
      </c>
      <c r="L63" s="111" t="s">
        <v>5</v>
      </c>
      <c r="M63" s="112"/>
      <c r="N63" s="50">
        <v>20</v>
      </c>
      <c r="O63" s="35" t="s">
        <v>7</v>
      </c>
      <c r="P63" s="23"/>
    </row>
    <row r="64" spans="1:16" ht="18" x14ac:dyDescent="0.35">
      <c r="A64" s="76" t="s">
        <v>27</v>
      </c>
      <c r="B64" s="36">
        <v>20</v>
      </c>
      <c r="C64" s="36">
        <v>20</v>
      </c>
      <c r="D64" s="35" t="s">
        <v>7</v>
      </c>
      <c r="E64" s="76" t="s">
        <v>27</v>
      </c>
      <c r="F64" s="36">
        <v>20</v>
      </c>
      <c r="G64" s="36">
        <v>20</v>
      </c>
      <c r="H64" s="35" t="s">
        <v>7</v>
      </c>
      <c r="I64" s="76" t="s">
        <v>5</v>
      </c>
      <c r="J64" s="46">
        <v>18</v>
      </c>
      <c r="K64" s="35" t="s">
        <v>7</v>
      </c>
      <c r="L64" s="111" t="s">
        <v>6</v>
      </c>
      <c r="M64" s="112"/>
      <c r="N64" s="50">
        <v>8</v>
      </c>
      <c r="O64" s="35" t="s">
        <v>7</v>
      </c>
    </row>
    <row r="65" spans="1:16" ht="18" x14ac:dyDescent="0.35">
      <c r="A65" s="76" t="s">
        <v>39</v>
      </c>
      <c r="B65" s="105">
        <v>1</v>
      </c>
      <c r="C65" s="105"/>
      <c r="D65" s="35" t="s">
        <v>7</v>
      </c>
      <c r="E65" s="76" t="s">
        <v>39</v>
      </c>
      <c r="F65" s="105">
        <v>1</v>
      </c>
      <c r="G65" s="105"/>
      <c r="H65" s="35" t="s">
        <v>7</v>
      </c>
      <c r="I65" s="76" t="s">
        <v>6</v>
      </c>
      <c r="J65" s="46">
        <v>6</v>
      </c>
      <c r="K65" s="35" t="s">
        <v>7</v>
      </c>
      <c r="L65" s="111" t="s">
        <v>35</v>
      </c>
      <c r="M65" s="112"/>
      <c r="N65" s="46">
        <v>2</v>
      </c>
      <c r="O65" s="35"/>
      <c r="P65" s="23"/>
    </row>
    <row r="66" spans="1:16" ht="17.25" x14ac:dyDescent="0.25">
      <c r="A66" s="76" t="s">
        <v>6</v>
      </c>
      <c r="B66" s="36">
        <v>0.5</v>
      </c>
      <c r="C66" s="36">
        <v>1</v>
      </c>
      <c r="D66" s="35" t="s">
        <v>7</v>
      </c>
      <c r="E66" s="76" t="s">
        <v>6</v>
      </c>
      <c r="F66" s="36">
        <v>0.5</v>
      </c>
      <c r="G66" s="36">
        <v>1</v>
      </c>
      <c r="H66" s="35" t="s">
        <v>7</v>
      </c>
      <c r="I66" s="76" t="s">
        <v>35</v>
      </c>
      <c r="J66" s="46">
        <v>2</v>
      </c>
      <c r="K66" s="35"/>
      <c r="L66" s="106" t="s">
        <v>58</v>
      </c>
      <c r="M66" s="107"/>
      <c r="N66" s="48">
        <f>J64*J65</f>
        <v>108</v>
      </c>
      <c r="O66" s="38" t="s">
        <v>18</v>
      </c>
      <c r="P66" s="23"/>
    </row>
    <row r="67" spans="1:16" ht="17.25" x14ac:dyDescent="0.25">
      <c r="A67" s="73" t="s">
        <v>14</v>
      </c>
      <c r="B67" s="43">
        <f>(B64*B65)+(B64*B66)</f>
        <v>30</v>
      </c>
      <c r="C67" s="43">
        <f>(C64*C66)</f>
        <v>20</v>
      </c>
      <c r="D67" s="44" t="s">
        <v>18</v>
      </c>
      <c r="E67" s="73" t="s">
        <v>14</v>
      </c>
      <c r="F67" s="43">
        <f>(F64*F65)+(F64*F66)</f>
        <v>30</v>
      </c>
      <c r="G67" s="43">
        <f>(G64*G66)</f>
        <v>20</v>
      </c>
      <c r="H67" s="44" t="s">
        <v>18</v>
      </c>
      <c r="I67" s="73" t="s">
        <v>14</v>
      </c>
      <c r="J67" s="49">
        <f>(J63*J64*J66+J63*J65*J66)*2</f>
        <v>192</v>
      </c>
      <c r="K67" s="44" t="s">
        <v>18</v>
      </c>
      <c r="L67" s="108" t="s">
        <v>14</v>
      </c>
      <c r="M67" s="109"/>
      <c r="N67" s="51">
        <f>((N63*N64)-N66)*N65</f>
        <v>104</v>
      </c>
      <c r="O67" s="44" t="s">
        <v>18</v>
      </c>
      <c r="P67" s="23"/>
    </row>
    <row r="68" spans="1:16" ht="17.25" x14ac:dyDescent="0.25">
      <c r="A68" s="76" t="s">
        <v>16</v>
      </c>
      <c r="B68" s="110">
        <f>B67+C67</f>
        <v>50</v>
      </c>
      <c r="C68" s="110"/>
      <c r="D68" s="5" t="s">
        <v>18</v>
      </c>
      <c r="E68" s="77" t="s">
        <v>16</v>
      </c>
      <c r="F68" s="110">
        <f>F67+G67</f>
        <v>50</v>
      </c>
      <c r="G68" s="110"/>
      <c r="H68" s="5" t="s">
        <v>18</v>
      </c>
      <c r="I68" s="23" t="s">
        <v>54</v>
      </c>
      <c r="J68" s="23"/>
      <c r="K68" s="23"/>
      <c r="L68" s="23" t="s">
        <v>59</v>
      </c>
      <c r="M68" s="23"/>
      <c r="N68" s="23"/>
      <c r="O68" s="23"/>
      <c r="P68" s="23"/>
    </row>
    <row r="69" spans="1:16" ht="18.75" thickBot="1" x14ac:dyDescent="0.4">
      <c r="A69" s="13" t="s">
        <v>51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M69" s="23"/>
      <c r="N69" s="23"/>
      <c r="O69" s="23"/>
      <c r="P69" s="23"/>
    </row>
    <row r="70" spans="1:16" ht="15.75" thickBot="1" x14ac:dyDescent="0.3">
      <c r="A70" s="13" t="s">
        <v>52</v>
      </c>
      <c r="B70" s="23"/>
      <c r="C70" s="23"/>
      <c r="D70" s="23"/>
      <c r="E70" s="97" t="s">
        <v>37</v>
      </c>
      <c r="F70" s="98"/>
      <c r="G70" s="20">
        <f>ROUNDUP((B59+F59+J59+N59+B68+F68+J67+N67)/9,0)</f>
        <v>85</v>
      </c>
      <c r="H70" s="21" t="s">
        <v>33</v>
      </c>
      <c r="I70" s="23"/>
    </row>
    <row r="72" spans="1:16" x14ac:dyDescent="0.25">
      <c r="A72" s="26" t="s">
        <v>69</v>
      </c>
      <c r="B72" s="23"/>
      <c r="C72" s="23"/>
      <c r="D72" s="23"/>
      <c r="E72" s="23"/>
      <c r="F72" s="23"/>
      <c r="G72" s="23"/>
      <c r="I72" s="29"/>
      <c r="J72" s="30"/>
    </row>
    <row r="73" spans="1:16" x14ac:dyDescent="0.25">
      <c r="A73" s="32" t="s">
        <v>4</v>
      </c>
      <c r="B73" s="75">
        <v>92</v>
      </c>
      <c r="C73" s="33" t="s">
        <v>7</v>
      </c>
      <c r="D73" s="23"/>
      <c r="E73" s="23"/>
      <c r="F73" s="23"/>
      <c r="G73" s="23"/>
      <c r="I73" s="29"/>
      <c r="J73" s="30"/>
    </row>
    <row r="74" spans="1:16" x14ac:dyDescent="0.25">
      <c r="A74" s="76" t="s">
        <v>6</v>
      </c>
      <c r="B74" s="50">
        <v>8</v>
      </c>
      <c r="C74" s="35" t="s">
        <v>7</v>
      </c>
      <c r="D74" s="23"/>
      <c r="E74" s="23"/>
      <c r="F74" s="23"/>
      <c r="G74" s="23"/>
      <c r="I74" s="29"/>
      <c r="J74" s="31"/>
    </row>
    <row r="75" spans="1:16" x14ac:dyDescent="0.25">
      <c r="A75" s="76" t="s">
        <v>41</v>
      </c>
      <c r="B75" s="70">
        <v>1</v>
      </c>
      <c r="C75" s="35" t="s">
        <v>7</v>
      </c>
      <c r="D75" s="23"/>
      <c r="E75" s="23"/>
      <c r="F75" s="23"/>
      <c r="G75" s="23"/>
      <c r="I75" s="29"/>
      <c r="J75" s="31"/>
    </row>
    <row r="76" spans="1:16" ht="15.75" thickBot="1" x14ac:dyDescent="0.3">
      <c r="A76" s="71" t="s">
        <v>35</v>
      </c>
      <c r="B76" s="37">
        <v>2</v>
      </c>
      <c r="C76" s="38"/>
      <c r="D76" s="23"/>
      <c r="E76" s="23"/>
      <c r="F76" s="23"/>
      <c r="G76" s="23"/>
    </row>
    <row r="77" spans="1:16" ht="18" thickBot="1" x14ac:dyDescent="0.3">
      <c r="A77" s="27" t="s">
        <v>61</v>
      </c>
      <c r="B77" s="28">
        <f>(B73+(B75*2))*B74*2</f>
        <v>1504</v>
      </c>
      <c r="C77" s="23" t="s">
        <v>18</v>
      </c>
      <c r="D77" s="97" t="s">
        <v>37</v>
      </c>
      <c r="E77" s="98"/>
      <c r="F77" s="20">
        <f>ROUNDUP((B77)/9,0)</f>
        <v>168</v>
      </c>
      <c r="G77" s="21" t="s">
        <v>33</v>
      </c>
    </row>
    <row r="78" spans="1:16" x14ac:dyDescent="0.25">
      <c r="A78" s="14"/>
      <c r="H78" s="23"/>
    </row>
    <row r="79" spans="1:16" x14ac:dyDescent="0.25">
      <c r="A79" s="26" t="s">
        <v>71</v>
      </c>
      <c r="B79" s="23"/>
      <c r="C79" s="23"/>
      <c r="D79" s="23"/>
      <c r="E79" s="23"/>
      <c r="F79" s="23"/>
      <c r="G79" s="23"/>
      <c r="H79" s="23"/>
    </row>
    <row r="80" spans="1:16" x14ac:dyDescent="0.25">
      <c r="A80" s="32" t="s">
        <v>4</v>
      </c>
      <c r="B80" s="75">
        <v>92</v>
      </c>
      <c r="C80" s="33" t="s">
        <v>7</v>
      </c>
      <c r="D80" s="23"/>
      <c r="E80" s="23"/>
      <c r="F80" s="23"/>
      <c r="G80" s="23"/>
      <c r="H80" s="23"/>
    </row>
    <row r="81" spans="1:12" x14ac:dyDescent="0.25">
      <c r="A81" s="76" t="s">
        <v>42</v>
      </c>
      <c r="B81" s="36">
        <v>20</v>
      </c>
      <c r="C81" s="35" t="s">
        <v>7</v>
      </c>
      <c r="D81" s="23"/>
      <c r="E81" s="23"/>
      <c r="F81" s="23"/>
      <c r="G81" s="23"/>
      <c r="H81" s="23"/>
    </row>
    <row r="82" spans="1:12" x14ac:dyDescent="0.25">
      <c r="A82" s="76" t="s">
        <v>41</v>
      </c>
      <c r="B82" s="70">
        <v>1</v>
      </c>
      <c r="C82" s="35" t="s">
        <v>7</v>
      </c>
      <c r="D82" s="23"/>
      <c r="E82" s="23"/>
      <c r="F82" s="23"/>
      <c r="G82" s="23"/>
      <c r="H82" s="23"/>
    </row>
    <row r="83" spans="1:12" ht="15.75" thickBot="1" x14ac:dyDescent="0.3">
      <c r="A83" s="71" t="s">
        <v>35</v>
      </c>
      <c r="B83" s="37">
        <v>2</v>
      </c>
      <c r="C83" s="38"/>
      <c r="D83" s="23"/>
      <c r="E83" s="23"/>
      <c r="F83" s="23"/>
      <c r="G83" s="23"/>
      <c r="H83" s="23"/>
    </row>
    <row r="84" spans="1:12" ht="18" thickBot="1" x14ac:dyDescent="0.3">
      <c r="A84" s="27" t="s">
        <v>60</v>
      </c>
      <c r="B84" s="28">
        <f>B80*(B81+(B82*B83))</f>
        <v>2024</v>
      </c>
      <c r="C84" s="23" t="s">
        <v>18</v>
      </c>
      <c r="D84" s="97" t="s">
        <v>37</v>
      </c>
      <c r="E84" s="98"/>
      <c r="F84" s="20">
        <f>ROUNDUP((B84)/9,0)</f>
        <v>225</v>
      </c>
      <c r="G84" s="21" t="s">
        <v>33</v>
      </c>
      <c r="H84" s="23"/>
    </row>
    <row r="85" spans="1:12" x14ac:dyDescent="0.25">
      <c r="A85" s="53"/>
      <c r="H85" s="23"/>
    </row>
    <row r="86" spans="1:12" x14ac:dyDescent="0.25">
      <c r="A86" s="6" t="s">
        <v>32</v>
      </c>
    </row>
    <row r="87" spans="1:12" x14ac:dyDescent="0.25">
      <c r="A87" s="99" t="s">
        <v>76</v>
      </c>
      <c r="B87" s="100"/>
      <c r="C87" s="101"/>
      <c r="D87" s="102" t="s">
        <v>77</v>
      </c>
      <c r="E87" s="103"/>
      <c r="F87" s="104"/>
    </row>
    <row r="88" spans="1:12" x14ac:dyDescent="0.25">
      <c r="A88" s="78" t="s">
        <v>6</v>
      </c>
      <c r="B88" s="50">
        <v>9</v>
      </c>
      <c r="C88" s="35" t="s">
        <v>7</v>
      </c>
      <c r="D88" s="78" t="s">
        <v>6</v>
      </c>
      <c r="E88" s="50">
        <f>B88</f>
        <v>9</v>
      </c>
      <c r="F88" s="35" t="s">
        <v>7</v>
      </c>
    </row>
    <row r="89" spans="1:12" x14ac:dyDescent="0.25">
      <c r="A89" s="78" t="s">
        <v>5</v>
      </c>
      <c r="B89" s="34">
        <v>1</v>
      </c>
      <c r="C89" s="35" t="s">
        <v>7</v>
      </c>
      <c r="D89" s="78" t="s">
        <v>5</v>
      </c>
      <c r="E89" s="34">
        <v>1</v>
      </c>
      <c r="F89" s="35" t="s">
        <v>7</v>
      </c>
    </row>
    <row r="90" spans="1:12" x14ac:dyDescent="0.25">
      <c r="A90" s="79" t="s">
        <v>35</v>
      </c>
      <c r="B90" s="37">
        <v>2</v>
      </c>
      <c r="C90" s="38"/>
      <c r="D90" s="79" t="s">
        <v>35</v>
      </c>
      <c r="E90" s="37">
        <v>2</v>
      </c>
      <c r="F90" s="38"/>
    </row>
    <row r="91" spans="1:12" ht="18" thickBot="1" x14ac:dyDescent="0.3">
      <c r="A91" s="80" t="s">
        <v>36</v>
      </c>
      <c r="B91" s="28">
        <f>B88*B89*B90</f>
        <v>18</v>
      </c>
      <c r="C91" s="23" t="s">
        <v>18</v>
      </c>
      <c r="D91" s="81" t="s">
        <v>14</v>
      </c>
      <c r="E91" s="28">
        <f>E88*E89*E90</f>
        <v>18</v>
      </c>
      <c r="F91" s="23" t="s">
        <v>18</v>
      </c>
    </row>
    <row r="92" spans="1:12" ht="15.75" thickBot="1" x14ac:dyDescent="0.3">
      <c r="A92" s="16"/>
      <c r="B92" s="1"/>
      <c r="D92" s="22" t="s">
        <v>16</v>
      </c>
      <c r="E92" s="20">
        <f>ROUNDUP((B91+E91),0)</f>
        <v>36</v>
      </c>
      <c r="F92" s="21" t="s">
        <v>34</v>
      </c>
    </row>
    <row r="94" spans="1:12" x14ac:dyDescent="0.25">
      <c r="A94" s="26" t="s">
        <v>43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x14ac:dyDescent="0.25">
      <c r="A95" s="91" t="s">
        <v>3</v>
      </c>
      <c r="B95" s="92"/>
      <c r="C95" s="93"/>
      <c r="D95" s="91" t="s">
        <v>10</v>
      </c>
      <c r="E95" s="92"/>
      <c r="F95" s="93"/>
      <c r="G95" s="91" t="s">
        <v>11</v>
      </c>
      <c r="H95" s="92"/>
      <c r="I95" s="93"/>
      <c r="J95" s="91" t="s">
        <v>12</v>
      </c>
      <c r="K95" s="92"/>
      <c r="L95" s="93"/>
    </row>
    <row r="96" spans="1:12" x14ac:dyDescent="0.25">
      <c r="A96" s="76" t="s">
        <v>4</v>
      </c>
      <c r="B96" s="70">
        <f>B11</f>
        <v>15</v>
      </c>
      <c r="C96" s="35" t="s">
        <v>7</v>
      </c>
      <c r="D96" s="76" t="s">
        <v>4</v>
      </c>
      <c r="E96" s="70">
        <f>E11</f>
        <v>14</v>
      </c>
      <c r="F96" s="35" t="s">
        <v>7</v>
      </c>
      <c r="G96" s="76" t="s">
        <v>4</v>
      </c>
      <c r="H96" s="70">
        <f>H11</f>
        <v>14</v>
      </c>
      <c r="I96" s="35" t="s">
        <v>7</v>
      </c>
      <c r="J96" s="76" t="s">
        <v>4</v>
      </c>
      <c r="K96" s="70">
        <f>K11</f>
        <v>18.333333333333332</v>
      </c>
      <c r="L96" s="35" t="s">
        <v>7</v>
      </c>
    </row>
    <row r="97" spans="1:12" x14ac:dyDescent="0.25">
      <c r="A97" s="76" t="s">
        <v>5</v>
      </c>
      <c r="B97" s="70">
        <v>2</v>
      </c>
      <c r="C97" s="35" t="s">
        <v>7</v>
      </c>
      <c r="D97" s="76" t="s">
        <v>5</v>
      </c>
      <c r="E97" s="70">
        <v>2</v>
      </c>
      <c r="F97" s="35" t="s">
        <v>7</v>
      </c>
      <c r="G97" s="76" t="s">
        <v>5</v>
      </c>
      <c r="H97" s="70">
        <v>2</v>
      </c>
      <c r="I97" s="35" t="s">
        <v>7</v>
      </c>
      <c r="J97" s="76" t="s">
        <v>5</v>
      </c>
      <c r="K97" s="70">
        <v>2</v>
      </c>
      <c r="L97" s="35" t="s">
        <v>7</v>
      </c>
    </row>
    <row r="98" spans="1:12" x14ac:dyDescent="0.25">
      <c r="A98" s="76" t="s">
        <v>8</v>
      </c>
      <c r="B98" s="36">
        <f>B13-0.5</f>
        <v>8.5</v>
      </c>
      <c r="C98" s="35" t="s">
        <v>7</v>
      </c>
      <c r="D98" s="76" t="s">
        <v>8</v>
      </c>
      <c r="E98" s="36">
        <f>E13-0.5</f>
        <v>8.5</v>
      </c>
      <c r="F98" s="35" t="s">
        <v>7</v>
      </c>
      <c r="G98" s="76" t="s">
        <v>8</v>
      </c>
      <c r="H98" s="36">
        <f>H13-0.5</f>
        <v>8.5</v>
      </c>
      <c r="I98" s="35" t="s">
        <v>7</v>
      </c>
      <c r="J98" s="76" t="s">
        <v>8</v>
      </c>
      <c r="K98" s="36">
        <f>K13-0.5</f>
        <v>8.5</v>
      </c>
      <c r="L98" s="35" t="s">
        <v>7</v>
      </c>
    </row>
    <row r="99" spans="1:12" x14ac:dyDescent="0.25">
      <c r="A99" s="71" t="s">
        <v>9</v>
      </c>
      <c r="B99" s="52">
        <f>B14-0.5</f>
        <v>8.5</v>
      </c>
      <c r="C99" s="38" t="s">
        <v>7</v>
      </c>
      <c r="D99" s="71" t="s">
        <v>9</v>
      </c>
      <c r="E99" s="52">
        <f>E14-0.5</f>
        <v>8.5</v>
      </c>
      <c r="F99" s="38" t="s">
        <v>7</v>
      </c>
      <c r="G99" s="71" t="s">
        <v>9</v>
      </c>
      <c r="H99" s="52">
        <f>H14-0.5</f>
        <v>5</v>
      </c>
      <c r="I99" s="38" t="s">
        <v>7</v>
      </c>
      <c r="J99" s="71" t="s">
        <v>9</v>
      </c>
      <c r="K99" s="52">
        <f>K14-0.5</f>
        <v>7</v>
      </c>
      <c r="L99" s="38" t="s">
        <v>7</v>
      </c>
    </row>
    <row r="100" spans="1:12" ht="17.25" x14ac:dyDescent="0.25">
      <c r="A100" s="77" t="s">
        <v>14</v>
      </c>
      <c r="B100" s="70">
        <f>B96*B97*((B98+B99)/2)</f>
        <v>255</v>
      </c>
      <c r="C100" s="5" t="s">
        <v>15</v>
      </c>
      <c r="D100" s="77" t="s">
        <v>14</v>
      </c>
      <c r="E100" s="70">
        <f>E96*E97*((E98+E99)/2)</f>
        <v>238</v>
      </c>
      <c r="F100" s="5" t="s">
        <v>15</v>
      </c>
      <c r="G100" s="77" t="s">
        <v>14</v>
      </c>
      <c r="H100" s="70">
        <f>H96*H97*((H98+H99)/2)</f>
        <v>189</v>
      </c>
      <c r="I100" s="5" t="s">
        <v>15</v>
      </c>
      <c r="J100" s="77" t="s">
        <v>14</v>
      </c>
      <c r="K100" s="70">
        <f>K96*K97*((K98+K99)/2)</f>
        <v>284.16666666666663</v>
      </c>
      <c r="L100" s="5" t="s">
        <v>15</v>
      </c>
    </row>
    <row r="101" spans="1:12" ht="15.75" thickBot="1" x14ac:dyDescent="0.3">
      <c r="A101" s="23" t="s">
        <v>13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.75" thickBot="1" x14ac:dyDescent="0.3">
      <c r="A102" s="23"/>
      <c r="B102" s="23"/>
      <c r="C102" s="95" t="s">
        <v>26</v>
      </c>
      <c r="D102" s="96"/>
      <c r="E102" s="18">
        <f>ROUNDUP((B100+E100+H100+K100)/27,0)</f>
        <v>36</v>
      </c>
      <c r="F102" s="19" t="s">
        <v>17</v>
      </c>
      <c r="G102" s="23"/>
      <c r="H102" s="23"/>
      <c r="I102" s="23"/>
      <c r="J102" s="23"/>
      <c r="K102" s="23"/>
      <c r="L102" s="23"/>
    </row>
    <row r="104" spans="1:12" x14ac:dyDescent="0.25">
      <c r="A104" s="26" t="s">
        <v>68</v>
      </c>
      <c r="B104" s="23"/>
      <c r="C104" s="23"/>
      <c r="D104" s="23"/>
      <c r="E104" s="23"/>
      <c r="F104" s="23"/>
    </row>
    <row r="105" spans="1:12" ht="17.25" x14ac:dyDescent="0.25">
      <c r="A105" s="58"/>
      <c r="B105" s="59"/>
      <c r="C105" s="60" t="s">
        <v>30</v>
      </c>
      <c r="D105" s="61">
        <v>527.31569999999999</v>
      </c>
      <c r="E105" s="33" t="s">
        <v>18</v>
      </c>
      <c r="F105" s="23"/>
    </row>
    <row r="106" spans="1:12" x14ac:dyDescent="0.25">
      <c r="A106" s="45"/>
      <c r="B106" s="5"/>
      <c r="C106" s="77" t="s">
        <v>29</v>
      </c>
      <c r="D106" s="34">
        <v>3</v>
      </c>
      <c r="E106" s="35" t="s">
        <v>7</v>
      </c>
      <c r="F106" s="23"/>
    </row>
    <row r="107" spans="1:12" ht="17.25" x14ac:dyDescent="0.25">
      <c r="A107" s="62"/>
      <c r="B107" s="63"/>
      <c r="C107" s="72" t="s">
        <v>14</v>
      </c>
      <c r="D107" s="52">
        <f>D105*D106</f>
        <v>1581.9470999999999</v>
      </c>
      <c r="E107" s="38" t="s">
        <v>15</v>
      </c>
      <c r="F107" s="23"/>
    </row>
    <row r="108" spans="1:12" ht="15.75" thickBot="1" x14ac:dyDescent="0.3">
      <c r="A108" s="23" t="s">
        <v>31</v>
      </c>
      <c r="B108" s="23"/>
      <c r="C108" s="23"/>
      <c r="D108" s="23"/>
      <c r="E108" s="23"/>
      <c r="F108" s="23"/>
    </row>
    <row r="109" spans="1:12" ht="15.75" thickBot="1" x14ac:dyDescent="0.3">
      <c r="A109" s="23"/>
      <c r="B109" s="23"/>
      <c r="C109" s="97" t="s">
        <v>26</v>
      </c>
      <c r="D109" s="98"/>
      <c r="E109" s="20">
        <f>ROUNDUP((D107)/27,0)</f>
        <v>59</v>
      </c>
      <c r="F109" s="21" t="s">
        <v>17</v>
      </c>
    </row>
  </sheetData>
  <mergeCells count="50">
    <mergeCell ref="I62:K62"/>
    <mergeCell ref="L62:O62"/>
    <mergeCell ref="L63:M63"/>
    <mergeCell ref="L64:M64"/>
    <mergeCell ref="L65:M65"/>
    <mergeCell ref="L66:M66"/>
    <mergeCell ref="L67:M67"/>
    <mergeCell ref="G95:I95"/>
    <mergeCell ref="J95:L95"/>
    <mergeCell ref="C102:D102"/>
    <mergeCell ref="B68:C68"/>
    <mergeCell ref="F68:G68"/>
    <mergeCell ref="D84:E84"/>
    <mergeCell ref="M52:P52"/>
    <mergeCell ref="B59:C59"/>
    <mergeCell ref="F59:G59"/>
    <mergeCell ref="J59:K59"/>
    <mergeCell ref="N59:O59"/>
    <mergeCell ref="B55:C55"/>
    <mergeCell ref="F55:G55"/>
    <mergeCell ref="J55:K55"/>
    <mergeCell ref="A52:D52"/>
    <mergeCell ref="E52:H52"/>
    <mergeCell ref="I52:L52"/>
    <mergeCell ref="N55:O55"/>
    <mergeCell ref="A41:C41"/>
    <mergeCell ref="D41:F41"/>
    <mergeCell ref="C48:D48"/>
    <mergeCell ref="C109:D109"/>
    <mergeCell ref="A87:C87"/>
    <mergeCell ref="D87:F87"/>
    <mergeCell ref="D77:E77"/>
    <mergeCell ref="A95:C95"/>
    <mergeCell ref="D95:F95"/>
    <mergeCell ref="E70:F70"/>
    <mergeCell ref="B65:C65"/>
    <mergeCell ref="F65:G65"/>
    <mergeCell ref="A62:D62"/>
    <mergeCell ref="E62:H62"/>
    <mergeCell ref="C49:D49"/>
    <mergeCell ref="A29:F29"/>
    <mergeCell ref="G29:L29"/>
    <mergeCell ref="A1:F1"/>
    <mergeCell ref="C25:D25"/>
    <mergeCell ref="C38:D38"/>
    <mergeCell ref="A9:C9"/>
    <mergeCell ref="D9:F9"/>
    <mergeCell ref="G9:I9"/>
    <mergeCell ref="J9:L9"/>
    <mergeCell ref="C26:D2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Structure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Joshua Zickafoose</cp:lastModifiedBy>
  <dcterms:created xsi:type="dcterms:W3CDTF">2015-06-30T11:25:24Z</dcterms:created>
  <dcterms:modified xsi:type="dcterms:W3CDTF">2020-12-28T19:06:17Z</dcterms:modified>
</cp:coreProperties>
</file>