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c:\users\kgindling\appdata\local\bentley\projectwise\workingdir\ohiodot-pw.bentley.com_ohiodot-pw-02\kendallgindling@stoneenvironmental.com\d1245562\"/>
    </mc:Choice>
  </mc:AlternateContent>
  <xr:revisionPtr revIDLastSave="0" documentId="13_ncr:1_{33E80F09-84C4-4E35-A9BC-3217FF66AEA6}" xr6:coauthVersionLast="47" xr6:coauthVersionMax="47" xr10:uidLastSave="{00000000-0000-0000-0000-000000000000}"/>
  <bookViews>
    <workbookView xWindow="-38520" yWindow="-120" windowWidth="38640" windowHeight="21120" tabRatio="818" firstSheet="1" activeTab="1"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s) Closed on Multi-Ln Ramp" sheetId="14"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History'!$A$3:$B$65</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2">'Lane(s) Closed Calc Method'!$A$1:$O$45</definedName>
    <definedName name="_xlnm.Print_Area" localSheetId="1">'Lane(s) Closed on Mainline'!$A$1:$E$31</definedName>
    <definedName name="_xlnm.Print_Area" localSheetId="4">'Lane(s) Closed on Multi-Ln Ramp'!$B$1:$F$32</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3" i="5" l="1"/>
  <c r="F23" i="5"/>
  <c r="E23" i="5"/>
  <c r="G22" i="5"/>
  <c r="F22" i="5"/>
  <c r="E22" i="5"/>
  <c r="E13" i="14"/>
  <c r="D13" i="14"/>
  <c r="E15" i="1"/>
  <c r="D15" i="1"/>
  <c r="E16" i="7"/>
  <c r="D16" i="7"/>
  <c r="E14" i="8"/>
  <c r="D14" i="8"/>
  <c r="D17" i="8" s="1"/>
  <c r="D18" i="8" s="1"/>
  <c r="D19" i="8" s="1"/>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5" i="14" l="1"/>
  <c r="D15" i="10"/>
  <c r="E15" i="10"/>
  <c r="F24" i="5"/>
  <c r="F25" i="5" s="1"/>
  <c r="F26" i="5" s="1"/>
  <c r="F27" i="5" s="1"/>
  <c r="F28" i="5" s="1"/>
  <c r="F29" i="5" s="1"/>
  <c r="F30" i="5" s="1"/>
  <c r="F31" i="5" s="1"/>
  <c r="F32" i="5" s="1"/>
  <c r="F33" i="5" s="1"/>
  <c r="F34" i="5" s="1"/>
  <c r="F13" i="5"/>
  <c r="G20" i="5"/>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D20" i="8" s="1"/>
  <c r="D21" i="8" s="1"/>
  <c r="F9" i="5"/>
  <c r="F17" i="5"/>
  <c r="G15" i="5"/>
  <c r="G10" i="5"/>
  <c r="D16" i="14" l="1"/>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<sst xmlns="http://schemas.openxmlformats.org/spreadsheetml/2006/main" count="299" uniqueCount="211">
  <si>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</si>
  <si>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</si>
  <si>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</si>
  <si>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</si>
  <si>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</si>
  <si>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</si>
  <si>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</si>
  <si>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</si>
  <si>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</si>
  <si>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</si>
  <si>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</si>
  <si>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</si>
  <si>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</si>
  <si>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</si>
  <si>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</si>
  <si>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</si>
  <si>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</si>
  <si>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</si>
  <si>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</si>
  <si>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</si>
  <si>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</si>
  <si>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</si>
  <si>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</si>
  <si>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</si>
  <si>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</si>
  <si>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</si>
  <si>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</si>
  <si>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</si>
  <si>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</si>
  <si>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</si>
  <si>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</si>
  <si>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</si>
  <si>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</si>
  <si>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</si>
  <si>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</si>
  <si>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</si>
  <si>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</si>
  <si>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</si>
  <si>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</si>
  <si>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</si>
  <si>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</si>
  <si>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</si>
  <si>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</si>
  <si>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</si>
  <si>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</si>
  <si>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</si>
  <si>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</si>
  <si>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</si>
  <si>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</si>
  <si>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</si>
  <si>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</si>
  <si>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</si>
  <si>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</si>
  <si>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</si>
  <si>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</si>
  <si>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</si>
  <si>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</si>
  <si>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</si>
  <si>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</si>
  <si>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</si>
  <si>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</si>
  <si>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</si>
  <si>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</si>
  <si>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</si>
  <si>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</si>
  <si>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</si>
  <si>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</si>
  <si>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</si>
  <si>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</si>
  <si>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</si>
  <si>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</si>
  <si>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</si>
  <si>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</si>
  <si>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</si>
  <si>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</si>
  <si>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</si>
  <si>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</si>
  <si>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</si>
  <si>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</si>
  <si>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</si>
  <si>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</si>
  <si>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</si>
  <si>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</si>
  <si>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</si>
  <si>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</si>
  <si>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</si>
  <si>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</si>
  <si>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</si>
  <si>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</si>
  <si>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</si>
  <si>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</si>
  <si>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</si>
  <si>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family val="2"/>
      </rPr>
      <t xml:space="preserve"> = ($RUC</t>
    </r>
    <r>
      <rPr>
        <vertAlign val="subscript"/>
        <sz val="10"/>
        <rFont val="Arial"/>
        <family val="2"/>
      </rPr>
      <t>CARS</t>
    </r>
    <r>
      <rPr>
        <sz val="10"/>
        <rFont val="Arial"/>
        <family val="2"/>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</si>
  <si>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</si>
  <si>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</si>
  <si>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</si>
  <si>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</si>
  <si>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</si>
  <si>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</si>
  <si>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</si>
  <si>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</si>
  <si>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</si>
  <si>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</si>
  <si>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</si>
  <si>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</si>
  <si>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family val="2"/>
      </rPr>
      <t xml:space="preserve"> = ($135/minute-lane + $40/minute-lane</t>
    </r>
    <r>
      <rPr>
        <sz val="10"/>
        <rFont val="Arial"/>
        <family val="2"/>
      </rPr>
      <t>)*(30 minutes closed)*(1 lane closed)</t>
    </r>
  </si>
  <si>
    <r>
      <t>$RUC</t>
    </r>
    <r>
      <rPr>
        <vertAlign val="subscript"/>
        <sz val="10"/>
        <rFont val="Arial"/>
        <family val="2"/>
      </rPr>
      <t>TOTAL</t>
    </r>
    <r>
      <rPr>
        <sz val="10"/>
        <rFont val="Arial"/>
        <family val="2"/>
      </rPr>
      <t xml:space="preserve"> = ($175/minute-lane</t>
    </r>
    <r>
      <rPr>
        <sz val="10"/>
        <rFont val="Arial"/>
        <family val="2"/>
      </rPr>
      <t>)*(30 minutes closed)*(1 lane closed)</t>
    </r>
  </si>
  <si>
    <r>
      <t>$RUC</t>
    </r>
    <r>
      <rPr>
        <vertAlign val="subscript"/>
        <sz val="10"/>
        <rFont val="Arial"/>
        <family val="2"/>
      </rPr>
      <t>TOTAL</t>
    </r>
    <r>
      <rPr>
        <sz val="10"/>
        <rFont val="Arial"/>
        <family val="2"/>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</si>
  <si>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</si>
  <si>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</si>
  <si>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</si>
  <si>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</si>
  <si>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</si>
  <si>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</si>
  <si>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</si>
  <si>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</si>
  <si>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</si>
  <si>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</si>
  <si>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</si>
  <si>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</si>
  <si>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</si>
  <si>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</si>
  <si>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</si>
  <si>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</si>
  <si>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</si>
  <si>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</si>
  <si>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</si>
  <si>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</si>
  <si>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</si>
  <si>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</si>
  <si>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</si>
  <si>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</si>
  <si>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</si>
  <si>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</si>
  <si>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</si>
  <si>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</si>
  <si>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</si>
  <si>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</si>
  <si>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</si>
  <si>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</si>
  <si>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</si>
  <si>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</si>
  <si>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</si>
  <si>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</si>
  <si>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</si>
  <si>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</si>
  <si>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</si>
  <si>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</si>
  <si>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</si>
  <si>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</si>
  <si>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</si>
  <si>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</si>
  <si>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</si>
  <si>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</si>
  <si>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</si>
  <si>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</si>
  <si>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</si>
  <si>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</si>
  <si>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</si>
  <si>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</si>
  <si>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</si>
  <si>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</si>
  <si>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</si>
  <si>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</si>
  <si>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</si>
  <si>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</si>
  <si>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</si>
  <si>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</si>
  <si>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</si>
  <si>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</si>
  <si>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</si>
  <si>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</si>
  <si>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</si>
  <si>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</si>
  <si>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</si>
  <si>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</si>
  <si>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</si>
  <si>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</si>
  <si>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</si>
  <si>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</si>
  <si>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</si>
  <si>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</si>
  <si>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</si>
  <si>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</si>
  <si>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</si>
  <si>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</si>
  <si>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</si>
  <si>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</si>
  <si>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</si>
  <si>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</si>
  <si>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r>
      <rPr>
        <b/>
        <sz val="10"/>
        <rFont val="Arial"/>
        <family val="2"/>
      </rPr>
      <t>Lane(s) Closed on Mainline:</t>
    </r>
    <r>
      <rPr>
        <sz val="10"/>
        <rFont val="Arial"/>
        <family val="2"/>
      </rPr>
      <t xml:space="preserve">
-Added Notes box at the request of the districts. 
</t>
    </r>
    <r>
      <rPr>
        <b/>
        <sz val="10"/>
        <rFont val="Arial"/>
        <family val="2"/>
      </rPr>
      <t xml:space="preserve">Detour (Actual Drive Time): </t>
    </r>
    <r>
      <rPr>
        <sz val="10"/>
        <rFont val="Arial"/>
        <family val="2"/>
      </rPr>
      <t xml:space="preserve">
-Added Notes box at the request of the districts. 
</t>
    </r>
    <r>
      <rPr>
        <b/>
        <sz val="10"/>
        <rFont val="Arial"/>
        <family val="2"/>
      </rPr>
      <t xml:space="preserve">Detour (Distance &amp; Speed): </t>
    </r>
    <r>
      <rPr>
        <sz val="10"/>
        <rFont val="Arial"/>
        <family val="2"/>
      </rPr>
      <t xml:space="preserve">
-Added Notes box at the request of the districts. </t>
    </r>
  </si>
  <si>
    <r>
      <rPr>
        <b/>
        <sz val="10"/>
        <rFont val="Arial"/>
        <family val="2"/>
      </rPr>
      <t xml:space="preserve">No Lanes Closed: </t>
    </r>
    <r>
      <rPr>
        <sz val="10"/>
        <rFont val="Arial"/>
        <family val="2"/>
      </rPr>
      <t xml:space="preserve">
-This tab has been removed due to variable work zone speed limits causing the applicability of the calculations to decline. Disincentives related to Digital Speed Limit (DSL) Sign Assemblies are now found in SS 808. 
</t>
    </r>
    <r>
      <rPr>
        <b/>
        <sz val="10"/>
        <rFont val="Arial"/>
        <family val="2"/>
      </rPr>
      <t>Lane(s) Closed on Mainline (NEW):</t>
    </r>
    <r>
      <rPr>
        <sz val="10"/>
        <rFont val="Arial"/>
        <family val="2"/>
      </rPr>
      <t xml:space="preserve">
-Added new tab for lanes closed on the mainline. This is to be used to calculate disincentives for lane closures. 
</t>
    </r>
    <r>
      <rPr>
        <b/>
        <sz val="10"/>
        <rFont val="Arial"/>
        <family val="2"/>
      </rPr>
      <t xml:space="preserve">FAQs Tab: </t>
    </r>
    <r>
      <rPr>
        <sz val="10"/>
        <rFont val="Arial"/>
        <family val="2"/>
      </rPr>
      <t xml:space="preserve">
-Updated to reflect the other changes made. Added 5 additional FAQs regarding Lanes(s) Closed on the Mainline and No Lanes Closed tabs. </t>
    </r>
  </si>
  <si>
    <r>
      <rPr>
        <b/>
        <sz val="10"/>
        <rFont val="Arial"/>
        <family val="2"/>
      </rPr>
      <t xml:space="preserve">Lane(s) Closed on Mainline: </t>
    </r>
    <r>
      <rPr>
        <sz val="10"/>
        <rFont val="Arial"/>
        <family val="2"/>
      </rPr>
      <t xml:space="preserve">
-Updated to change from cost per 15 minutes per lane to cost per minute per lane. 
</t>
    </r>
    <r>
      <rPr>
        <b/>
        <sz val="10"/>
        <rFont val="Arial"/>
        <family val="2"/>
      </rPr>
      <t>FAQs Tab:</t>
    </r>
    <r>
      <rPr>
        <sz val="10"/>
        <rFont val="Arial"/>
        <family val="2"/>
      </rPr>
      <t xml:space="preserve">
-Minor updates.
</t>
    </r>
    <r>
      <rPr>
        <b/>
        <sz val="10"/>
        <rFont val="Arial"/>
        <family val="2"/>
      </rPr>
      <t>Overall:</t>
    </r>
    <r>
      <rPr>
        <sz val="10"/>
        <rFont val="Arial"/>
        <family val="2"/>
      </rPr>
      <t xml:space="preserve">
-General format and cell shading changes. </t>
    </r>
  </si>
  <si>
    <r>
      <rPr>
        <b/>
        <sz val="10"/>
        <rFont val="Arial"/>
        <family val="2"/>
      </rPr>
      <t xml:space="preserve">Lane(s) Closed on Mainline: </t>
    </r>
    <r>
      <rPr>
        <sz val="10"/>
        <rFont val="Arial"/>
        <family val="2"/>
      </rPr>
      <t xml:space="preserve">
-Updated language regarding how to obtain AADT for PLCS segments that use ATRs (use MS2 instead). </t>
    </r>
  </si>
  <si>
    <t>Information Last Updated: 2/28/2025</t>
  </si>
  <si>
    <t xml:space="preserve">What cost per passenger car and cost per truck are to be used for road user costs for 2025 (project calendar year 2025)? </t>
  </si>
  <si>
    <t>The most recent annual average CPI published is for 2024 (as of 2/28/25). We use the 2024 annual average value for project calendar year 2025.</t>
  </si>
  <si>
    <t xml:space="preserve">The annual average CPI for 2024, per the CPI, is $313.689. </t>
  </si>
  <si>
    <t xml:space="preserve">The 2024 to 2008 ratio ($313.689/$215.303) is 1.4570. (…or the 2024 value is 45.70% higher than the 2008 value.) </t>
  </si>
  <si>
    <t>2025 Cost per Passenger Car = (2008 Cost per Passenger Car) x (2024 to 2008 Ratio) = $19.22/Passenger Car x 1.4570 = $28.00/Passenger Car</t>
  </si>
  <si>
    <t>2025 Cost per Truck = (2008 Cost per Truck) x (2024 to 2008 Ratio) = $51.88/Truck x 1.4570 = $75.59/Truck</t>
  </si>
  <si>
    <t>What cost per passenger car and cost per truck are to be used for road user costs for project calendar year 2028 (as of 2025)?</t>
  </si>
  <si>
    <t xml:space="preserve">Calculate or obtain the current project year values (in this example, 2025; example is above under #1). </t>
  </si>
  <si>
    <t>2025 Cost per Passenger Car = $28.00/Passenger Car</t>
  </si>
  <si>
    <t>2025 Cost per Truck = $75.59/Truck</t>
  </si>
  <si>
    <t xml:space="preserve">Project the current year values (Project Year 2025) three years forward to 2028 Project Year values, assuming an approximate 2% per year increase. </t>
  </si>
  <si>
    <t>2028 Cost per Passenger Car = (2025 Cost per Passenger Car) x ((1+(2% per year))^3 years) = $28.00/Passenger Car x ((1+(0.02))^3) = $29.72/Passenger Car</t>
  </si>
  <si>
    <t>2028 Cost per Truck = (2025 Cost per Truck) x ((1+(2% per year))^3 years) = $75.59/Truck x ((1+(0.02))^3) = $80.21/Truck</t>
  </si>
  <si>
    <r>
      <rPr>
        <b/>
        <sz val="10"/>
        <rFont val="Arial"/>
        <family val="2"/>
      </rPr>
      <t xml:space="preserve">CPI Data Tab: 
</t>
    </r>
    <r>
      <rPr>
        <sz val="10"/>
        <rFont val="Arial"/>
        <family val="2"/>
      </rPr>
      <t xml:space="preserve">-Updated CPI data for 2024 (which is used for Project Year 2025).
</t>
    </r>
    <r>
      <rPr>
        <b/>
        <sz val="10"/>
        <rFont val="Arial"/>
        <family val="2"/>
      </rPr>
      <t xml:space="preserve">
FAQs Tab:
</t>
    </r>
    <r>
      <rPr>
        <sz val="10"/>
        <rFont val="Arial"/>
        <family val="2"/>
      </rPr>
      <t xml:space="preserve">-Updated the examples in #1 and #2 to advance the examples one year due to the updated values.
-Updated 2024 data under #2 for CPI % change from previous annual average. 
-Updated 2015-2025 10-year average data under #2 for 10-year average of the annual % changes. 
</t>
    </r>
    <r>
      <rPr>
        <b/>
        <sz val="10"/>
        <rFont val="Arial"/>
        <family val="2"/>
      </rPr>
      <t xml:space="preserve">
Revision History Tab: </t>
    </r>
    <r>
      <rPr>
        <sz val="10"/>
        <rFont val="Arial"/>
        <family val="2"/>
      </rPr>
      <t xml:space="preserve">
-Updated the Revision History to include information that was missing for additional revisions between the ones already listed (10/17/2018, 10/23/2018, 10/29/2018 and 5/17/19). </t>
    </r>
  </si>
  <si>
    <t>Form Version Date: 2/28/2025</t>
  </si>
  <si>
    <t>SUM-IR-77-VACANT REST AREA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</si>
</sst>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amily val="2"/>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39">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4" fillId="0" borderId="12" xfId="0" applyFont="1" applyBorder="1" applyAlignment="1">
      <alignment horizontal="right"/>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5" fillId="0" borderId="14" xfId="0" applyFont="1" applyBorder="1" applyAlignment="1">
      <alignment horizontal="right"/>
    </xf>
    <xf numFmtId="0" fontId="5" fillId="0" borderId="15"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167" fontId="4" fillId="0" borderId="2" xfId="0" applyNumberFormat="1" applyFont="1" applyBorder="1" applyAlignment="1">
      <alignment horizontal="center"/>
    </xf>
    <xf numFmtId="0" fontId="3" fillId="0" borderId="2" xfId="0" applyFont="1" applyBorder="1" applyAlignment="1">
      <alignment horizontal="center"/>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0" fontId="4" fillId="0" borderId="18" xfId="0" applyFont="1" applyBorder="1" applyAlignment="1">
      <alignment horizontal="center"/>
    </xf>
    <xf numFmtId="0" fontId="4" fillId="0" borderId="18" xfId="0" applyFont="1" applyBorder="1" applyAlignment="1">
      <alignment horizontal="right"/>
    </xf>
    <xf numFmtId="0" fontId="4" fillId="0" borderId="3"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7" fillId="0" borderId="0" xfId="0" applyFont="1" applyAlignment="1">
      <alignment horizontal="left" vertical="top" wrapText="1"/>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0" fillId="0" borderId="0" xfId="0" applyAlignment="1">
      <alignment horizontal="left"/>
    </xf>
    <xf numFmtId="0" fontId="11" fillId="0" borderId="0" xfId="0" applyFont="1" applyAlignment="1">
      <alignment horizontal="left" vertical="top" wrapText="1"/>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0" fontId="2" fillId="0" borderId="2" xfId="0" applyFont="1" applyBorder="1" applyAlignment="1" applyProtection="1">
      <alignment horizontal="left" vertical="top" wrapText="1"/>
      <protection locked="0"/>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3" borderId="20" xfId="0" applyFill="1"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24" fillId="0" borderId="0" xfId="0" applyFont="1" applyAlignment="1">
      <alignment horizontal="left" vertical="center" wrapText="1"/>
    </xf>
    <xf numFmtId="0" fontId="21" fillId="0" borderId="0" xfId="0" applyFont="1" applyAlignment="1">
      <alignment horizontal="left" wrapText="1"/>
    </xf>
    <xf numFmtId="0" fontId="21" fillId="0" borderId="0" xfId="0" applyFont="1" applyAlignment="1">
      <alignment vertical="center" wrapText="1"/>
    </xf>
    <xf numFmtId="0" fontId="21" fillId="0" borderId="0" xfId="0" applyFont="1" applyAlignment="1">
      <alignment vertical="center"/>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xf numFmtId="0" fontId="6" fillId="0" borderId="0" xfId="2" applyAlignment="1" applyProtection="1">
      <alignment vertical="center" wrapText="1"/>
    </xf>
    <xf numFmtId="0" fontId="24" fillId="0" borderId="0" xfId="0" applyFont="1" applyAlignment="1">
      <alignment vertical="center"/>
    </xf>
    <xf numFmtId="0" fontId="0" fillId="0" borderId="0" xfId="0" applyAlignment="1">
      <alignmen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38" t="s">
        <v>16</v>
      </c>
      <c r="C2" s="138"/>
      <c r="D2" s="138"/>
      <c r="E2" s="138"/>
    </row>
    <row r="3" spans="2:5" x14ac:dyDescent="0.2">
      <c r="B3" s="146" t="s">
        <v>17</v>
      </c>
      <c r="C3" s="147"/>
      <c r="D3" s="147"/>
      <c r="E3" s="148"/>
    </row>
    <row r="4" spans="2:5" ht="15.75" x14ac:dyDescent="0.25">
      <c r="B4" s="142" t="s">
        <v>55</v>
      </c>
      <c r="C4" s="143"/>
      <c r="D4" s="139" t="s">
        <v>59</v>
      </c>
      <c r="E4" s="140"/>
    </row>
    <row r="5" spans="2:5" ht="15.75" x14ac:dyDescent="0.25">
      <c r="B5" s="142" t="s">
        <v>14</v>
      </c>
      <c r="C5" s="143"/>
      <c r="D5" s="139"/>
      <c r="E5" s="140"/>
    </row>
    <row r="6" spans="2:5" ht="21.75" customHeight="1" x14ac:dyDescent="0.25">
      <c r="B6" s="141" t="s">
        <v>15</v>
      </c>
      <c r="C6" s="135"/>
      <c r="D6" s="135"/>
      <c r="E6" s="136"/>
    </row>
    <row r="7" spans="2:5" ht="15.75" customHeight="1" x14ac:dyDescent="0.25">
      <c r="B7" s="142" t="s">
        <v>46</v>
      </c>
      <c r="C7" s="143"/>
      <c r="D7" s="139"/>
      <c r="E7" s="140"/>
    </row>
    <row r="8" spans="2:5" ht="15.75" x14ac:dyDescent="0.25">
      <c r="B8" s="1"/>
      <c r="C8" s="4"/>
      <c r="D8" s="3" t="s">
        <v>9</v>
      </c>
      <c r="E8" s="2" t="s">
        <v>0</v>
      </c>
    </row>
    <row r="9" spans="2:5" ht="15.75" x14ac:dyDescent="0.25">
      <c r="B9" s="127" t="s">
        <v>48</v>
      </c>
      <c r="C9" s="128"/>
      <c r="D9" s="63"/>
      <c r="E9" s="64"/>
    </row>
    <row r="10" spans="2:5" ht="15.75" x14ac:dyDescent="0.25">
      <c r="B10" s="127" t="s">
        <v>54</v>
      </c>
      <c r="C10" s="128"/>
      <c r="D10" s="149"/>
      <c r="E10" s="150"/>
    </row>
    <row r="11" spans="2:5" ht="15.75" x14ac:dyDescent="0.25">
      <c r="B11" s="127" t="s">
        <v>49</v>
      </c>
      <c r="C11" s="128"/>
      <c r="D11" s="64"/>
      <c r="E11" s="64"/>
    </row>
    <row r="12" spans="2:5" ht="15.75" x14ac:dyDescent="0.25">
      <c r="B12" s="127" t="s">
        <v>50</v>
      </c>
      <c r="C12" s="128"/>
      <c r="D12" s="64"/>
      <c r="E12" s="64"/>
    </row>
    <row r="13" spans="2:5" ht="15.75" x14ac:dyDescent="0.25">
      <c r="B13" s="125" t="s">
        <v>18</v>
      </c>
      <c r="C13" s="126"/>
      <c r="D13" s="144"/>
      <c r="E13" s="145"/>
    </row>
    <row r="14" spans="2:5" ht="21.75" customHeight="1" x14ac:dyDescent="0.25">
      <c r="B14" s="133" t="s">
        <v>19</v>
      </c>
      <c r="C14" s="134"/>
      <c r="D14" s="135"/>
      <c r="E14" s="136"/>
    </row>
    <row r="15" spans="2:5" ht="16.5" customHeight="1" x14ac:dyDescent="0.2">
      <c r="B15" s="129" t="s">
        <v>53</v>
      </c>
      <c r="C15" s="130"/>
      <c r="D15" s="23" t="str">
        <f>IF(D7="","",LOOKUP(D7,'CPI Data'!H7:H34,'CPI Data'!F7:F34))</f>
        <v/>
      </c>
      <c r="E15" s="24" t="str">
        <f>IF(D7="","",LOOKUP(D7,'CPI Data'!H7:H34,'CPI Data'!G7:G34))</f>
        <v/>
      </c>
    </row>
    <row r="16" spans="2:5" ht="15" x14ac:dyDescent="0.2">
      <c r="B16" s="131" t="s">
        <v>51</v>
      </c>
      <c r="C16" s="132"/>
      <c r="D16" s="25" t="str">
        <f>IF((OR(D10="",D11="")),"",(1/((1/$D$10)*D11))*60*60)</f>
        <v/>
      </c>
      <c r="E16" s="25" t="str">
        <f>IF((OR(D10="",E11="")),"",(1/((1/$D$10)*E11))*60*60)</f>
        <v/>
      </c>
    </row>
    <row r="17" spans="2:5" ht="15" x14ac:dyDescent="0.2">
      <c r="B17" s="131" t="s">
        <v>52</v>
      </c>
      <c r="C17" s="132"/>
      <c r="D17" s="25" t="str">
        <f>IF((OR(D10="",D12="")),"",(1/((1/$D$10)*D12))*60*60)</f>
        <v/>
      </c>
      <c r="E17" s="25" t="str">
        <f>IF((OR(D10="",E12="")),"",(1/((1/$D$10)*E12))*60*60)</f>
        <v/>
      </c>
    </row>
    <row r="18" spans="2:5" ht="15" x14ac:dyDescent="0.2">
      <c r="B18" s="131" t="s">
        <v>20</v>
      </c>
      <c r="C18" s="132"/>
      <c r="D18" s="25" t="str">
        <f>IF((OR(D16="",D17="")),"",D17-D16)</f>
        <v/>
      </c>
      <c r="E18" s="25" t="str">
        <f>IF((OR(E16="",E17="")),"",E17-E16)</f>
        <v/>
      </c>
    </row>
    <row r="19" spans="2:5" ht="15" x14ac:dyDescent="0.2">
      <c r="B19" s="131" t="s">
        <v>21</v>
      </c>
      <c r="C19" s="132"/>
      <c r="D19" s="26" t="str">
        <f>IF(D18="","",D18/3600)</f>
        <v/>
      </c>
      <c r="E19" s="26" t="str">
        <f>IF(E18="","",E18/3600)</f>
        <v/>
      </c>
    </row>
    <row r="20" spans="2:5" ht="15" x14ac:dyDescent="0.2">
      <c r="B20" s="131" t="s">
        <v>40</v>
      </c>
      <c r="C20" s="132"/>
      <c r="D20" s="21" t="str">
        <f>IF((OR(D15="",D19="")),"",D19*D15)</f>
        <v/>
      </c>
      <c r="E20" s="21" t="str">
        <f>IF((OR(E15="",E19="")),"",E19*E15)</f>
        <v/>
      </c>
    </row>
    <row r="21" spans="2:5" ht="15" x14ac:dyDescent="0.2">
      <c r="B21" s="131" t="s">
        <v>39</v>
      </c>
      <c r="C21" s="132"/>
      <c r="D21" s="21" t="str">
        <f>IF(D20="","",D20*$D$9)</f>
        <v/>
      </c>
      <c r="E21" s="21" t="str">
        <f>IF(E20="","",E20*$E$9)</f>
        <v/>
      </c>
    </row>
    <row r="22" spans="2:5" ht="15" x14ac:dyDescent="0.2">
      <c r="B22" s="131" t="s">
        <v>41</v>
      </c>
      <c r="C22" s="132"/>
      <c r="D22" s="22" t="str">
        <f>IF((OR(D21="",D13="")),"",D21*$D$13)</f>
        <v/>
      </c>
      <c r="E22" s="22" t="str">
        <f>IF((OR(E21="",D13="")),"",E21*$D$13)</f>
        <v/>
      </c>
    </row>
    <row r="23" spans="2:5" ht="15.75" x14ac:dyDescent="0.25">
      <c r="B23" s="127" t="s">
        <v>42</v>
      </c>
      <c r="C23" s="128"/>
      <c r="D23" s="137" t="str">
        <f>IF((OR(D22="",E22="",D9="",E9="")),"(Missing Input)",(D22+E22))</f>
        <v>(Missing Input)</v>
      </c>
      <c r="E23" s="137"/>
    </row>
    <row r="24" spans="2:5" ht="15.75" x14ac:dyDescent="0.25">
      <c r="B24" s="125" t="s">
        <v>56</v>
      </c>
      <c r="C24" s="126"/>
      <c r="D24" s="137" t="str">
        <f>IF((OR(D13="",D23="",D23="(Missing Input)")),"(Missing Input)",D23/D13)</f>
        <v>(Missing Input)</v>
      </c>
      <c r="E24" s="137"/>
    </row>
    <row r="25" spans="2:5" x14ac:dyDescent="0.2">
      <c r="E25" s="88"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45939</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17:C17"/>
    <mergeCell ref="D13:E13"/>
    <mergeCell ref="B7:C7"/>
    <mergeCell ref="D7:E7"/>
    <mergeCell ref="B3:E3"/>
    <mergeCell ref="D10:E10"/>
    <mergeCell ref="B9:C9"/>
    <mergeCell ref="B2:E2"/>
    <mergeCell ref="D4:E4"/>
    <mergeCell ref="D5:E5"/>
    <mergeCell ref="B6:E6"/>
    <mergeCell ref="B5:C5"/>
    <mergeCell ref="B4:C4"/>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6"/>
  <sheetViews>
    <sheetView showGridLines="0" workbookViewId="0">
      <selection activeCell="H7" sqref="H7"/>
    </sheetView>
  </sheetViews>
  <sheetFormatPr defaultRowHeight="12.75" x14ac:dyDescent="0.2"/>
  <cols>
    <col min="1" max="1" width="16.5703125" style="100" customWidth="1"/>
    <col min="2" max="2" width="100" style="101" customWidth="1"/>
    <col min="3" max="16384" width="9.140625" style="46"/>
  </cols>
  <sheetData>
    <row r="1" spans="1:2" s="93" customFormat="1" x14ac:dyDescent="0.2">
      <c r="A1" s="92" t="s">
        <v>149</v>
      </c>
      <c r="B1" s="97"/>
    </row>
    <row r="2" spans="1:2" s="93" customFormat="1" ht="30" customHeight="1" x14ac:dyDescent="0.2">
      <c r="A2" s="103" t="s">
        <v>194</v>
      </c>
      <c r="B2" s="97"/>
    </row>
    <row r="3" spans="1:2" s="91" customFormat="1" x14ac:dyDescent="0.2">
      <c r="A3" s="98" t="s">
        <v>147</v>
      </c>
      <c r="B3" s="99" t="s">
        <v>148</v>
      </c>
    </row>
    <row r="4" spans="1:2" s="91" customFormat="1" ht="140.25" x14ac:dyDescent="0.2">
      <c r="A4" s="94">
        <v>45716</v>
      </c>
      <c r="B4" s="95" t="s">
        <v>208</v>
      </c>
    </row>
    <row r="5" spans="1:2" ht="409.5" x14ac:dyDescent="0.2">
      <c r="A5" s="94">
        <v>45349</v>
      </c>
      <c r="B5" s="95" t="s">
        <v>189</v>
      </c>
    </row>
    <row r="6" spans="1:2" ht="191.25" x14ac:dyDescent="0.2">
      <c r="A6" s="94">
        <v>44601</v>
      </c>
      <c r="B6" s="95" t="s">
        <v>155</v>
      </c>
    </row>
    <row r="7" spans="1:2" ht="114.75" x14ac:dyDescent="0.2">
      <c r="A7" s="94">
        <v>43880</v>
      </c>
      <c r="B7" s="95" t="s">
        <v>154</v>
      </c>
    </row>
    <row r="8" spans="1:2" ht="102" x14ac:dyDescent="0.2">
      <c r="A8" s="94">
        <v>43602</v>
      </c>
      <c r="B8" s="95" t="s">
        <v>190</v>
      </c>
    </row>
    <row r="9" spans="1:2" ht="25.5" x14ac:dyDescent="0.2">
      <c r="A9" s="94">
        <v>43501</v>
      </c>
      <c r="B9" s="95" t="s">
        <v>156</v>
      </c>
    </row>
    <row r="10" spans="1:2" ht="25.5" x14ac:dyDescent="0.2">
      <c r="A10" s="94">
        <v>43402</v>
      </c>
      <c r="B10" s="95" t="s">
        <v>193</v>
      </c>
    </row>
    <row r="11" spans="1:2" ht="102" x14ac:dyDescent="0.2">
      <c r="A11" s="94">
        <v>43396</v>
      </c>
      <c r="B11" s="95" t="s">
        <v>192</v>
      </c>
    </row>
    <row r="12" spans="1:2" ht="127.5" x14ac:dyDescent="0.2">
      <c r="A12" s="94">
        <v>43390</v>
      </c>
      <c r="B12" s="95" t="s">
        <v>191</v>
      </c>
    </row>
    <row r="13" spans="1:2" ht="178.5" x14ac:dyDescent="0.2">
      <c r="A13" s="94">
        <v>43133</v>
      </c>
      <c r="B13" s="95" t="s">
        <v>153</v>
      </c>
    </row>
    <row r="14" spans="1:2" ht="25.5" x14ac:dyDescent="0.2">
      <c r="A14" s="96" t="s">
        <v>150</v>
      </c>
      <c r="B14" s="95" t="s">
        <v>151</v>
      </c>
    </row>
    <row r="16" spans="1:2" x14ac:dyDescent="0.2">
      <c r="A16" s="102"/>
    </row>
  </sheetData>
  <sheetProtection algorithmName="SHA-512" hashValue="p+LYKRDzL2/7e8cAk+95abiPXFv11Tjxrxm+C2rJa1P4G1L4V+Y9eLbUgGGud9vUt+JSRY5oxRA8+y2E2mTApg==" saltValue="r2hXqTViuFP10bcTVX/Mt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tabSelected="1" zoomScaleNormal="100" workbookViewId="0">
      <selection activeCell="D5" sqref="D5:E5"/>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88"/>
    </row>
    <row r="2" spans="2:6" ht="21.75" customHeight="1" x14ac:dyDescent="0.25">
      <c r="B2" s="175" t="s">
        <v>16</v>
      </c>
      <c r="C2" s="175"/>
      <c r="D2" s="175"/>
      <c r="E2" s="175"/>
    </row>
    <row r="3" spans="2:6" ht="15.75" customHeight="1" x14ac:dyDescent="0.2">
      <c r="B3" s="176" t="s">
        <v>169</v>
      </c>
      <c r="C3" s="177"/>
      <c r="D3" s="177"/>
      <c r="E3" s="178"/>
    </row>
    <row r="4" spans="2:6" ht="15.75" customHeight="1" x14ac:dyDescent="0.25">
      <c r="B4" s="142" t="s">
        <v>55</v>
      </c>
      <c r="C4" s="143"/>
      <c r="D4" s="167">
        <v>122880</v>
      </c>
      <c r="E4" s="168"/>
    </row>
    <row r="5" spans="2:6" ht="15.75" customHeight="1" x14ac:dyDescent="0.25">
      <c r="B5" s="142" t="s">
        <v>14</v>
      </c>
      <c r="C5" s="143"/>
      <c r="D5" s="167" t="s">
        <v>210</v>
      </c>
      <c r="E5" s="168"/>
    </row>
    <row r="6" spans="2:6" ht="21.75" customHeight="1" x14ac:dyDescent="0.25">
      <c r="B6" s="164" t="s">
        <v>15</v>
      </c>
      <c r="C6" s="165"/>
      <c r="D6" s="165"/>
      <c r="E6" s="166"/>
    </row>
    <row r="7" spans="2:6" ht="15.75" customHeight="1" x14ac:dyDescent="0.25">
      <c r="B7" s="142" t="s">
        <v>46</v>
      </c>
      <c r="C7" s="143"/>
      <c r="D7" s="167">
        <v>2026</v>
      </c>
      <c r="E7" s="168"/>
    </row>
    <row r="8" spans="2:6" ht="15.75" x14ac:dyDescent="0.25">
      <c r="B8" s="142" t="s">
        <v>174</v>
      </c>
      <c r="C8" s="143"/>
      <c r="D8" s="169">
        <v>84500</v>
      </c>
      <c r="E8" s="170"/>
    </row>
    <row r="9" spans="2:6" ht="15.75" x14ac:dyDescent="0.25">
      <c r="B9" s="127" t="s">
        <v>161</v>
      </c>
      <c r="C9" s="128"/>
      <c r="D9" s="171">
        <v>0.08</v>
      </c>
      <c r="E9" s="172"/>
    </row>
    <row r="10" spans="2:6" ht="15.75" x14ac:dyDescent="0.25">
      <c r="B10" s="142" t="s">
        <v>163</v>
      </c>
      <c r="C10" s="143"/>
      <c r="D10" s="169">
        <v>3</v>
      </c>
      <c r="E10" s="170"/>
    </row>
    <row r="11" spans="2:6" ht="21.75" customHeight="1" x14ac:dyDescent="0.25">
      <c r="B11" s="173" t="s">
        <v>19</v>
      </c>
      <c r="C11" s="174"/>
      <c r="D11" s="165"/>
      <c r="E11" s="166"/>
    </row>
    <row r="12" spans="2:6" ht="15.75" x14ac:dyDescent="0.25">
      <c r="B12" s="164"/>
      <c r="C12" s="166"/>
      <c r="D12" s="47" t="s">
        <v>9</v>
      </c>
      <c r="E12" s="48" t="s">
        <v>0</v>
      </c>
    </row>
    <row r="13" spans="2:6" ht="16.5" customHeight="1" x14ac:dyDescent="0.2">
      <c r="B13" s="129" t="s">
        <v>80</v>
      </c>
      <c r="C13" s="130"/>
      <c r="D13" s="23">
        <f>IF(D7="","",LOOKUP(D7,'CPI Data'!H7:H34,'CPI Data'!F7:F34))</f>
        <v>28.562930528603875</v>
      </c>
      <c r="E13" s="24">
        <f>IF(D7="","",LOOKUP(D7,'CPI Data'!H7:H34,'CPI Data'!G7:G34))</f>
        <v>77.099106962745537</v>
      </c>
    </row>
    <row r="14" spans="2:6" ht="15" x14ac:dyDescent="0.2">
      <c r="B14" s="131" t="s">
        <v>162</v>
      </c>
      <c r="C14" s="132"/>
      <c r="D14" s="49">
        <f>IF(OR(D9="",D8=""),"",(D8*(1-D9))/2)</f>
        <v>38870</v>
      </c>
      <c r="E14" s="50">
        <f>IF(OR(D9="",D8=""),"",(D8*D9)/2)</f>
        <v>3380</v>
      </c>
    </row>
    <row r="15" spans="2:6" ht="16.5" customHeight="1" x14ac:dyDescent="0.2">
      <c r="B15" s="131" t="s">
        <v>76</v>
      </c>
      <c r="C15" s="132"/>
      <c r="D15" s="23">
        <f>IF(OR(D13="",D14=""),"",(D14*D13))</f>
        <v>1110241.1096468326</v>
      </c>
      <c r="E15" s="24">
        <f>IF(OR(E13="",E14=""),"",(E14*E13))</f>
        <v>260594.98153407991</v>
      </c>
      <c r="F15" s="46"/>
    </row>
    <row r="16" spans="2:6" ht="16.5" customHeight="1" x14ac:dyDescent="0.2">
      <c r="B16" s="131" t="s">
        <v>77</v>
      </c>
      <c r="C16" s="132"/>
      <c r="D16" s="151">
        <f>IF(OR(D15="",E15=""),"",D15+E15)</f>
        <v>1370836.0911809125</v>
      </c>
      <c r="E16" s="152"/>
      <c r="F16" s="46"/>
    </row>
    <row r="17" spans="2:6" ht="16.5" customHeight="1" x14ac:dyDescent="0.2">
      <c r="B17" s="131" t="s">
        <v>78</v>
      </c>
      <c r="C17" s="132"/>
      <c r="D17" s="151">
        <f>IF(OR(D10="",D16=""),"",D16/D10)</f>
        <v>456945.3637269708</v>
      </c>
      <c r="E17" s="152"/>
      <c r="F17" s="46"/>
    </row>
    <row r="18" spans="2:6" ht="16.5" customHeight="1" x14ac:dyDescent="0.2">
      <c r="B18" s="131" t="s">
        <v>79</v>
      </c>
      <c r="C18" s="132"/>
      <c r="D18" s="151">
        <f>IF(D17="","",D17/24)</f>
        <v>19039.39015529045</v>
      </c>
      <c r="E18" s="152"/>
      <c r="F18" s="46"/>
    </row>
    <row r="19" spans="2:6" ht="16.5" customHeight="1" x14ac:dyDescent="0.2">
      <c r="B19" s="131" t="s">
        <v>86</v>
      </c>
      <c r="C19" s="132"/>
      <c r="D19" s="151">
        <f>IF(D18="","",(D18/60))</f>
        <v>317.32316925484082</v>
      </c>
      <c r="E19" s="152"/>
      <c r="F19" s="46"/>
    </row>
    <row r="20" spans="2:6" ht="16.5" customHeight="1" x14ac:dyDescent="0.25">
      <c r="B20" s="153" t="s">
        <v>115</v>
      </c>
      <c r="C20" s="154"/>
      <c r="D20" s="156">
        <f>IF(D19="","(MISSING INPUT)",_xlfn.FLOOR.MATH(D19,5))</f>
        <v>315</v>
      </c>
      <c r="E20" s="157"/>
      <c r="F20" s="46"/>
    </row>
    <row r="21" spans="2:6" ht="15" customHeight="1" x14ac:dyDescent="0.25">
      <c r="B21" s="51"/>
      <c r="C21" s="51"/>
      <c r="D21" s="52"/>
      <c r="E21" s="52"/>
      <c r="F21" s="46"/>
    </row>
    <row r="22" spans="2:6" s="124" customFormat="1" ht="30" customHeight="1" x14ac:dyDescent="0.2">
      <c r="B22" s="159" t="s">
        <v>187</v>
      </c>
      <c r="C22" s="160"/>
      <c r="D22" s="161"/>
      <c r="E22" s="162"/>
      <c r="F22" s="123"/>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164</v>
      </c>
      <c r="C25" s="158"/>
      <c r="D25" s="158"/>
      <c r="E25" s="158"/>
    </row>
    <row r="26" spans="2:6" ht="6" customHeight="1" x14ac:dyDescent="0.2"/>
    <row r="27" spans="2:6" ht="30" customHeight="1" x14ac:dyDescent="0.2">
      <c r="B27" s="158" t="s">
        <v>165</v>
      </c>
      <c r="C27" s="158"/>
      <c r="D27" s="158"/>
      <c r="E27" s="158"/>
    </row>
    <row r="28" spans="2:6" ht="6" customHeight="1" x14ac:dyDescent="0.2"/>
    <row r="29" spans="2:6" ht="69.95" customHeight="1" x14ac:dyDescent="0.2">
      <c r="B29" s="180" t="s">
        <v>176</v>
      </c>
      <c r="C29" s="158"/>
      <c r="D29" s="158"/>
      <c r="E29" s="158"/>
    </row>
    <row r="30" spans="2:6" x14ac:dyDescent="0.2">
      <c r="B30" s="39"/>
      <c r="C30" s="41"/>
      <c r="D30" s="39"/>
      <c r="E30" s="39"/>
    </row>
    <row r="31" spans="2:6" x14ac:dyDescent="0.2">
      <c r="B31" s="39" t="s">
        <v>38</v>
      </c>
      <c r="C31" s="41">
        <f ca="1">TODAY()</f>
        <v>45939</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0" t="s">
        <v>74</v>
      </c>
    </row>
    <row r="36" spans="2:5" s="121" customFormat="1" ht="111" customHeight="1" x14ac:dyDescent="0.2">
      <c r="B36" s="155" t="s">
        <v>177</v>
      </c>
      <c r="C36" s="155"/>
      <c r="D36" s="155"/>
      <c r="E36" s="155"/>
    </row>
    <row r="37" spans="2:5" s="121" customFormat="1" ht="75" customHeight="1" x14ac:dyDescent="0.2">
      <c r="B37" s="155" t="s">
        <v>168</v>
      </c>
      <c r="C37" s="155"/>
      <c r="D37" s="155"/>
      <c r="E37" s="155"/>
    </row>
    <row r="38" spans="2:5" s="121" customFormat="1" ht="86.1" customHeight="1" x14ac:dyDescent="0.2">
      <c r="B38" s="155" t="s">
        <v>166</v>
      </c>
      <c r="C38" s="155"/>
      <c r="D38" s="155"/>
      <c r="E38" s="155"/>
    </row>
    <row r="39" spans="2:5" s="121" customFormat="1" ht="84" customHeight="1" x14ac:dyDescent="0.2">
      <c r="B39" s="155" t="s">
        <v>167</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y1HSPkz1O7YhbgcHHjyegOJSvstAm3pOEgImy00+3tOKm7Y+v53IYIWPTKDlC96K3PWOLw8MNqHlJG+f3sHhA==" saltValue="aEb8jqwAJ0dguwWMJak/yQ==" spinCount="100000" sheet="1" objects="1" scenarios="1" selectLockedCells="1"/>
  <mergeCells count="46">
    <mergeCell ref="B43:E43"/>
    <mergeCell ref="B29:E29"/>
    <mergeCell ref="B47:E47"/>
    <mergeCell ref="B52:E52"/>
    <mergeCell ref="B51:E51"/>
    <mergeCell ref="B50:E50"/>
    <mergeCell ref="B49:E49"/>
    <mergeCell ref="B48:E48"/>
    <mergeCell ref="B2:E2"/>
    <mergeCell ref="B3:E3"/>
    <mergeCell ref="B4:C4"/>
    <mergeCell ref="D4:E4"/>
    <mergeCell ref="B5:C5"/>
    <mergeCell ref="D5:E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0:C20"/>
    <mergeCell ref="B36:E36"/>
    <mergeCell ref="B37:E37"/>
    <mergeCell ref="B38:E38"/>
    <mergeCell ref="B39:E39"/>
    <mergeCell ref="D20:E20"/>
    <mergeCell ref="B27:E27"/>
    <mergeCell ref="B22:E22"/>
    <mergeCell ref="B23:E23"/>
    <mergeCell ref="B25:E25"/>
    <mergeCell ref="D16:E16"/>
    <mergeCell ref="D17:E17"/>
    <mergeCell ref="B19:C19"/>
    <mergeCell ref="D19:E19"/>
    <mergeCell ref="B18:C18"/>
    <mergeCell ref="D18:E18"/>
    <mergeCell ref="B16:C16"/>
    <mergeCell ref="B17:C17"/>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75" t="s">
        <v>71</v>
      </c>
      <c r="C2" s="175"/>
      <c r="D2" s="175"/>
      <c r="E2" s="175"/>
    </row>
    <row r="3" spans="2:6" ht="15.75" x14ac:dyDescent="0.2">
      <c r="B3" s="176" t="s">
        <v>117</v>
      </c>
      <c r="C3" s="177"/>
      <c r="D3" s="177"/>
      <c r="E3" s="178"/>
    </row>
    <row r="4" spans="2:6" ht="15.75" x14ac:dyDescent="0.25">
      <c r="B4" s="142" t="s">
        <v>55</v>
      </c>
      <c r="C4" s="143"/>
      <c r="D4" s="167" t="s">
        <v>59</v>
      </c>
      <c r="E4" s="168"/>
    </row>
    <row r="5" spans="2:6" ht="15.75" x14ac:dyDescent="0.25">
      <c r="B5" s="142" t="s">
        <v>14</v>
      </c>
      <c r="C5" s="143"/>
      <c r="D5" s="167"/>
      <c r="E5" s="168"/>
    </row>
    <row r="6" spans="2:6" ht="21.75" customHeight="1" x14ac:dyDescent="0.25">
      <c r="B6" s="164" t="s">
        <v>15</v>
      </c>
      <c r="C6" s="165"/>
      <c r="D6" s="165"/>
      <c r="E6" s="166"/>
    </row>
    <row r="7" spans="2:6" ht="15.75" customHeight="1" x14ac:dyDescent="0.2">
      <c r="B7" s="181" t="s">
        <v>70</v>
      </c>
      <c r="C7" s="182"/>
      <c r="D7" s="182"/>
      <c r="E7" s="183"/>
    </row>
    <row r="8" spans="2:6" ht="15.75" customHeight="1" x14ac:dyDescent="0.2">
      <c r="B8" s="181" t="s">
        <v>72</v>
      </c>
      <c r="C8" s="182"/>
      <c r="D8" s="182"/>
      <c r="E8" s="183"/>
    </row>
    <row r="9" spans="2:6" s="54" customFormat="1" ht="15.75" x14ac:dyDescent="0.25">
      <c r="B9" s="127" t="s">
        <v>67</v>
      </c>
      <c r="C9" s="128"/>
      <c r="D9" s="188"/>
      <c r="E9" s="189"/>
    </row>
    <row r="10" spans="2:6" s="54" customFormat="1" ht="15.75" x14ac:dyDescent="0.25">
      <c r="B10" s="125" t="s">
        <v>68</v>
      </c>
      <c r="C10" s="126"/>
      <c r="D10" s="184"/>
      <c r="E10" s="185"/>
    </row>
    <row r="11" spans="2:6" ht="16.5" customHeight="1" x14ac:dyDescent="0.2">
      <c r="B11" s="131" t="s">
        <v>69</v>
      </c>
      <c r="C11" s="132"/>
      <c r="D11" s="186" t="str">
        <f>IF(OR(D9="",D10=""),"",(D10-D9)*1440)</f>
        <v/>
      </c>
      <c r="E11" s="187"/>
      <c r="F11" s="46"/>
    </row>
    <row r="12" spans="2:6" ht="15.75" x14ac:dyDescent="0.25">
      <c r="B12" s="142" t="s">
        <v>66</v>
      </c>
      <c r="C12" s="143"/>
      <c r="D12" s="169"/>
      <c r="E12" s="170"/>
    </row>
    <row r="13" spans="2:6" ht="16.5" customHeight="1" x14ac:dyDescent="0.25">
      <c r="B13" s="153" t="s">
        <v>75</v>
      </c>
      <c r="C13" s="154"/>
      <c r="D13" s="156" t="str">
        <f>IF(OR('Lane(s) Closed on Mainline'!D20:E20="",D11="",D12=""),"",IF('Lane(s) Closed on Mainline'!D20:E20="(MISSING INPUT)","(MISSING INPUT ABOVE)",'Lane(s) Closed on Mainline'!D20:E20*D11*D12))</f>
        <v/>
      </c>
      <c r="E13" s="157"/>
      <c r="F13" s="57"/>
    </row>
    <row r="14" spans="2:6" ht="16.5" customHeight="1" x14ac:dyDescent="0.25">
      <c r="B14" s="51"/>
      <c r="C14" s="51"/>
      <c r="D14" s="52"/>
      <c r="E14" s="89" t="s">
        <v>157</v>
      </c>
      <c r="F14" s="46"/>
    </row>
    <row r="15" spans="2:6" ht="69.95" customHeight="1" x14ac:dyDescent="0.2">
      <c r="B15" s="158" t="s">
        <v>91</v>
      </c>
      <c r="C15" s="158"/>
      <c r="D15" s="158"/>
      <c r="E15" s="158"/>
    </row>
    <row r="16" spans="2:6" ht="6" customHeight="1" x14ac:dyDescent="0.2"/>
    <row r="17" spans="2:5" x14ac:dyDescent="0.2">
      <c r="B17" s="39" t="s">
        <v>38</v>
      </c>
      <c r="C17" s="41">
        <f ca="1">TODAY()</f>
        <v>45939</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6:E6"/>
    <mergeCell ref="B2:E2"/>
    <mergeCell ref="B3:E3"/>
    <mergeCell ref="B4:C4"/>
    <mergeCell ref="D4:E4"/>
    <mergeCell ref="B5:C5"/>
    <mergeCell ref="D5:E5"/>
    <mergeCell ref="B13:C13"/>
    <mergeCell ref="D13:E13"/>
    <mergeCell ref="B15:E15"/>
    <mergeCell ref="B7:E7"/>
    <mergeCell ref="B8:E8"/>
    <mergeCell ref="B10:C10"/>
    <mergeCell ref="D10:E10"/>
    <mergeCell ref="B11:C11"/>
    <mergeCell ref="D11:E11"/>
    <mergeCell ref="B12:C12"/>
    <mergeCell ref="D12:E12"/>
    <mergeCell ref="B9:C9"/>
    <mergeCell ref="D9:E9"/>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75" t="s">
        <v>16</v>
      </c>
      <c r="C2" s="175"/>
      <c r="D2" s="175"/>
      <c r="E2" s="175"/>
      <c r="G2" s="122"/>
    </row>
    <row r="3" spans="2:7" ht="15.75" customHeight="1" x14ac:dyDescent="0.2">
      <c r="B3" s="176" t="s">
        <v>172</v>
      </c>
      <c r="C3" s="177"/>
      <c r="D3" s="177"/>
      <c r="E3" s="178"/>
    </row>
    <row r="4" spans="2:7" ht="15.75" customHeight="1" x14ac:dyDescent="0.25">
      <c r="B4" s="142" t="s">
        <v>55</v>
      </c>
      <c r="C4" s="143"/>
      <c r="D4" s="194" t="s">
        <v>59</v>
      </c>
      <c r="E4" s="195"/>
    </row>
    <row r="5" spans="2:7" ht="15.75" customHeight="1" x14ac:dyDescent="0.25">
      <c r="B5" s="142" t="s">
        <v>173</v>
      </c>
      <c r="C5" s="143"/>
      <c r="D5" s="194"/>
      <c r="E5" s="195"/>
    </row>
    <row r="6" spans="2:7" ht="21.75" customHeight="1" x14ac:dyDescent="0.25">
      <c r="B6" s="196" t="s">
        <v>15</v>
      </c>
      <c r="C6" s="197"/>
      <c r="D6" s="197"/>
      <c r="E6" s="198"/>
    </row>
    <row r="7" spans="2:7" ht="15.75" customHeight="1" x14ac:dyDescent="0.25">
      <c r="B7" s="142" t="s">
        <v>46</v>
      </c>
      <c r="C7" s="143"/>
      <c r="D7" s="194"/>
      <c r="E7" s="195"/>
    </row>
    <row r="8" spans="2:7" ht="15.75" x14ac:dyDescent="0.25">
      <c r="B8" s="142" t="s">
        <v>178</v>
      </c>
      <c r="C8" s="143"/>
      <c r="D8" s="190"/>
      <c r="E8" s="191"/>
    </row>
    <row r="9" spans="2:7" ht="15.75" x14ac:dyDescent="0.25">
      <c r="B9" s="127" t="s">
        <v>179</v>
      </c>
      <c r="C9" s="128"/>
      <c r="D9" s="192"/>
      <c r="E9" s="193"/>
    </row>
    <row r="10" spans="2:7" ht="15.75" x14ac:dyDescent="0.25">
      <c r="B10" s="142" t="s">
        <v>109</v>
      </c>
      <c r="C10" s="143"/>
      <c r="D10" s="190"/>
      <c r="E10" s="191"/>
    </row>
    <row r="11" spans="2:7" ht="21.75" customHeight="1" x14ac:dyDescent="0.25">
      <c r="B11" s="173" t="s">
        <v>19</v>
      </c>
      <c r="C11" s="174"/>
      <c r="D11" s="165"/>
      <c r="E11" s="166"/>
    </row>
    <row r="12" spans="2:7" ht="15.75" x14ac:dyDescent="0.25">
      <c r="B12" s="164"/>
      <c r="C12" s="166"/>
      <c r="D12" s="47" t="s">
        <v>9</v>
      </c>
      <c r="E12" s="48" t="s">
        <v>0</v>
      </c>
    </row>
    <row r="13" spans="2:7" ht="16.5" customHeight="1" x14ac:dyDescent="0.2">
      <c r="B13" s="129" t="s">
        <v>80</v>
      </c>
      <c r="C13" s="130"/>
      <c r="D13" s="23" t="str">
        <f>IF(D7="","",LOOKUP(D7,'CPI Data'!H7:H34,'CPI Data'!F7:F34))</f>
        <v/>
      </c>
      <c r="E13" s="24" t="str">
        <f>IF(D7="","",LOOKUP(D7,'CPI Data'!H7:H34,'CPI Data'!G7:G34))</f>
        <v/>
      </c>
    </row>
    <row r="14" spans="2:7" ht="15" x14ac:dyDescent="0.2">
      <c r="B14" s="131" t="s">
        <v>108</v>
      </c>
      <c r="C14" s="132"/>
      <c r="D14" s="49" t="str">
        <f>IF(OR(D9="",D8=""),"",(D8*(1-D9)))</f>
        <v/>
      </c>
      <c r="E14" s="50" t="str">
        <f>IF(OR(D9="",D8=""),"",(D8*D9))</f>
        <v/>
      </c>
    </row>
    <row r="15" spans="2:7" ht="16.5" customHeight="1" x14ac:dyDescent="0.2">
      <c r="B15" s="131" t="s">
        <v>110</v>
      </c>
      <c r="C15" s="132"/>
      <c r="D15" s="23" t="str">
        <f>IF(OR(D13="",D14=""),"",(D14*D13))</f>
        <v/>
      </c>
      <c r="E15" s="24" t="str">
        <f>IF(OR(E13="",E14=""),"",(E14*E13))</f>
        <v/>
      </c>
      <c r="F15" s="46"/>
    </row>
    <row r="16" spans="2:7" ht="16.5" customHeight="1" x14ac:dyDescent="0.2">
      <c r="B16" s="131" t="s">
        <v>111</v>
      </c>
      <c r="C16" s="132"/>
      <c r="D16" s="151" t="str">
        <f>IF(OR(D15="",E15=""),"",D15+E15)</f>
        <v/>
      </c>
      <c r="E16" s="152"/>
      <c r="F16" s="46"/>
    </row>
    <row r="17" spans="2:6" ht="16.5" customHeight="1" x14ac:dyDescent="0.2">
      <c r="B17" s="131" t="s">
        <v>112</v>
      </c>
      <c r="C17" s="132"/>
      <c r="D17" s="151" t="str">
        <f>IF(OR(D10="",D16=""),"",D16/D10)</f>
        <v/>
      </c>
      <c r="E17" s="152"/>
      <c r="F17" s="46"/>
    </row>
    <row r="18" spans="2:6" ht="16.5" customHeight="1" x14ac:dyDescent="0.2">
      <c r="B18" s="131" t="s">
        <v>113</v>
      </c>
      <c r="C18" s="132"/>
      <c r="D18" s="151" t="str">
        <f>IF(D17="","",D17/24)</f>
        <v/>
      </c>
      <c r="E18" s="152"/>
      <c r="F18" s="46"/>
    </row>
    <row r="19" spans="2:6" ht="16.5" customHeight="1" x14ac:dyDescent="0.2">
      <c r="B19" s="131" t="s">
        <v>114</v>
      </c>
      <c r="C19" s="132"/>
      <c r="D19" s="151" t="str">
        <f>IF(D18="","",D18/60)</f>
        <v/>
      </c>
      <c r="E19" s="152"/>
      <c r="F19" s="46"/>
    </row>
    <row r="20" spans="2:6" ht="16.5" customHeight="1" x14ac:dyDescent="0.25">
      <c r="B20" s="153" t="s">
        <v>116</v>
      </c>
      <c r="C20" s="154"/>
      <c r="D20" s="156" t="str">
        <f>IF(D19="","(MISSING INPUT)",_xlfn.FLOOR.MATH(D19,5))</f>
        <v>(MISSING INPUT)</v>
      </c>
      <c r="E20" s="157"/>
      <c r="F20" s="46"/>
    </row>
    <row r="21" spans="2:6" ht="15" customHeight="1" x14ac:dyDescent="0.25">
      <c r="B21" s="51"/>
      <c r="C21" s="51"/>
      <c r="D21" s="52"/>
      <c r="E21" s="52"/>
      <c r="F21" s="46"/>
    </row>
    <row r="22" spans="2:6" ht="30" customHeight="1" x14ac:dyDescent="0.2">
      <c r="B22" s="159" t="s">
        <v>187</v>
      </c>
      <c r="C22" s="160"/>
      <c r="D22" s="161"/>
      <c r="E22" s="162"/>
      <c r="F22" s="46"/>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184</v>
      </c>
      <c r="C25" s="158"/>
      <c r="D25" s="158"/>
      <c r="E25" s="158"/>
    </row>
    <row r="26" spans="2:6" ht="6" customHeight="1" x14ac:dyDescent="0.2"/>
    <row r="27" spans="2:6" ht="30" customHeight="1" x14ac:dyDescent="0.2">
      <c r="B27" s="158" t="s">
        <v>175</v>
      </c>
      <c r="C27" s="158"/>
      <c r="D27" s="158"/>
      <c r="E27" s="158"/>
    </row>
    <row r="28" spans="2:6" ht="6" customHeight="1" x14ac:dyDescent="0.2">
      <c r="B28" s="58"/>
      <c r="C28" s="58"/>
      <c r="D28" s="58"/>
      <c r="E28" s="58"/>
    </row>
    <row r="29" spans="2:6" ht="69.95" customHeight="1" x14ac:dyDescent="0.2">
      <c r="B29" s="180" t="s">
        <v>176</v>
      </c>
      <c r="C29" s="158"/>
      <c r="D29" s="158"/>
      <c r="E29" s="158"/>
    </row>
    <row r="30" spans="2:6" ht="6" customHeight="1" x14ac:dyDescent="0.2"/>
    <row r="31" spans="2:6" x14ac:dyDescent="0.2">
      <c r="B31" s="39" t="s">
        <v>38</v>
      </c>
      <c r="C31" s="41">
        <f ca="1">TODAY()</f>
        <v>45939</v>
      </c>
      <c r="D31" s="39"/>
      <c r="E31" s="39"/>
    </row>
    <row r="32" spans="2:6" ht="6" customHeight="1" x14ac:dyDescent="0.2"/>
    <row r="33" spans="2:5" x14ac:dyDescent="0.2">
      <c r="B33" t="s">
        <v>1</v>
      </c>
    </row>
    <row r="34" spans="2:5" x14ac:dyDescent="0.2">
      <c r="B34" s="39"/>
      <c r="C34" s="41"/>
      <c r="D34" s="39"/>
      <c r="E34" s="39"/>
    </row>
    <row r="35" spans="2:5" ht="22.5" customHeight="1" x14ac:dyDescent="0.2">
      <c r="B35" s="120" t="s">
        <v>74</v>
      </c>
      <c r="D35" s="122"/>
    </row>
    <row r="36" spans="2:5" s="121" customFormat="1" ht="111" customHeight="1" x14ac:dyDescent="0.2">
      <c r="B36" s="155" t="s">
        <v>181</v>
      </c>
      <c r="C36" s="155"/>
      <c r="D36" s="155"/>
      <c r="E36" s="155"/>
    </row>
    <row r="37" spans="2:5" s="121" customFormat="1" ht="84.95" customHeight="1" x14ac:dyDescent="0.2">
      <c r="B37" s="155" t="s">
        <v>180</v>
      </c>
      <c r="C37" s="155"/>
      <c r="D37" s="155"/>
      <c r="E37" s="155"/>
    </row>
    <row r="38" spans="2:5" s="121" customFormat="1" ht="86.1" customHeight="1" x14ac:dyDescent="0.2">
      <c r="B38" s="155" t="s">
        <v>182</v>
      </c>
      <c r="C38" s="155"/>
      <c r="D38" s="155"/>
      <c r="E38" s="155"/>
    </row>
    <row r="39" spans="2:5" s="121" customFormat="1" ht="84" customHeight="1" x14ac:dyDescent="0.2">
      <c r="B39" s="155" t="s">
        <v>183</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sheetData>
  <sheetProtection algorithmName="SHA-512" hashValue="iQHs4X3vVR4WaNeDvyK5YhfLuclvYIbB/GOJuasn3tXzoJPaqK2dGOFgIomnMw2s3b6X+/iGeMbP9YNT17zKOQ==" saltValue="R5TrXfDDiTFVVciyEmbJog==" spinCount="100000" sheet="1" objects="1" scenarios="1" selectLockedCells="1"/>
  <mergeCells count="46">
    <mergeCell ref="B52:E52"/>
    <mergeCell ref="B47:E47"/>
    <mergeCell ref="B48:E48"/>
    <mergeCell ref="B49:E49"/>
    <mergeCell ref="B50:E50"/>
    <mergeCell ref="B51:E51"/>
    <mergeCell ref="B36:E36"/>
    <mergeCell ref="B37:E37"/>
    <mergeCell ref="B38:E38"/>
    <mergeCell ref="B39:E39"/>
    <mergeCell ref="B43:E43"/>
    <mergeCell ref="B9:C9"/>
    <mergeCell ref="D9:E9"/>
    <mergeCell ref="B2:E2"/>
    <mergeCell ref="B3:E3"/>
    <mergeCell ref="B4:C4"/>
    <mergeCell ref="D4:E4"/>
    <mergeCell ref="B5:C5"/>
    <mergeCell ref="D5:E5"/>
    <mergeCell ref="B6:E6"/>
    <mergeCell ref="B7:C7"/>
    <mergeCell ref="D7:E7"/>
    <mergeCell ref="B8:C8"/>
    <mergeCell ref="D8:E8"/>
    <mergeCell ref="B18:C18"/>
    <mergeCell ref="D18:E18"/>
    <mergeCell ref="B10:C10"/>
    <mergeCell ref="D10:E10"/>
    <mergeCell ref="B11:E11"/>
    <mergeCell ref="B12:C12"/>
    <mergeCell ref="B13:C13"/>
    <mergeCell ref="B14:C14"/>
    <mergeCell ref="B15:C15"/>
    <mergeCell ref="B16:C16"/>
    <mergeCell ref="D16:E16"/>
    <mergeCell ref="B17:C17"/>
    <mergeCell ref="D17:E17"/>
    <mergeCell ref="B29:E29"/>
    <mergeCell ref="B19:C19"/>
    <mergeCell ref="D19:E19"/>
    <mergeCell ref="B20:C20"/>
    <mergeCell ref="D20:E20"/>
    <mergeCell ref="B25:E25"/>
    <mergeCell ref="B27:E27"/>
    <mergeCell ref="B22:E22"/>
    <mergeCell ref="B23:E23"/>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28</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29</v>
      </c>
      <c r="C10" s="128"/>
      <c r="D10" s="61"/>
      <c r="E10" s="61"/>
    </row>
    <row r="11" spans="2:5" ht="15.75" x14ac:dyDescent="0.25">
      <c r="B11" s="127" t="s">
        <v>30</v>
      </c>
      <c r="C11" s="128"/>
      <c r="D11" s="61"/>
      <c r="E11" s="61"/>
    </row>
    <row r="12" spans="2:5" ht="15.75" x14ac:dyDescent="0.25">
      <c r="B12" s="125" t="s">
        <v>25</v>
      </c>
      <c r="C12" s="126"/>
      <c r="D12" s="204"/>
      <c r="E12" s="205"/>
    </row>
    <row r="13" spans="2:5" ht="21.75" customHeight="1" x14ac:dyDescent="0.25">
      <c r="B13" s="173" t="s">
        <v>19</v>
      </c>
      <c r="C13" s="174"/>
      <c r="D13" s="165"/>
      <c r="E13" s="166"/>
    </row>
    <row r="14" spans="2:5" ht="16.5" customHeight="1" x14ac:dyDescent="0.2">
      <c r="B14" s="129" t="s">
        <v>81</v>
      </c>
      <c r="C14" s="130"/>
      <c r="D14" s="23" t="str">
        <f>IF(D7="","",LOOKUP(D7,'CPI Data'!H7:H34,'CPI Data'!F7:F34))</f>
        <v/>
      </c>
      <c r="E14" s="24" t="str">
        <f>IF(D7="","",LOOKUP(D7,'CPI Data'!H7:H34,'CPI Data'!G7:G34))</f>
        <v/>
      </c>
    </row>
    <row r="15" spans="2:5" ht="15" x14ac:dyDescent="0.2">
      <c r="B15" s="131" t="s">
        <v>31</v>
      </c>
      <c r="C15" s="132"/>
      <c r="D15" s="25" t="str">
        <f>IF((OR(D10="",D11="")),"",D11-D10)</f>
        <v/>
      </c>
      <c r="E15" s="25" t="str">
        <f>IF((OR(E10="",E11="")),"",E11-E10)</f>
        <v/>
      </c>
    </row>
    <row r="16" spans="2:5" ht="15" x14ac:dyDescent="0.2">
      <c r="B16" s="131" t="s">
        <v>21</v>
      </c>
      <c r="C16" s="132"/>
      <c r="D16" s="26" t="str">
        <f>IF(D15="","",D15/60)</f>
        <v/>
      </c>
      <c r="E16" s="26" t="str">
        <f>IF(E15="","",E15/60)</f>
        <v/>
      </c>
    </row>
    <row r="17" spans="2:5" ht="15" x14ac:dyDescent="0.2">
      <c r="B17" s="131" t="s">
        <v>40</v>
      </c>
      <c r="C17" s="132"/>
      <c r="D17" s="21" t="str">
        <f>IF((OR(D14="",D16="")),"",D16*D14)</f>
        <v/>
      </c>
      <c r="E17" s="21" t="str">
        <f>IF((OR(E14="",E16="")),"",E16*E14)</f>
        <v/>
      </c>
    </row>
    <row r="18" spans="2:5" ht="15" x14ac:dyDescent="0.2">
      <c r="B18" s="131" t="s">
        <v>39</v>
      </c>
      <c r="C18" s="132"/>
      <c r="D18" s="21" t="str">
        <f>IF(D17="","",D17*$D$9)</f>
        <v/>
      </c>
      <c r="E18" s="21" t="str">
        <f>IF(E17="","",E17*$E$9)</f>
        <v/>
      </c>
    </row>
    <row r="19" spans="2:5" ht="15" x14ac:dyDescent="0.2">
      <c r="B19" s="131" t="s">
        <v>44</v>
      </c>
      <c r="C19" s="132"/>
      <c r="D19" s="22" t="str">
        <f>IF((OR(D12="",D18="")),"",D18*$D$12)</f>
        <v/>
      </c>
      <c r="E19" s="22" t="str">
        <f>IF((OR(D12="",E18="")),"",E18*$D$12)</f>
        <v/>
      </c>
    </row>
    <row r="20" spans="2:5" ht="15.75" x14ac:dyDescent="0.25">
      <c r="B20" s="127" t="s">
        <v>45</v>
      </c>
      <c r="C20" s="128"/>
      <c r="D20" s="137" t="str">
        <f>IF((OR(D9="",E9="",D19="",E19="")),"(Missing Input)",(D19+E19))</f>
        <v>(Missing Input)</v>
      </c>
      <c r="E20" s="137"/>
    </row>
    <row r="21" spans="2:5" ht="15.75" x14ac:dyDescent="0.25">
      <c r="B21" s="125" t="s">
        <v>56</v>
      </c>
      <c r="C21" s="126"/>
      <c r="D21" s="137" t="str">
        <f>IF((OR(D12="",D20="",D20="(Missing Input)")),"(Missing Input)",D20/D12)</f>
        <v>(Missing Input)</v>
      </c>
      <c r="E21" s="137"/>
    </row>
    <row r="22" spans="2:5" ht="15" customHeight="1" x14ac:dyDescent="0.2"/>
    <row r="23" spans="2:5" ht="30" customHeight="1" x14ac:dyDescent="0.2">
      <c r="B23" s="159" t="s">
        <v>188</v>
      </c>
      <c r="C23" s="160"/>
      <c r="D23" s="161"/>
      <c r="E23" s="162"/>
    </row>
    <row r="24" spans="2:5" ht="75" customHeight="1" x14ac:dyDescent="0.2">
      <c r="B24" s="206"/>
      <c r="C24" s="206"/>
      <c r="D24" s="206"/>
      <c r="E24" s="206"/>
    </row>
    <row r="25" spans="2:5" x14ac:dyDescent="0.2">
      <c r="E25" s="90" t="s">
        <v>209</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45939</v>
      </c>
      <c r="D30" s="39"/>
      <c r="E30" s="39"/>
    </row>
    <row r="31" spans="2:5" ht="6" customHeight="1" x14ac:dyDescent="0.2"/>
    <row r="32" spans="2:5" x14ac:dyDescent="0.2">
      <c r="B32" t="s">
        <v>1</v>
      </c>
    </row>
  </sheetData>
  <sheetProtection algorithmName="SHA-512" hashValue="b5G7hY3gAI+fNIW73Yyxsh3jkwblCVw7k1DProVa1vSNn1FGZuLFsiMK/CEKO847O1ubGI4LeZxm2cMTV25PKw==" saltValue="IjjVjO6xfCpVTIzW6bmFOw==" spinCount="100000" sheet="1" objects="1" scenarios="1" selectLockedCells="1"/>
  <mergeCells count="27">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 ref="B18:C18"/>
    <mergeCell ref="B13:E13"/>
    <mergeCell ref="B14:C14"/>
    <mergeCell ref="B12:C12"/>
    <mergeCell ref="D12:E12"/>
    <mergeCell ref="B2:E2"/>
    <mergeCell ref="B3:E3"/>
    <mergeCell ref="B4:C4"/>
    <mergeCell ref="D4:E4"/>
    <mergeCell ref="B5:C5"/>
    <mergeCell ref="D5:E5"/>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22</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23</v>
      </c>
      <c r="C10" s="128"/>
      <c r="D10" s="62"/>
      <c r="E10" s="62"/>
    </row>
    <row r="11" spans="2:5" ht="15.75" x14ac:dyDescent="0.25">
      <c r="B11" s="127" t="s">
        <v>24</v>
      </c>
      <c r="C11" s="128"/>
      <c r="D11" s="62"/>
      <c r="E11" s="62"/>
    </row>
    <row r="12" spans="2:5" ht="15.75" x14ac:dyDescent="0.25">
      <c r="B12" s="127" t="s">
        <v>57</v>
      </c>
      <c r="C12" s="128"/>
      <c r="D12" s="61"/>
      <c r="E12" s="61"/>
    </row>
    <row r="13" spans="2:5" ht="15.75" x14ac:dyDescent="0.25">
      <c r="B13" s="127" t="s">
        <v>58</v>
      </c>
      <c r="C13" s="128"/>
      <c r="D13" s="61"/>
      <c r="E13" s="61"/>
    </row>
    <row r="14" spans="2:5" ht="15.75" x14ac:dyDescent="0.25">
      <c r="B14" s="125" t="s">
        <v>25</v>
      </c>
      <c r="C14" s="126"/>
      <c r="D14" s="204"/>
      <c r="E14" s="205"/>
    </row>
    <row r="15" spans="2:5" ht="21.75" customHeight="1" x14ac:dyDescent="0.25">
      <c r="B15" s="173" t="s">
        <v>19</v>
      </c>
      <c r="C15" s="174"/>
      <c r="D15" s="165"/>
      <c r="E15" s="166"/>
    </row>
    <row r="16" spans="2:5" ht="16.5" customHeight="1" x14ac:dyDescent="0.2">
      <c r="B16" s="129" t="s">
        <v>81</v>
      </c>
      <c r="C16" s="130"/>
      <c r="D16" s="23" t="str">
        <f>IF(D7="","",LOOKUP(D7,'CPI Data'!H7:H34,'CPI Data'!F7:F34))</f>
        <v/>
      </c>
      <c r="E16" s="24" t="str">
        <f>IF(D7="","",LOOKUP(D7,'CPI Data'!H7:H34,'CPI Data'!G7:G34))</f>
        <v/>
      </c>
    </row>
    <row r="17" spans="2:5" ht="15" x14ac:dyDescent="0.2">
      <c r="B17" s="131" t="s">
        <v>26</v>
      </c>
      <c r="C17" s="132"/>
      <c r="D17" s="25" t="str">
        <f>IF((OR(D10="",D12="")),"",(1/((1/$D$10)*D12))*60*60)</f>
        <v/>
      </c>
      <c r="E17" s="25" t="str">
        <f>IF((OR(E10="",E12="")),"",(1/((1/E10)*E12))*60*60)</f>
        <v/>
      </c>
    </row>
    <row r="18" spans="2:5" ht="15" x14ac:dyDescent="0.2">
      <c r="B18" s="131" t="s">
        <v>27</v>
      </c>
      <c r="C18" s="132"/>
      <c r="D18" s="25" t="str">
        <f>IF((OR(D11="",D13="")),"",(1/((1/$D$11)*D13))*60*60)</f>
        <v/>
      </c>
      <c r="E18" s="25" t="str">
        <f>IF((OR(E11="",E13="")),"",(1/((1/E11)*E13))*60*60)</f>
        <v/>
      </c>
    </row>
    <row r="19" spans="2:5" ht="15" x14ac:dyDescent="0.2">
      <c r="B19" s="131" t="s">
        <v>20</v>
      </c>
      <c r="C19" s="132"/>
      <c r="D19" s="25" t="str">
        <f>IF((OR(D17="",D18="")),"",D18-D17)</f>
        <v/>
      </c>
      <c r="E19" s="25" t="str">
        <f>IF((OR(E17="",E18="")),"",E18-E17)</f>
        <v/>
      </c>
    </row>
    <row r="20" spans="2:5" ht="15" x14ac:dyDescent="0.2">
      <c r="B20" s="131" t="s">
        <v>21</v>
      </c>
      <c r="C20" s="132"/>
      <c r="D20" s="26" t="str">
        <f>IF(D19="","",D19/3600)</f>
        <v/>
      </c>
      <c r="E20" s="26" t="str">
        <f>IF(E19="","",E19/3600)</f>
        <v/>
      </c>
    </row>
    <row r="21" spans="2:5" ht="15" x14ac:dyDescent="0.2">
      <c r="B21" s="131" t="s">
        <v>40</v>
      </c>
      <c r="C21" s="132"/>
      <c r="D21" s="21" t="str">
        <f>IF((OR(D16="",D20="")),"",D20*D16)</f>
        <v/>
      </c>
      <c r="E21" s="21" t="str">
        <f>IF((OR(E16="",E20="")),"",E20*E16)</f>
        <v/>
      </c>
    </row>
    <row r="22" spans="2:5" ht="15" x14ac:dyDescent="0.2">
      <c r="B22" s="131" t="s">
        <v>39</v>
      </c>
      <c r="C22" s="132"/>
      <c r="D22" s="21" t="str">
        <f>IF(D21="","",D21*$D$9)</f>
        <v/>
      </c>
      <c r="E22" s="21" t="str">
        <f>IF(E21="","",E21*$E$9)</f>
        <v/>
      </c>
    </row>
    <row r="23" spans="2:5" ht="15" x14ac:dyDescent="0.2">
      <c r="B23" s="131" t="s">
        <v>44</v>
      </c>
      <c r="C23" s="132"/>
      <c r="D23" s="22" t="str">
        <f>IF((OR(D14="",D22="")),"",D22*$D$14)</f>
        <v/>
      </c>
      <c r="E23" s="22" t="str">
        <f>IF((OR(D14="",E22="")),"",E22*$D$14)</f>
        <v/>
      </c>
    </row>
    <row r="24" spans="2:5" ht="15.75" x14ac:dyDescent="0.25">
      <c r="B24" s="127" t="s">
        <v>45</v>
      </c>
      <c r="C24" s="128"/>
      <c r="D24" s="137" t="str">
        <f>IF((OR(D9="",E9="",D23="",E23="")),"(Missing Input)",(D23+E23))</f>
        <v>(Missing Input)</v>
      </c>
      <c r="E24" s="137"/>
    </row>
    <row r="25" spans="2:5" ht="15.75" x14ac:dyDescent="0.25">
      <c r="B25" s="125" t="s">
        <v>56</v>
      </c>
      <c r="C25" s="126"/>
      <c r="D25" s="137" t="str">
        <f>IF((OR(D14="",D24="",D24="(Missing Input)")),"(Missing Input)",D24/D14)</f>
        <v>(Missing Input)</v>
      </c>
      <c r="E25" s="137"/>
    </row>
    <row r="26" spans="2:5" ht="15" customHeight="1" x14ac:dyDescent="0.2"/>
    <row r="27" spans="2:5" ht="30" customHeight="1" x14ac:dyDescent="0.2">
      <c r="B27" s="159" t="s">
        <v>188</v>
      </c>
      <c r="C27" s="160"/>
      <c r="D27" s="161"/>
      <c r="E27" s="162"/>
    </row>
    <row r="28" spans="2:5" ht="75" customHeight="1" x14ac:dyDescent="0.2">
      <c r="B28" s="206"/>
      <c r="C28" s="206"/>
      <c r="D28" s="206"/>
      <c r="E28" s="206"/>
    </row>
    <row r="29" spans="2:5" x14ac:dyDescent="0.2">
      <c r="E29" s="90" t="s">
        <v>209</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45939</v>
      </c>
      <c r="D34" s="39"/>
      <c r="E34" s="39"/>
    </row>
    <row r="35" spans="2:5" ht="6" customHeight="1" x14ac:dyDescent="0.2"/>
    <row r="36" spans="2:5" x14ac:dyDescent="0.2">
      <c r="B36" t="s">
        <v>1</v>
      </c>
    </row>
  </sheetData>
  <sheetProtection algorithmName="SHA-512" hashValue="2vzoTa7sEndHjrlZ2ibopEsQMaDs3NXz+hhLHNVMD88nELA8fljD1uzTGnJdZp8TZ90CvJKYnf0psYHC7MvaBA==" saltValue="kMJwyT6oB2bXZGVucdmONg==" spinCount="100000" sheet="1" objects="1" scenarios="1" selectLockedCells="1"/>
  <mergeCells count="31">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 ref="B11:C11"/>
    <mergeCell ref="B7:C7"/>
    <mergeCell ref="B15:E15"/>
    <mergeCell ref="D24:E24"/>
    <mergeCell ref="B19:C19"/>
    <mergeCell ref="B27:E27"/>
    <mergeCell ref="B24:C24"/>
    <mergeCell ref="B16:C16"/>
    <mergeCell ref="B17:C17"/>
    <mergeCell ref="B18:C18"/>
    <mergeCell ref="B23:C23"/>
    <mergeCell ref="B25:C25"/>
    <mergeCell ref="B21:C21"/>
    <mergeCell ref="D25:E25"/>
    <mergeCell ref="B22:C22"/>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A48" sqref="A48"/>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14" t="s">
        <v>119</v>
      </c>
      <c r="B1" s="214"/>
      <c r="C1" s="214"/>
      <c r="D1" s="214"/>
      <c r="E1" s="214"/>
      <c r="F1" s="214"/>
      <c r="G1" s="214"/>
      <c r="H1" s="214"/>
      <c r="I1" s="214"/>
    </row>
    <row r="2" spans="1:11" x14ac:dyDescent="0.2">
      <c r="A2" s="215" t="s">
        <v>60</v>
      </c>
      <c r="B2" s="215"/>
      <c r="C2" s="215"/>
      <c r="D2" s="215"/>
      <c r="E2" s="215"/>
      <c r="F2" s="215"/>
      <c r="G2" s="215"/>
      <c r="H2" s="215"/>
      <c r="I2" s="215"/>
    </row>
    <row r="3" spans="1:11" ht="30.75" customHeight="1" thickBot="1" x14ac:dyDescent="0.25">
      <c r="A3" s="216" t="s">
        <v>120</v>
      </c>
      <c r="B3" s="216"/>
      <c r="C3" s="216"/>
      <c r="D3" s="216"/>
      <c r="E3" s="216"/>
      <c r="F3" s="216"/>
      <c r="G3" s="216"/>
      <c r="H3" s="216"/>
      <c r="I3" s="216"/>
    </row>
    <row r="4" spans="1:11" ht="19.5" hidden="1" customHeight="1" thickBot="1" x14ac:dyDescent="0.25">
      <c r="A4" s="217" t="s">
        <v>7</v>
      </c>
      <c r="B4" s="217"/>
      <c r="C4" s="217"/>
      <c r="D4" s="217"/>
      <c r="E4" s="217"/>
      <c r="F4" s="217"/>
      <c r="G4" s="217"/>
      <c r="H4" s="217"/>
      <c r="I4" s="217"/>
    </row>
    <row r="5" spans="1:11" ht="14.25" customHeight="1" x14ac:dyDescent="0.2">
      <c r="A5" s="222" t="s">
        <v>11</v>
      </c>
      <c r="B5" s="220" t="s">
        <v>2</v>
      </c>
      <c r="C5" s="220"/>
      <c r="D5" s="220" t="s">
        <v>6</v>
      </c>
      <c r="E5" s="220" t="s">
        <v>5</v>
      </c>
      <c r="F5" s="218" t="s">
        <v>8</v>
      </c>
      <c r="G5" s="218"/>
      <c r="H5" s="218" t="s">
        <v>12</v>
      </c>
      <c r="I5" s="210" t="s">
        <v>13</v>
      </c>
    </row>
    <row r="6" spans="1:11" x14ac:dyDescent="0.2">
      <c r="A6" s="223"/>
      <c r="B6" s="109" t="s">
        <v>3</v>
      </c>
      <c r="C6" s="109" t="s">
        <v>4</v>
      </c>
      <c r="D6" s="221"/>
      <c r="E6" s="221"/>
      <c r="F6" s="109" t="s">
        <v>9</v>
      </c>
      <c r="G6" s="109" t="s">
        <v>10</v>
      </c>
      <c r="H6" s="219"/>
      <c r="I6" s="211"/>
    </row>
    <row r="7" spans="1:11" x14ac:dyDescent="0.2">
      <c r="A7" s="13">
        <v>2008</v>
      </c>
      <c r="B7" s="14">
        <v>214.429</v>
      </c>
      <c r="C7" s="14">
        <v>216.17699999999999</v>
      </c>
      <c r="D7" s="14">
        <v>215.303</v>
      </c>
      <c r="E7" s="15"/>
      <c r="F7" s="16">
        <v>19.22</v>
      </c>
      <c r="G7" s="16">
        <v>51.88</v>
      </c>
      <c r="H7" s="17">
        <v>2009</v>
      </c>
      <c r="I7" s="211"/>
    </row>
    <row r="8" spans="1:11" x14ac:dyDescent="0.2">
      <c r="A8" s="13">
        <v>2009</v>
      </c>
      <c r="B8" s="14">
        <v>213.13900000000001</v>
      </c>
      <c r="C8" s="14">
        <v>215.935</v>
      </c>
      <c r="D8" s="14">
        <v>214.53700000000001</v>
      </c>
      <c r="E8" s="18">
        <f t="shared" ref="E8:E23" si="0">(D8-$D$7)/$D$7</f>
        <v>-3.5577767146764846E-3</v>
      </c>
      <c r="F8" s="16">
        <f t="shared" ref="F8:F15" si="1">$F$7*E8+$F$7</f>
        <v>19.151619531543918</v>
      </c>
      <c r="G8" s="16">
        <f t="shared" ref="G8:G15" si="2">$G$7*E8+$G$7</f>
        <v>51.695422544042586</v>
      </c>
      <c r="H8" s="17">
        <v>2010</v>
      </c>
      <c r="I8" s="211"/>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11"/>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11"/>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11"/>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11"/>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11"/>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11"/>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11"/>
    </row>
    <row r="16" spans="1:11" ht="12.75" customHeight="1" x14ac:dyDescent="0.2">
      <c r="A16" s="13">
        <v>2017</v>
      </c>
      <c r="B16" s="12">
        <v>244.07599999999999</v>
      </c>
      <c r="C16" s="12">
        <v>246.16300000000001</v>
      </c>
      <c r="D16" s="12">
        <v>245.12</v>
      </c>
      <c r="E16" s="42">
        <f t="shared" si="0"/>
        <v>0.13848854869648825</v>
      </c>
      <c r="F16" s="16">
        <f t="shared" ref="F16:F23" si="3">$F$7*E16+$F$7</f>
        <v>21.881749905946503</v>
      </c>
      <c r="G16" s="16">
        <f t="shared" ref="G16:G23" si="4">$G$7*E16+$G$7</f>
        <v>59.064785906373814</v>
      </c>
      <c r="H16" s="17">
        <v>2018</v>
      </c>
      <c r="I16" s="211"/>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11"/>
      <c r="K17" s="74"/>
    </row>
    <row r="18" spans="1:14" s="6" customFormat="1" x14ac:dyDescent="0.2">
      <c r="A18" s="81">
        <v>2019</v>
      </c>
      <c r="B18" s="82">
        <v>254.41200000000001</v>
      </c>
      <c r="C18" s="82">
        <v>256.90300000000002</v>
      </c>
      <c r="D18" s="82">
        <v>255.65700000000001</v>
      </c>
      <c r="E18" s="83">
        <f t="shared" si="0"/>
        <v>0.18742887930033494</v>
      </c>
      <c r="F18" s="16">
        <f t="shared" si="3"/>
        <v>22.822383060152436</v>
      </c>
      <c r="G18" s="16">
        <f t="shared" si="4"/>
        <v>61.603810258101376</v>
      </c>
      <c r="H18" s="17">
        <v>2020</v>
      </c>
      <c r="I18" s="211"/>
    </row>
    <row r="19" spans="1:14" s="6" customFormat="1" x14ac:dyDescent="0.2">
      <c r="A19" s="76">
        <v>2020</v>
      </c>
      <c r="B19" s="77">
        <v>257.55700000000002</v>
      </c>
      <c r="C19" s="77">
        <v>260.065</v>
      </c>
      <c r="D19" s="77">
        <v>258.81099999999998</v>
      </c>
      <c r="E19" s="78">
        <f t="shared" si="0"/>
        <v>0.20207800169992979</v>
      </c>
      <c r="F19" s="79">
        <f t="shared" si="3"/>
        <v>23.103939192672648</v>
      </c>
      <c r="G19" s="79">
        <f t="shared" si="4"/>
        <v>62.363806728192358</v>
      </c>
      <c r="H19" s="80">
        <v>2021</v>
      </c>
      <c r="I19" s="211"/>
      <c r="N19" s="75"/>
    </row>
    <row r="20" spans="1:14" s="6" customFormat="1" x14ac:dyDescent="0.2">
      <c r="A20" s="104">
        <v>2021</v>
      </c>
      <c r="B20" s="105">
        <v>266.23599999999999</v>
      </c>
      <c r="C20" s="105">
        <v>275.70299999999997</v>
      </c>
      <c r="D20" s="105">
        <v>270.97000000000003</v>
      </c>
      <c r="E20" s="106">
        <f t="shared" si="0"/>
        <v>0.25855190127401861</v>
      </c>
      <c r="F20" s="107">
        <f t="shared" si="3"/>
        <v>24.189367542486636</v>
      </c>
      <c r="G20" s="107">
        <f t="shared" si="4"/>
        <v>65.293672638096083</v>
      </c>
      <c r="H20" s="108">
        <v>2022</v>
      </c>
      <c r="I20" s="211"/>
    </row>
    <row r="21" spans="1:14" s="6" customFormat="1" ht="12.75" customHeight="1" x14ac:dyDescent="0.2">
      <c r="A21" s="104">
        <v>2022</v>
      </c>
      <c r="B21" s="105">
        <v>288.34699999999998</v>
      </c>
      <c r="C21" s="105">
        <v>296.96300000000002</v>
      </c>
      <c r="D21" s="105">
        <v>292.65499999999997</v>
      </c>
      <c r="E21" s="106">
        <f t="shared" si="0"/>
        <v>0.35927042354263516</v>
      </c>
      <c r="F21" s="107">
        <f t="shared" si="3"/>
        <v>26.125177540489446</v>
      </c>
      <c r="G21" s="107">
        <f t="shared" si="4"/>
        <v>70.518949573391922</v>
      </c>
      <c r="H21" s="108">
        <v>2023</v>
      </c>
      <c r="I21" s="211"/>
    </row>
    <row r="22" spans="1:14" s="6" customFormat="1" x14ac:dyDescent="0.2">
      <c r="A22" s="81">
        <v>2023</v>
      </c>
      <c r="B22" s="82">
        <v>302.40800000000002</v>
      </c>
      <c r="C22" s="82">
        <v>306.99599999999998</v>
      </c>
      <c r="D22" s="82">
        <v>304.702</v>
      </c>
      <c r="E22" s="83">
        <f t="shared" si="0"/>
        <v>0.41522412599917324</v>
      </c>
      <c r="F22" s="16">
        <f t="shared" si="3"/>
        <v>27.200607701704108</v>
      </c>
      <c r="G22" s="16">
        <f t="shared" si="4"/>
        <v>73.42182765683711</v>
      </c>
      <c r="H22" s="17">
        <v>2024</v>
      </c>
      <c r="I22" s="212"/>
    </row>
    <row r="23" spans="1:14" s="6" customFormat="1" ht="13.5" thickBot="1" x14ac:dyDescent="0.25">
      <c r="A23" s="69">
        <v>2024</v>
      </c>
      <c r="B23" s="70">
        <v>312.14499999999998</v>
      </c>
      <c r="C23" s="70">
        <v>315.233</v>
      </c>
      <c r="D23" s="70">
        <v>313.68900000000002</v>
      </c>
      <c r="E23" s="71">
        <f t="shared" si="0"/>
        <v>0.45696530006548924</v>
      </c>
      <c r="F23" s="72">
        <f t="shared" si="3"/>
        <v>28.002873067258701</v>
      </c>
      <c r="G23" s="16">
        <f t="shared" si="4"/>
        <v>75.587359767397587</v>
      </c>
      <c r="H23" s="73">
        <v>2025</v>
      </c>
      <c r="I23" s="213"/>
    </row>
    <row r="24" spans="1:14" s="6" customFormat="1" x14ac:dyDescent="0.2">
      <c r="A24" s="113">
        <v>2025</v>
      </c>
      <c r="B24" s="114"/>
      <c r="C24" s="114"/>
      <c r="D24" s="114"/>
      <c r="E24" s="115"/>
      <c r="F24" s="116">
        <f t="shared" ref="F24:F34" si="5">F23*0.02+F23</f>
        <v>28.562930528603875</v>
      </c>
      <c r="G24" s="116">
        <f t="shared" ref="G24:G34" si="6">G23*0.02+G23</f>
        <v>77.099106962745537</v>
      </c>
      <c r="H24" s="117">
        <v>2026</v>
      </c>
      <c r="I24" s="207" t="s">
        <v>65</v>
      </c>
    </row>
    <row r="25" spans="1:14" s="6" customFormat="1" x14ac:dyDescent="0.2">
      <c r="A25" s="10">
        <v>2026</v>
      </c>
      <c r="B25" s="65"/>
      <c r="C25" s="65"/>
      <c r="D25" s="65"/>
      <c r="E25" s="67"/>
      <c r="F25" s="19">
        <f t="shared" si="5"/>
        <v>29.134189139175952</v>
      </c>
      <c r="G25" s="19">
        <f t="shared" si="6"/>
        <v>78.64108910200045</v>
      </c>
      <c r="H25" s="8">
        <v>2027</v>
      </c>
      <c r="I25" s="208"/>
    </row>
    <row r="26" spans="1:14" s="6" customFormat="1" x14ac:dyDescent="0.2">
      <c r="A26" s="10">
        <v>2027</v>
      </c>
      <c r="B26" s="65"/>
      <c r="C26" s="65"/>
      <c r="D26" s="65"/>
      <c r="E26" s="67"/>
      <c r="F26" s="19">
        <f t="shared" si="5"/>
        <v>29.716872921959471</v>
      </c>
      <c r="G26" s="19">
        <f t="shared" si="6"/>
        <v>80.213910884040459</v>
      </c>
      <c r="H26" s="8">
        <v>2028</v>
      </c>
      <c r="I26" s="208"/>
    </row>
    <row r="27" spans="1:14" s="6" customFormat="1" x14ac:dyDescent="0.2">
      <c r="A27" s="10">
        <v>2028</v>
      </c>
      <c r="B27" s="65"/>
      <c r="C27" s="65"/>
      <c r="D27" s="65"/>
      <c r="E27" s="67"/>
      <c r="F27" s="19">
        <f t="shared" si="5"/>
        <v>30.311210380398659</v>
      </c>
      <c r="G27" s="19">
        <f t="shared" si="6"/>
        <v>81.818189101721273</v>
      </c>
      <c r="H27" s="8">
        <v>2029</v>
      </c>
      <c r="I27" s="208"/>
    </row>
    <row r="28" spans="1:14" s="6" customFormat="1" x14ac:dyDescent="0.2">
      <c r="A28" s="10">
        <v>2029</v>
      </c>
      <c r="B28" s="65"/>
      <c r="C28" s="65"/>
      <c r="D28" s="65"/>
      <c r="E28" s="67"/>
      <c r="F28" s="19">
        <f t="shared" si="5"/>
        <v>30.917434588006632</v>
      </c>
      <c r="G28" s="19">
        <f t="shared" si="6"/>
        <v>83.454552883755696</v>
      </c>
      <c r="H28" s="8">
        <v>2030</v>
      </c>
      <c r="I28" s="208"/>
    </row>
    <row r="29" spans="1:14" s="6" customFormat="1" x14ac:dyDescent="0.2">
      <c r="A29" s="10">
        <v>2030</v>
      </c>
      <c r="B29" s="65"/>
      <c r="C29" s="65"/>
      <c r="D29" s="65"/>
      <c r="E29" s="67"/>
      <c r="F29" s="19">
        <f t="shared" si="5"/>
        <v>31.535783279766765</v>
      </c>
      <c r="G29" s="19">
        <f t="shared" si="6"/>
        <v>85.123643941430814</v>
      </c>
      <c r="H29" s="8">
        <v>2031</v>
      </c>
      <c r="I29" s="208"/>
    </row>
    <row r="30" spans="1:14" s="6" customFormat="1" x14ac:dyDescent="0.2">
      <c r="A30" s="10">
        <v>2031</v>
      </c>
      <c r="B30" s="65"/>
      <c r="C30" s="65"/>
      <c r="D30" s="65"/>
      <c r="E30" s="67"/>
      <c r="F30" s="19">
        <f t="shared" si="5"/>
        <v>32.1664989453621</v>
      </c>
      <c r="G30" s="19">
        <f t="shared" si="6"/>
        <v>86.826116820259429</v>
      </c>
      <c r="H30" s="8">
        <v>2032</v>
      </c>
      <c r="I30" s="208"/>
    </row>
    <row r="31" spans="1:14" s="6" customFormat="1" x14ac:dyDescent="0.2">
      <c r="A31" s="10">
        <v>2032</v>
      </c>
      <c r="B31" s="65"/>
      <c r="C31" s="65"/>
      <c r="D31" s="65"/>
      <c r="E31" s="67"/>
      <c r="F31" s="19">
        <f t="shared" si="5"/>
        <v>32.80982892426934</v>
      </c>
      <c r="G31" s="19">
        <f t="shared" si="6"/>
        <v>88.562639156664616</v>
      </c>
      <c r="H31" s="8">
        <v>2033</v>
      </c>
      <c r="I31" s="208"/>
    </row>
    <row r="32" spans="1:14" s="6" customFormat="1" x14ac:dyDescent="0.2">
      <c r="A32" s="10">
        <v>2033</v>
      </c>
      <c r="B32" s="65"/>
      <c r="C32" s="65"/>
      <c r="D32" s="65"/>
      <c r="E32" s="67"/>
      <c r="F32" s="19">
        <f t="shared" si="5"/>
        <v>33.466025502754725</v>
      </c>
      <c r="G32" s="19">
        <f t="shared" si="6"/>
        <v>90.333891939797908</v>
      </c>
      <c r="H32" s="8">
        <v>2034</v>
      </c>
      <c r="I32" s="208"/>
    </row>
    <row r="33" spans="1:9" s="6" customFormat="1" x14ac:dyDescent="0.2">
      <c r="A33" s="10">
        <v>2034</v>
      </c>
      <c r="B33" s="65"/>
      <c r="C33" s="65"/>
      <c r="D33" s="65"/>
      <c r="E33" s="67"/>
      <c r="F33" s="19">
        <f t="shared" si="5"/>
        <v>34.135346012809819</v>
      </c>
      <c r="G33" s="19">
        <f t="shared" si="6"/>
        <v>92.140569778593871</v>
      </c>
      <c r="H33" s="8">
        <v>2035</v>
      </c>
      <c r="I33" s="208"/>
    </row>
    <row r="34" spans="1:9" s="6" customFormat="1" ht="13.5" thickBot="1" x14ac:dyDescent="0.25">
      <c r="A34" s="11">
        <v>2035</v>
      </c>
      <c r="B34" s="66"/>
      <c r="C34" s="66"/>
      <c r="D34" s="66"/>
      <c r="E34" s="68"/>
      <c r="F34" s="20">
        <f t="shared" si="5"/>
        <v>34.818052933066014</v>
      </c>
      <c r="G34" s="20">
        <f t="shared" si="6"/>
        <v>93.983381174165743</v>
      </c>
      <c r="H34" s="9">
        <v>2036</v>
      </c>
      <c r="I34" s="209"/>
    </row>
    <row r="36" spans="1:9" x14ac:dyDescent="0.2">
      <c r="A36" s="38" t="s">
        <v>194</v>
      </c>
    </row>
    <row r="38" spans="1:9" x14ac:dyDescent="0.2">
      <c r="A38" s="44"/>
    </row>
    <row r="39" spans="1:9" x14ac:dyDescent="0.2">
      <c r="A39" s="45"/>
    </row>
  </sheetData>
  <sheetProtection algorithmName="SHA-512" hashValue="1MVlfxkGP5wv2WVf5O5wGEpx5JJcf4QeFpxRPvtEMLotQM9QiGL2a5VC0ceKP36Ahf9wtsTu6ooPzVyexb+00A==" saltValue="9U4P5+r7eGZhrQTSE2SFvA==" spinCount="100000" sheet="1" objects="1" scenarios="1" selectLockedCells="1"/>
  <mergeCells count="12">
    <mergeCell ref="I24:I34"/>
    <mergeCell ref="I5:I23"/>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A67" sqref="A67"/>
    </sheetView>
  </sheetViews>
  <sheetFormatPr defaultRowHeight="15" x14ac:dyDescent="0.25"/>
  <cols>
    <col min="1" max="16384" width="9.140625" style="27"/>
  </cols>
  <sheetData>
    <row r="1" spans="1:15" x14ac:dyDescent="0.25">
      <c r="A1" s="228" t="s">
        <v>35</v>
      </c>
      <c r="B1" s="229"/>
      <c r="C1" s="229"/>
      <c r="D1" s="229"/>
      <c r="E1" s="229"/>
      <c r="F1" s="229"/>
      <c r="G1" s="229"/>
      <c r="H1" s="229"/>
      <c r="I1" s="229"/>
      <c r="J1" s="229"/>
      <c r="K1" s="229"/>
      <c r="L1" s="229"/>
      <c r="M1" s="229"/>
      <c r="N1" s="229"/>
      <c r="O1" s="229"/>
    </row>
    <row r="2" spans="1:15" s="29" customFormat="1" ht="46.5" customHeight="1" x14ac:dyDescent="0.25">
      <c r="A2" s="28"/>
      <c r="B2" s="226" t="s">
        <v>64</v>
      </c>
      <c r="C2" s="226"/>
      <c r="D2" s="226"/>
      <c r="E2" s="226"/>
      <c r="F2" s="226"/>
      <c r="G2" s="226"/>
      <c r="H2" s="226"/>
      <c r="I2" s="226"/>
      <c r="J2" s="226"/>
      <c r="K2" s="226"/>
      <c r="L2" s="226"/>
      <c r="M2" s="226"/>
      <c r="N2" s="226"/>
      <c r="O2" s="226"/>
    </row>
    <row r="3" spans="1:15" s="29" customFormat="1" ht="15" hidden="1" customHeight="1" x14ac:dyDescent="0.25">
      <c r="A3" s="28"/>
      <c r="B3" s="230" t="s">
        <v>32</v>
      </c>
      <c r="C3" s="226"/>
      <c r="D3" s="226"/>
      <c r="E3" s="226"/>
      <c r="F3" s="226"/>
      <c r="G3" s="226"/>
      <c r="H3" s="226"/>
      <c r="I3" s="226"/>
      <c r="J3" s="226"/>
      <c r="K3" s="226"/>
      <c r="L3" s="226"/>
      <c r="M3" s="226"/>
      <c r="N3" s="226"/>
      <c r="O3" s="226"/>
    </row>
    <row r="4" spans="1:15" s="29" customFormat="1" ht="30.75" hidden="1" customHeight="1" x14ac:dyDescent="0.25">
      <c r="A4" s="28"/>
      <c r="B4" s="225" t="s">
        <v>61</v>
      </c>
      <c r="C4" s="225"/>
      <c r="D4" s="225"/>
      <c r="E4" s="225"/>
      <c r="F4" s="225"/>
      <c r="G4" s="225"/>
      <c r="H4" s="225"/>
      <c r="I4" s="225"/>
      <c r="J4" s="225"/>
      <c r="K4" s="225"/>
      <c r="L4" s="225"/>
      <c r="M4" s="225"/>
      <c r="N4" s="225"/>
      <c r="O4" s="225"/>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31" t="s">
        <v>62</v>
      </c>
      <c r="C6" s="226"/>
      <c r="D6" s="226"/>
      <c r="E6" s="226"/>
      <c r="F6" s="226"/>
      <c r="G6" s="226"/>
      <c r="H6" s="226"/>
      <c r="I6" s="226"/>
      <c r="J6" s="226"/>
      <c r="K6" s="226"/>
      <c r="L6" s="226"/>
      <c r="M6" s="226"/>
      <c r="N6" s="226"/>
      <c r="O6" s="226"/>
    </row>
    <row r="7" spans="1:15" s="29" customFormat="1" x14ac:dyDescent="0.25">
      <c r="A7" s="28"/>
      <c r="B7" s="235" t="s">
        <v>60</v>
      </c>
      <c r="C7" s="235"/>
      <c r="D7" s="235"/>
      <c r="E7" s="235"/>
      <c r="F7" s="235"/>
      <c r="G7" s="235"/>
      <c r="H7" s="32"/>
      <c r="I7" s="32"/>
      <c r="J7" s="32"/>
      <c r="K7" s="32"/>
      <c r="L7" s="32"/>
      <c r="M7" s="32"/>
      <c r="N7" s="32"/>
      <c r="O7" s="32"/>
    </row>
    <row r="8" spans="1:15" s="29" customFormat="1" ht="60" customHeight="1" x14ac:dyDescent="0.25">
      <c r="A8" s="28"/>
      <c r="B8" s="234" t="s">
        <v>121</v>
      </c>
      <c r="C8" s="234"/>
      <c r="D8" s="234"/>
      <c r="E8" s="234"/>
      <c r="F8" s="234"/>
      <c r="G8" s="234"/>
      <c r="H8" s="234"/>
      <c r="I8" s="234"/>
      <c r="J8" s="234"/>
      <c r="K8" s="234"/>
      <c r="L8" s="234"/>
      <c r="M8" s="234"/>
      <c r="N8" s="234"/>
      <c r="O8" s="234"/>
    </row>
    <row r="9" spans="1:15" ht="5.0999999999999996" customHeight="1" x14ac:dyDescent="0.25">
      <c r="A9" s="30"/>
    </row>
    <row r="10" spans="1:15" ht="15" customHeight="1" x14ac:dyDescent="0.25">
      <c r="A10" s="31" t="s">
        <v>33</v>
      </c>
      <c r="B10" s="232" t="s">
        <v>195</v>
      </c>
      <c r="C10" s="233"/>
      <c r="D10" s="233"/>
      <c r="E10" s="233"/>
      <c r="F10" s="233"/>
      <c r="G10" s="233"/>
      <c r="H10" s="233"/>
      <c r="I10" s="233"/>
      <c r="J10" s="233"/>
      <c r="K10" s="233"/>
      <c r="L10" s="233"/>
      <c r="M10" s="233"/>
      <c r="N10" s="233"/>
      <c r="O10" s="233"/>
    </row>
    <row r="11" spans="1:15" ht="15" customHeight="1" x14ac:dyDescent="0.25">
      <c r="A11" s="30"/>
      <c r="B11" s="226" t="s">
        <v>84</v>
      </c>
      <c r="C11" s="227"/>
      <c r="D11" s="227"/>
      <c r="E11" s="227"/>
      <c r="F11" s="227"/>
      <c r="G11" s="227"/>
      <c r="H11" s="227"/>
      <c r="I11" s="227"/>
      <c r="J11" s="227"/>
      <c r="K11" s="227"/>
      <c r="L11" s="227"/>
      <c r="M11" s="227"/>
      <c r="N11" s="227"/>
      <c r="O11" s="227"/>
    </row>
    <row r="12" spans="1:15" ht="15" customHeight="1" x14ac:dyDescent="0.25">
      <c r="A12" s="30"/>
      <c r="C12" s="226" t="s">
        <v>118</v>
      </c>
      <c r="D12" s="227"/>
      <c r="E12" s="227"/>
      <c r="F12" s="227"/>
      <c r="G12" s="227"/>
      <c r="H12" s="227"/>
      <c r="I12" s="227"/>
      <c r="J12" s="227"/>
      <c r="K12" s="227"/>
      <c r="L12" s="227"/>
      <c r="M12" s="227"/>
      <c r="N12" s="227"/>
      <c r="O12" s="227"/>
    </row>
    <row r="13" spans="1:15" ht="15" customHeight="1" x14ac:dyDescent="0.25">
      <c r="A13" s="30"/>
      <c r="B13" s="226" t="s">
        <v>196</v>
      </c>
      <c r="C13" s="227"/>
      <c r="D13" s="227"/>
      <c r="E13" s="227"/>
      <c r="F13" s="227"/>
      <c r="G13" s="227"/>
      <c r="H13" s="227"/>
      <c r="I13" s="227"/>
      <c r="J13" s="227"/>
      <c r="K13" s="227"/>
      <c r="L13" s="227"/>
      <c r="M13" s="227"/>
      <c r="N13" s="227"/>
      <c r="O13" s="227"/>
    </row>
    <row r="14" spans="1:15" ht="15" customHeight="1" x14ac:dyDescent="0.25">
      <c r="A14" s="30"/>
      <c r="C14" s="226" t="s">
        <v>197</v>
      </c>
      <c r="D14" s="227"/>
      <c r="E14" s="227"/>
      <c r="F14" s="227"/>
      <c r="G14" s="227"/>
      <c r="H14" s="227"/>
      <c r="I14" s="227"/>
      <c r="J14" s="227"/>
      <c r="K14" s="227"/>
      <c r="L14" s="227"/>
      <c r="M14" s="227"/>
      <c r="N14" s="227"/>
      <c r="O14" s="227"/>
    </row>
    <row r="15" spans="1:15" ht="15" customHeight="1" x14ac:dyDescent="0.25">
      <c r="A15" s="30"/>
      <c r="B15" s="226" t="s">
        <v>198</v>
      </c>
      <c r="C15" s="227"/>
      <c r="D15" s="227"/>
      <c r="E15" s="227"/>
      <c r="F15" s="227"/>
      <c r="G15" s="227"/>
      <c r="H15" s="227"/>
      <c r="I15" s="227"/>
      <c r="J15" s="227"/>
      <c r="K15" s="227"/>
      <c r="L15" s="227"/>
      <c r="M15" s="227"/>
      <c r="N15" s="227"/>
      <c r="O15" s="227"/>
    </row>
    <row r="16" spans="1:15" ht="30" customHeight="1" x14ac:dyDescent="0.25">
      <c r="A16" s="30"/>
      <c r="C16" s="226" t="s">
        <v>199</v>
      </c>
      <c r="D16" s="226"/>
      <c r="E16" s="226"/>
      <c r="F16" s="226"/>
      <c r="G16" s="226"/>
      <c r="H16" s="226"/>
      <c r="I16" s="226"/>
      <c r="J16" s="226"/>
      <c r="K16" s="226"/>
      <c r="L16" s="226"/>
      <c r="M16" s="226"/>
      <c r="N16" s="226"/>
      <c r="O16" s="226"/>
    </row>
    <row r="17" spans="1:15" ht="15" customHeight="1" x14ac:dyDescent="0.25">
      <c r="A17" s="30"/>
      <c r="C17" s="226" t="s">
        <v>200</v>
      </c>
      <c r="D17" s="226"/>
      <c r="E17" s="226"/>
      <c r="F17" s="226"/>
      <c r="G17" s="226"/>
      <c r="H17" s="226"/>
      <c r="I17" s="226"/>
      <c r="J17" s="226"/>
      <c r="K17" s="226"/>
      <c r="L17" s="226"/>
      <c r="M17" s="226"/>
      <c r="N17" s="226"/>
      <c r="O17" s="226"/>
    </row>
    <row r="18" spans="1:15" ht="9.9499999999999993" customHeight="1" x14ac:dyDescent="0.25">
      <c r="A18" s="30"/>
      <c r="C18" s="32"/>
      <c r="D18" s="32"/>
      <c r="E18" s="32"/>
      <c r="F18" s="32"/>
      <c r="G18" s="32"/>
      <c r="H18" s="32"/>
      <c r="I18" s="32"/>
      <c r="J18" s="32"/>
      <c r="K18" s="32"/>
      <c r="L18" s="32"/>
      <c r="M18" s="32"/>
      <c r="N18" s="32"/>
      <c r="O18" s="32"/>
    </row>
    <row r="19" spans="1:15" x14ac:dyDescent="0.25">
      <c r="A19" s="237" t="s">
        <v>85</v>
      </c>
      <c r="B19" s="227"/>
      <c r="C19" s="227"/>
      <c r="D19" s="227"/>
      <c r="E19" s="227"/>
      <c r="F19" s="227"/>
      <c r="G19" s="227"/>
      <c r="H19" s="227"/>
      <c r="I19" s="227"/>
      <c r="J19" s="227"/>
      <c r="K19" s="227"/>
      <c r="L19" s="227"/>
      <c r="M19" s="227"/>
      <c r="N19" s="227"/>
      <c r="O19" s="227"/>
    </row>
    <row r="20" spans="1:15" ht="45" customHeight="1" x14ac:dyDescent="0.25">
      <c r="A20" s="33"/>
      <c r="B20" s="226" t="s">
        <v>146</v>
      </c>
      <c r="C20" s="226"/>
      <c r="D20" s="226"/>
      <c r="E20" s="226"/>
      <c r="F20" s="226"/>
      <c r="G20" s="226"/>
      <c r="H20" s="226"/>
      <c r="I20" s="226"/>
      <c r="J20" s="226"/>
      <c r="K20" s="226"/>
      <c r="L20" s="226"/>
      <c r="M20" s="226"/>
      <c r="N20" s="226"/>
      <c r="O20" s="226"/>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4" t="s">
        <v>122</v>
      </c>
      <c r="C22" s="85" t="s">
        <v>125</v>
      </c>
      <c r="D22" s="84" t="s">
        <v>122</v>
      </c>
      <c r="E22" s="85" t="s">
        <v>125</v>
      </c>
      <c r="F22" s="84" t="s">
        <v>122</v>
      </c>
      <c r="G22" s="85" t="s">
        <v>125</v>
      </c>
      <c r="H22" s="84"/>
      <c r="I22" s="84" t="s">
        <v>123</v>
      </c>
      <c r="J22" s="84" t="s">
        <v>124</v>
      </c>
      <c r="K22" s="84" t="s">
        <v>123</v>
      </c>
      <c r="L22" s="84" t="s">
        <v>124</v>
      </c>
      <c r="M22" s="84"/>
      <c r="N22" s="84"/>
      <c r="O22" s="84"/>
    </row>
    <row r="23" spans="1:15" ht="9.9499999999999993" customHeight="1" x14ac:dyDescent="0.25">
      <c r="A23" s="33"/>
      <c r="B23" s="87">
        <v>2000</v>
      </c>
      <c r="C23" s="110">
        <v>3.4</v>
      </c>
      <c r="D23" s="87">
        <v>2010</v>
      </c>
      <c r="E23" s="110">
        <v>1.6</v>
      </c>
      <c r="F23" s="87">
        <v>2020</v>
      </c>
      <c r="G23" s="110">
        <v>1.2</v>
      </c>
      <c r="H23" s="87"/>
      <c r="I23" s="87" t="s">
        <v>134</v>
      </c>
      <c r="J23" s="111">
        <f>AVERAGE(C23:C32)</f>
        <v>2.5599999999999996</v>
      </c>
      <c r="K23" s="87" t="s">
        <v>128</v>
      </c>
      <c r="L23" s="111">
        <f>AVERAGE(E23:E32)</f>
        <v>1.77</v>
      </c>
      <c r="M23" s="87"/>
      <c r="N23" s="87"/>
      <c r="O23" s="84"/>
    </row>
    <row r="24" spans="1:15" ht="9.9499999999999993" customHeight="1" x14ac:dyDescent="0.25">
      <c r="A24" s="33"/>
      <c r="B24" s="87">
        <v>2001</v>
      </c>
      <c r="C24" s="110">
        <v>2.8</v>
      </c>
      <c r="D24" s="87">
        <v>2011</v>
      </c>
      <c r="E24" s="110">
        <v>3.2</v>
      </c>
      <c r="F24" s="87">
        <v>2021</v>
      </c>
      <c r="G24" s="110">
        <v>4.7</v>
      </c>
      <c r="H24" s="87"/>
      <c r="I24" s="87" t="s">
        <v>133</v>
      </c>
      <c r="J24" s="111">
        <f>AVERAGE(C24:C32,E23)</f>
        <v>2.3800000000000003</v>
      </c>
      <c r="K24" s="87" t="s">
        <v>127</v>
      </c>
      <c r="L24" s="111">
        <f>AVERAGE(E24:E32,G23)</f>
        <v>1.73</v>
      </c>
      <c r="M24" s="87"/>
      <c r="N24" s="87"/>
      <c r="O24" s="84"/>
    </row>
    <row r="25" spans="1:15" ht="9.9499999999999993" customHeight="1" x14ac:dyDescent="0.25">
      <c r="A25" s="33"/>
      <c r="B25" s="87">
        <v>2002</v>
      </c>
      <c r="C25" s="110">
        <v>1.6</v>
      </c>
      <c r="D25" s="87">
        <v>2012</v>
      </c>
      <c r="E25" s="110">
        <v>2.1</v>
      </c>
      <c r="F25" s="87">
        <v>2022</v>
      </c>
      <c r="G25" s="110">
        <v>8</v>
      </c>
      <c r="H25" s="87"/>
      <c r="I25" s="87" t="s">
        <v>135</v>
      </c>
      <c r="J25" s="111">
        <f>AVERAGE(C25:C32,E23:E24)</f>
        <v>2.4200000000000004</v>
      </c>
      <c r="K25" s="87" t="s">
        <v>126</v>
      </c>
      <c r="L25" s="111">
        <f>AVERAGE(E25:E32,G23:G24)</f>
        <v>1.8800000000000001</v>
      </c>
      <c r="M25" s="87"/>
      <c r="N25" s="87"/>
      <c r="O25" s="84"/>
    </row>
    <row r="26" spans="1:15" ht="9.9499999999999993" customHeight="1" x14ac:dyDescent="0.25">
      <c r="A26" s="33"/>
      <c r="B26" s="87">
        <v>2003</v>
      </c>
      <c r="C26" s="110">
        <v>2.2999999999999998</v>
      </c>
      <c r="D26" s="87">
        <v>2013</v>
      </c>
      <c r="E26" s="110">
        <v>1.5</v>
      </c>
      <c r="F26" s="87">
        <v>2023</v>
      </c>
      <c r="G26" s="110">
        <v>4.0999999999999996</v>
      </c>
      <c r="H26" s="87"/>
      <c r="I26" s="87" t="s">
        <v>136</v>
      </c>
      <c r="J26" s="111">
        <f>AVERAGE(C26:C32,E23:E25)</f>
        <v>2.4700000000000006</v>
      </c>
      <c r="K26" s="87" t="s">
        <v>139</v>
      </c>
      <c r="L26" s="111">
        <f>IF(G25="","",AVERAGE(E26:E32,G23:G25))</f>
        <v>2.4699999999999998</v>
      </c>
      <c r="M26" s="87"/>
      <c r="N26" s="87"/>
      <c r="O26" s="84"/>
    </row>
    <row r="27" spans="1:15" ht="9.9499999999999993" customHeight="1" x14ac:dyDescent="0.25">
      <c r="A27" s="33"/>
      <c r="B27" s="87">
        <v>2004</v>
      </c>
      <c r="C27" s="110">
        <v>2.7</v>
      </c>
      <c r="D27" s="87">
        <v>2014</v>
      </c>
      <c r="E27" s="110">
        <v>1.6</v>
      </c>
      <c r="F27" s="87">
        <v>2024</v>
      </c>
      <c r="G27" s="110">
        <v>2.9</v>
      </c>
      <c r="H27" s="87"/>
      <c r="I27" s="87" t="s">
        <v>137</v>
      </c>
      <c r="J27" s="111">
        <f>AVERAGE(C27:C32,E23:E26)</f>
        <v>2.39</v>
      </c>
      <c r="K27" s="87" t="s">
        <v>140</v>
      </c>
      <c r="L27" s="111">
        <f>IF(G26="","",AVERAGE(E27:E32,G23:G26))</f>
        <v>2.7299999999999995</v>
      </c>
      <c r="M27" s="87"/>
      <c r="N27" s="87"/>
      <c r="O27" s="84"/>
    </row>
    <row r="28" spans="1:15" ht="9.9499999999999993" customHeight="1" x14ac:dyDescent="0.25">
      <c r="A28" s="33"/>
      <c r="B28" s="87">
        <v>2005</v>
      </c>
      <c r="C28" s="110">
        <v>3.4</v>
      </c>
      <c r="D28" s="87">
        <v>2015</v>
      </c>
      <c r="E28" s="110">
        <v>0.1</v>
      </c>
      <c r="F28" s="87">
        <v>2025</v>
      </c>
      <c r="G28" s="110"/>
      <c r="H28" s="87"/>
      <c r="I28" s="87" t="s">
        <v>138</v>
      </c>
      <c r="J28" s="111">
        <f>AVERAGE(C28:C32,E23:E27)</f>
        <v>2.2800000000000002</v>
      </c>
      <c r="K28" s="87" t="s">
        <v>141</v>
      </c>
      <c r="L28" s="111">
        <f>IF(G27="","",AVERAGE(E28:E32,G23:G27))</f>
        <v>2.8600000000000003</v>
      </c>
      <c r="M28" s="87"/>
      <c r="N28" s="87"/>
      <c r="O28" s="84"/>
    </row>
    <row r="29" spans="1:15" ht="9.9499999999999993" customHeight="1" x14ac:dyDescent="0.25">
      <c r="A29" s="33"/>
      <c r="B29" s="87">
        <v>2006</v>
      </c>
      <c r="C29" s="110">
        <v>3.2</v>
      </c>
      <c r="D29" s="87">
        <v>2016</v>
      </c>
      <c r="E29" s="110">
        <v>1.3</v>
      </c>
      <c r="F29" s="87">
        <v>2026</v>
      </c>
      <c r="G29" s="110"/>
      <c r="H29" s="87"/>
      <c r="I29" s="87" t="s">
        <v>132</v>
      </c>
      <c r="J29" s="111">
        <f>AVERAGE(C29:C32,E23:E28)</f>
        <v>1.9500000000000004</v>
      </c>
      <c r="K29" s="87" t="s">
        <v>142</v>
      </c>
      <c r="L29" s="111" t="str">
        <f>IF(G28="","",AVERAGE(E29:E32,G23:G28))</f>
        <v/>
      </c>
      <c r="M29" s="87"/>
      <c r="N29" s="87"/>
      <c r="O29" s="84"/>
    </row>
    <row r="30" spans="1:15" ht="9.9499999999999993" customHeight="1" x14ac:dyDescent="0.25">
      <c r="A30" s="33"/>
      <c r="B30" s="87">
        <v>2007</v>
      </c>
      <c r="C30" s="110">
        <v>2.8</v>
      </c>
      <c r="D30" s="87">
        <v>2017</v>
      </c>
      <c r="E30" s="110">
        <v>2.1</v>
      </c>
      <c r="F30" s="87">
        <v>2027</v>
      </c>
      <c r="G30" s="110"/>
      <c r="H30" s="87"/>
      <c r="I30" s="87" t="s">
        <v>131</v>
      </c>
      <c r="J30" s="111">
        <f>AVERAGE(C30:C32,E23:E29)</f>
        <v>1.7600000000000002</v>
      </c>
      <c r="K30" s="87" t="s">
        <v>143</v>
      </c>
      <c r="L30" s="111" t="str">
        <f>IF(G29="","",AVERAGE(E30:E32,G23:G29))</f>
        <v/>
      </c>
      <c r="M30" s="87"/>
      <c r="N30" s="87"/>
      <c r="O30" s="84"/>
    </row>
    <row r="31" spans="1:15" ht="9.9499999999999993" customHeight="1" x14ac:dyDescent="0.25">
      <c r="A31" s="33"/>
      <c r="B31" s="87">
        <v>2008</v>
      </c>
      <c r="C31" s="110">
        <v>3.8</v>
      </c>
      <c r="D31" s="87">
        <v>2018</v>
      </c>
      <c r="E31" s="110">
        <v>2.4</v>
      </c>
      <c r="F31" s="87">
        <v>2028</v>
      </c>
      <c r="G31" s="110"/>
      <c r="H31" s="87"/>
      <c r="I31" s="87" t="s">
        <v>130</v>
      </c>
      <c r="J31" s="111">
        <f>AVERAGE(C31:C32,E23:E30)</f>
        <v>1.69</v>
      </c>
      <c r="K31" s="87" t="s">
        <v>144</v>
      </c>
      <c r="L31" s="111" t="str">
        <f>IF(G30="","",AVERAGE(E31:E32,G23:G30))</f>
        <v/>
      </c>
      <c r="M31" s="87"/>
      <c r="N31" s="87"/>
      <c r="O31" s="84"/>
    </row>
    <row r="32" spans="1:15" ht="9.9499999999999993" customHeight="1" x14ac:dyDescent="0.25">
      <c r="A32" s="33"/>
      <c r="B32" s="87">
        <v>2009</v>
      </c>
      <c r="C32" s="110">
        <v>-0.4</v>
      </c>
      <c r="D32" s="87">
        <v>2019</v>
      </c>
      <c r="E32" s="110">
        <v>1.8</v>
      </c>
      <c r="F32" s="87">
        <v>2029</v>
      </c>
      <c r="G32" s="110"/>
      <c r="H32" s="87"/>
      <c r="I32" s="87" t="s">
        <v>129</v>
      </c>
      <c r="J32" s="111">
        <f>AVERAGE(C32,E23:E31)</f>
        <v>1.55</v>
      </c>
      <c r="K32" s="87" t="s">
        <v>145</v>
      </c>
      <c r="L32" s="111" t="str">
        <f>IF(G31="","",AVERAGE(E32,G23:G31))</f>
        <v/>
      </c>
      <c r="M32" s="87"/>
      <c r="N32" s="87"/>
      <c r="O32" s="86"/>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32" t="s">
        <v>201</v>
      </c>
      <c r="C34" s="232"/>
      <c r="D34" s="232"/>
      <c r="E34" s="232"/>
      <c r="F34" s="232"/>
      <c r="G34" s="232"/>
      <c r="H34" s="232"/>
      <c r="I34" s="232"/>
      <c r="J34" s="232"/>
      <c r="K34" s="232"/>
      <c r="L34" s="232"/>
      <c r="M34" s="232"/>
      <c r="N34" s="232"/>
      <c r="O34" s="232"/>
    </row>
    <row r="35" spans="1:15" x14ac:dyDescent="0.25">
      <c r="A35" s="30"/>
      <c r="B35" s="226" t="s">
        <v>202</v>
      </c>
      <c r="C35" s="238"/>
      <c r="D35" s="238"/>
      <c r="E35" s="238"/>
      <c r="F35" s="238"/>
      <c r="G35" s="238"/>
      <c r="H35" s="238"/>
      <c r="I35" s="238"/>
      <c r="J35" s="238"/>
      <c r="K35" s="238"/>
      <c r="L35" s="238"/>
      <c r="M35" s="238"/>
      <c r="N35" s="238"/>
      <c r="O35" s="238"/>
    </row>
    <row r="36" spans="1:15" x14ac:dyDescent="0.25">
      <c r="A36" s="30"/>
      <c r="B36" s="32"/>
      <c r="C36" s="226" t="s">
        <v>203</v>
      </c>
      <c r="D36" s="238"/>
      <c r="E36" s="238"/>
      <c r="F36" s="238"/>
      <c r="G36" s="238"/>
      <c r="H36" s="238"/>
      <c r="I36" s="238"/>
      <c r="J36" s="238"/>
      <c r="K36" s="238"/>
      <c r="L36" s="238"/>
      <c r="M36" s="238"/>
      <c r="N36" s="238"/>
      <c r="O36" s="238"/>
    </row>
    <row r="37" spans="1:15" x14ac:dyDescent="0.25">
      <c r="A37" s="30"/>
      <c r="B37" s="32"/>
      <c r="C37" s="226" t="s">
        <v>204</v>
      </c>
      <c r="D37" s="238"/>
      <c r="E37" s="238"/>
      <c r="F37" s="238"/>
      <c r="G37" s="238"/>
      <c r="H37" s="238"/>
      <c r="I37" s="238"/>
      <c r="J37" s="238"/>
      <c r="K37" s="238"/>
      <c r="L37" s="238"/>
      <c r="M37" s="238"/>
      <c r="N37" s="238"/>
      <c r="O37" s="238"/>
    </row>
    <row r="38" spans="1:15" x14ac:dyDescent="0.25">
      <c r="A38" s="30"/>
      <c r="B38" s="226" t="s">
        <v>205</v>
      </c>
      <c r="C38" s="238"/>
      <c r="D38" s="238"/>
      <c r="E38" s="238"/>
      <c r="F38" s="238"/>
      <c r="G38" s="238"/>
      <c r="H38" s="238"/>
      <c r="I38" s="238"/>
      <c r="J38" s="238"/>
      <c r="K38" s="238"/>
      <c r="L38" s="238"/>
      <c r="M38" s="238"/>
      <c r="N38" s="238"/>
      <c r="O38" s="238"/>
    </row>
    <row r="39" spans="1:15" ht="30" customHeight="1" x14ac:dyDescent="0.25">
      <c r="A39" s="30"/>
      <c r="B39" s="32"/>
      <c r="C39" s="226" t="s">
        <v>206</v>
      </c>
      <c r="D39" s="238"/>
      <c r="E39" s="238"/>
      <c r="F39" s="238"/>
      <c r="G39" s="238"/>
      <c r="H39" s="238"/>
      <c r="I39" s="238"/>
      <c r="J39" s="238"/>
      <c r="K39" s="238"/>
      <c r="L39" s="238"/>
      <c r="M39" s="238"/>
      <c r="N39" s="238"/>
      <c r="O39" s="238"/>
    </row>
    <row r="40" spans="1:15" x14ac:dyDescent="0.25">
      <c r="A40" s="30"/>
      <c r="B40" s="32"/>
      <c r="C40" s="226" t="s">
        <v>207</v>
      </c>
      <c r="D40" s="238"/>
      <c r="E40" s="238"/>
      <c r="F40" s="238"/>
      <c r="G40" s="238"/>
      <c r="H40" s="238"/>
      <c r="I40" s="238"/>
      <c r="J40" s="238"/>
      <c r="K40" s="238"/>
      <c r="L40" s="238"/>
      <c r="M40" s="238"/>
      <c r="N40" s="238"/>
      <c r="O40" s="238"/>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24" t="s">
        <v>82</v>
      </c>
      <c r="B42" s="224"/>
      <c r="C42" s="224"/>
      <c r="D42" s="224"/>
      <c r="E42" s="224"/>
      <c r="F42" s="224"/>
      <c r="G42" s="224"/>
      <c r="H42" s="224"/>
      <c r="I42" s="224"/>
      <c r="J42" s="224"/>
      <c r="K42" s="224"/>
      <c r="L42" s="224"/>
      <c r="M42" s="224"/>
      <c r="N42" s="224"/>
      <c r="O42" s="224"/>
    </row>
    <row r="43" spans="1:15" ht="30" customHeight="1" x14ac:dyDescent="0.25">
      <c r="A43" s="30"/>
      <c r="B43" s="225" t="s">
        <v>73</v>
      </c>
      <c r="C43" s="225"/>
      <c r="D43" s="225"/>
      <c r="E43" s="225"/>
      <c r="F43" s="225"/>
      <c r="G43" s="225"/>
      <c r="H43" s="225"/>
      <c r="I43" s="225"/>
      <c r="J43" s="225"/>
      <c r="K43" s="225"/>
      <c r="L43" s="225"/>
      <c r="M43" s="225"/>
      <c r="N43" s="225"/>
      <c r="O43" s="225"/>
    </row>
    <row r="44" spans="1:15" ht="9.9499999999999993" customHeight="1" x14ac:dyDescent="0.25">
      <c r="A44" s="30"/>
    </row>
    <row r="45" spans="1:15" x14ac:dyDescent="0.25">
      <c r="A45" s="224" t="s">
        <v>83</v>
      </c>
      <c r="B45" s="224"/>
      <c r="C45" s="224"/>
      <c r="D45" s="224"/>
      <c r="E45" s="224"/>
      <c r="F45" s="224"/>
      <c r="G45" s="224"/>
      <c r="H45" s="224"/>
      <c r="I45" s="224"/>
      <c r="J45" s="224"/>
      <c r="K45" s="224"/>
      <c r="L45" s="224"/>
      <c r="M45" s="224"/>
      <c r="N45" s="224"/>
      <c r="O45" s="224"/>
    </row>
    <row r="46" spans="1:15" ht="75" customHeight="1" x14ac:dyDescent="0.25">
      <c r="A46" s="30"/>
      <c r="B46" s="225" t="s">
        <v>87</v>
      </c>
      <c r="C46" s="225"/>
      <c r="D46" s="225"/>
      <c r="E46" s="225"/>
      <c r="F46" s="225"/>
      <c r="G46" s="225"/>
      <c r="H46" s="225"/>
      <c r="I46" s="225"/>
      <c r="J46" s="225"/>
      <c r="K46" s="225"/>
      <c r="L46" s="225"/>
      <c r="M46" s="225"/>
      <c r="N46" s="225"/>
      <c r="O46" s="225"/>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24" t="s">
        <v>185</v>
      </c>
      <c r="B48" s="224"/>
      <c r="C48" s="224"/>
      <c r="D48" s="224"/>
      <c r="E48" s="224"/>
      <c r="F48" s="224"/>
      <c r="G48" s="224"/>
      <c r="H48" s="224"/>
      <c r="I48" s="224"/>
      <c r="J48" s="224"/>
      <c r="K48" s="224"/>
      <c r="L48" s="224"/>
      <c r="M48" s="224"/>
      <c r="N48" s="224"/>
      <c r="O48" s="224"/>
    </row>
    <row r="49" spans="1:15" ht="30" customHeight="1" x14ac:dyDescent="0.25">
      <c r="A49" s="30"/>
      <c r="B49" s="225" t="s">
        <v>186</v>
      </c>
      <c r="C49" s="225"/>
      <c r="D49" s="225"/>
      <c r="E49" s="225"/>
      <c r="F49" s="225"/>
      <c r="G49" s="225"/>
      <c r="H49" s="225"/>
      <c r="I49" s="225"/>
      <c r="J49" s="225"/>
      <c r="K49" s="225"/>
      <c r="L49" s="225"/>
      <c r="M49" s="225"/>
      <c r="N49" s="225"/>
      <c r="O49" s="225"/>
    </row>
    <row r="50" spans="1:15" ht="9.9499999999999993" customHeight="1" x14ac:dyDescent="0.25">
      <c r="A50" s="30"/>
    </row>
    <row r="51" spans="1:15" x14ac:dyDescent="0.25">
      <c r="A51" s="224" t="s">
        <v>88</v>
      </c>
      <c r="B51" s="224"/>
      <c r="C51" s="224"/>
      <c r="D51" s="224"/>
      <c r="E51" s="224"/>
      <c r="F51" s="224"/>
      <c r="G51" s="224"/>
      <c r="H51" s="224"/>
      <c r="I51" s="224"/>
      <c r="J51" s="224"/>
      <c r="K51" s="224"/>
      <c r="L51" s="224"/>
      <c r="M51" s="224"/>
      <c r="N51" s="224"/>
      <c r="O51" s="224"/>
    </row>
    <row r="52" spans="1:15" ht="45" customHeight="1" x14ac:dyDescent="0.25">
      <c r="A52" s="30"/>
      <c r="B52" s="225" t="s">
        <v>158</v>
      </c>
      <c r="C52" s="225"/>
      <c r="D52" s="225"/>
      <c r="E52" s="225"/>
      <c r="F52" s="225"/>
      <c r="G52" s="225"/>
      <c r="H52" s="225"/>
      <c r="I52" s="225"/>
      <c r="J52" s="225"/>
      <c r="K52" s="225"/>
      <c r="L52" s="225"/>
      <c r="M52" s="225"/>
      <c r="N52" s="225"/>
      <c r="O52" s="225"/>
    </row>
    <row r="53" spans="1:15" ht="9.9499999999999993" customHeight="1" x14ac:dyDescent="0.25">
      <c r="A53" s="30"/>
    </row>
    <row r="54" spans="1:15" x14ac:dyDescent="0.25">
      <c r="A54" s="56" t="s">
        <v>89</v>
      </c>
    </row>
    <row r="55" spans="1:15" x14ac:dyDescent="0.25">
      <c r="A55" s="35"/>
      <c r="B55" s="30" t="s">
        <v>36</v>
      </c>
      <c r="C55" s="236" t="s">
        <v>63</v>
      </c>
      <c r="D55" s="236"/>
      <c r="E55" s="236"/>
      <c r="F55" s="36"/>
      <c r="G55" s="236"/>
      <c r="H55" s="236"/>
      <c r="I55" s="236"/>
      <c r="J55" s="236"/>
    </row>
    <row r="56" spans="1:15" ht="9.9499999999999993" customHeight="1" x14ac:dyDescent="0.25"/>
    <row r="57" spans="1:15" x14ac:dyDescent="0.25">
      <c r="A57" s="37" t="s">
        <v>194</v>
      </c>
    </row>
  </sheetData>
  <sheetProtection algorithmName="SHA-512" hashValue="tZG/YSrwAs6nprSnzLElqsddqKay+9eSRxBBcAEQ/kL1mwQLJ6QDt38GQBaI4pPMmtzIR9DxrHNCCHP5kLjbog==" saltValue="Kb4/TpU0Xwp9/lpuVWpWvA==" spinCount="100000" sheet="1" objects="1" scenarios="1" selectLockedCells="1"/>
  <mergeCells count="34">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 ref="B2:O2"/>
    <mergeCell ref="A1:O1"/>
    <mergeCell ref="B3:O3"/>
    <mergeCell ref="B6:O6"/>
    <mergeCell ref="B10:O10"/>
    <mergeCell ref="B4:O4"/>
    <mergeCell ref="B8:O8"/>
    <mergeCell ref="B7:G7"/>
    <mergeCell ref="A48:O48"/>
    <mergeCell ref="A45:O45"/>
    <mergeCell ref="B46:O46"/>
    <mergeCell ref="C17:O17"/>
    <mergeCell ref="B11:O11"/>
    <mergeCell ref="B13:O13"/>
    <mergeCell ref="B15:O15"/>
    <mergeCell ref="C14:O14"/>
    <mergeCell ref="C12:O12"/>
    <mergeCell ref="C16:O16"/>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05613C1F-FC8B-4B40-AA8A-73B617F809C8}">
  <ds:schemaRefs>
    <ds:schemaRef ds:uri="http://schemas.microsoft.com/sharepoint/v3/contenttype/forms"/>
  </ds:schemaRefs>
</ds:datastoreItem>
</file>

<file path=customXml/itemProps2.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2F27C12-E64C-4B34-AED7-42A115BE9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0AD72320-D09F-402B-8DC3-6B981E072B48}">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Kendall Gindling (STONE)</cp:lastModifiedBy>
  <cp:lastPrinted>2024-02-28T14:06:05Z</cp:lastPrinted>
  <dcterms:created xsi:type="dcterms:W3CDTF">2003-05-13T14:17:50Z</dcterms:created>
  <dcterms:modified xsi:type="dcterms:W3CDTF">2025-10-09T18:32:06Z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Folder_Number">
    <vt:lpwstr/>
  </property>
  <property fmtid="{D5CDD505-2E9C-101B-9397-08002B2CF9AE}" pid="9" name="Folder_Code">
    <vt:lpwstr/>
  </property>
  <property fmtid="{D5CDD505-2E9C-101B-9397-08002B2CF9AE}" pid="10" name="Folder_Name">
    <vt:lpwstr/>
  </property>
  <property fmtid="{D5CDD505-2E9C-101B-9397-08002B2CF9AE}" pid="11" name="Folder_Description">
    <vt:lpwstr/>
  </property>
  <property fmtid="{D5CDD505-2E9C-101B-9397-08002B2CF9AE}" pid="12" name="/Folder_Name/">
    <vt:lpwstr/>
  </property>
  <property fmtid="{D5CDD505-2E9C-101B-9397-08002B2CF9AE}" pid="13" name="/Folder_Description/">
    <vt:lpwstr/>
  </property>
  <property fmtid="{D5CDD505-2E9C-101B-9397-08002B2CF9AE}" pid="14" name="Folder_Version">
    <vt:lpwstr/>
  </property>
  <property fmtid="{D5CDD505-2E9C-101B-9397-08002B2CF9AE}" pid="15" name="Folder_VersionSeq">
    <vt:lpwstr/>
  </property>
  <property fmtid="{D5CDD505-2E9C-101B-9397-08002B2CF9AE}" pid="16" name="Folder_Manager">
    <vt:lpwstr/>
  </property>
  <property fmtid="{D5CDD505-2E9C-101B-9397-08002B2CF9AE}" pid="17" name="Folder_ManagerDesc">
    <vt:lpwstr/>
  </property>
  <property fmtid="{D5CDD505-2E9C-101B-9397-08002B2CF9AE}" pid="18" name="Folder_Storage">
    <vt:lpwstr/>
  </property>
  <property fmtid="{D5CDD505-2E9C-101B-9397-08002B2CF9AE}" pid="19" name="Folder_StorageDesc">
    <vt:lpwstr/>
  </property>
  <property fmtid="{D5CDD505-2E9C-101B-9397-08002B2CF9AE}" pid="20" name="Folder_Creator">
    <vt:lpwstr/>
  </property>
  <property fmtid="{D5CDD505-2E9C-101B-9397-08002B2CF9AE}" pid="21" name="Folder_CreatorDesc">
    <vt:lpwstr/>
  </property>
  <property fmtid="{D5CDD505-2E9C-101B-9397-08002B2CF9AE}" pid="22" name="Folder_CreateDate">
    <vt:lpwstr/>
  </property>
  <property fmtid="{D5CDD505-2E9C-101B-9397-08002B2CF9AE}" pid="23" name="Folder_Updater">
    <vt:lpwstr/>
  </property>
  <property fmtid="{D5CDD505-2E9C-101B-9397-08002B2CF9AE}" pid="24" name="Folder_UpdaterDesc">
    <vt:lpwstr/>
  </property>
  <property fmtid="{D5CDD505-2E9C-101B-9397-08002B2CF9AE}" pid="25" name="Folder_UpdateDate">
    <vt:lpwstr/>
  </property>
  <property fmtid="{D5CDD505-2E9C-101B-9397-08002B2CF9AE}" pid="26" name="Document_Number">
    <vt:lpwstr/>
  </property>
  <property fmtid="{D5CDD505-2E9C-101B-9397-08002B2CF9AE}" pid="27" name="Document_Name">
    <vt:lpwstr/>
  </property>
  <property fmtid="{D5CDD505-2E9C-101B-9397-08002B2CF9AE}" pid="28" name="Document_FileName">
    <vt:lpwstr/>
  </property>
  <property fmtid="{D5CDD505-2E9C-101B-9397-08002B2CF9AE}" pid="29" name="Document_Version">
    <vt:lpwstr/>
  </property>
  <property fmtid="{D5CDD505-2E9C-101B-9397-08002B2CF9AE}" pid="30" name="Document_VersionSeq">
    <vt:lpwstr/>
  </property>
  <property fmtid="{D5CDD505-2E9C-101B-9397-08002B2CF9AE}" pid="31" name="Document_Creator">
    <vt:lpwstr/>
  </property>
  <property fmtid="{D5CDD505-2E9C-101B-9397-08002B2CF9AE}" pid="32" name="Document_CreatorDesc">
    <vt:lpwstr/>
  </property>
  <property fmtid="{D5CDD505-2E9C-101B-9397-08002B2CF9AE}" pid="33" name="Document_CreateDate">
    <vt:lpwstr/>
  </property>
  <property fmtid="{D5CDD505-2E9C-101B-9397-08002B2CF9AE}" pid="34" name="Document_Updater">
    <vt:lpwstr/>
  </property>
  <property fmtid="{D5CDD505-2E9C-101B-9397-08002B2CF9AE}" pid="35" name="Document_UpdaterDesc">
    <vt:lpwstr/>
  </property>
  <property fmtid="{D5CDD505-2E9C-101B-9397-08002B2CF9AE}" pid="36" name="Document_UpdateDate">
    <vt:lpwstr/>
  </property>
  <property fmtid="{D5CDD505-2E9C-101B-9397-08002B2CF9AE}" pid="37" name="Document_Size">
    <vt:lpwstr/>
  </property>
  <property fmtid="{D5CDD505-2E9C-101B-9397-08002B2CF9AE}" pid="38" name="Document_Storage">
    <vt:lpwstr/>
  </property>
  <property fmtid="{D5CDD505-2E9C-101B-9397-08002B2CF9AE}" pid="39" name="Document_StorageDesc">
    <vt:lpwstr/>
  </property>
  <property fmtid="{D5CDD505-2E9C-101B-9397-08002B2CF9AE}" pid="40" name="Document_Department">
    <vt:lpwstr/>
  </property>
  <property fmtid="{D5CDD505-2E9C-101B-9397-08002B2CF9AE}" pid="41" name="Document_DepartmentDesc">
    <vt:lpwstr/>
  </property>
  <property fmtid="{D5CDD505-2E9C-101B-9397-08002B2CF9AE}" pid="42" name="ContentTypeId">
    <vt:lpwstr>0x01010031DED274ECD6764DA36B0A60A1EE24F8</vt:lpwstr>
  </property>
</Properties>
</file>