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illegass\appdata\local\bentley\projectwise\workingdir\ohiodot-pw.bentley.com_ohiodot-pw-02\kayla.hillegass@ohm-advisors.com\d1308640\"/>
    </mc:Choice>
  </mc:AlternateContent>
  <xr:revisionPtr revIDLastSave="0" documentId="13_ncr:1_{2D337754-EF95-4573-A080-19AE5822EF82}" xr6:coauthVersionLast="47" xr6:coauthVersionMax="47" xr10:uidLastSave="{00000000-0000-0000-0000-000000000000}"/>
  <bookViews>
    <workbookView xWindow="28680" yWindow="-120" windowWidth="29040" windowHeight="15720" xr2:uid="{6967A986-AE38-43E8-8781-2800651832A4}"/>
  </bookViews>
  <sheets>
    <sheet name="Weighted Runoff Coefficient" sheetId="1" r:id="rId1"/>
    <sheet name="Time of Concentration" sheetId="3" r:id="rId2"/>
    <sheet name="Rational Method" sheetId="6" r:id="rId3"/>
    <sheet name="Tables" sheetId="4" r:id="rId4"/>
  </sheets>
  <definedNames>
    <definedName name="_xlnm.Print_Area" localSheetId="2">'Rational Method'!$A$1:$J$54</definedName>
    <definedName name="_xlnm.Print_Area" localSheetId="1">'Time of Concentration'!$A$1:$Q$49</definedName>
    <definedName name="_xlnm.Print_Area" localSheetId="0">'Weighted Runoff Coefficient'!$A$1:$AS$51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H27" i="1"/>
  <c r="J27" i="1" s="1"/>
  <c r="K27" i="1" s="1"/>
  <c r="M27" i="1" s="1"/>
  <c r="F28" i="1"/>
  <c r="E27" i="1"/>
  <c r="E28" i="1"/>
  <c r="T27" i="1"/>
  <c r="V27" i="1" s="1"/>
  <c r="W27" i="1" s="1"/>
  <c r="X27" i="1" s="1"/>
  <c r="P27" i="1"/>
  <c r="F20" i="1"/>
  <c r="E20" i="1"/>
  <c r="F19" i="1"/>
  <c r="E19" i="1"/>
  <c r="J34" i="1"/>
  <c r="K34" i="1" s="1"/>
  <c r="J44" i="1"/>
  <c r="F50" i="1"/>
  <c r="E50" i="1"/>
  <c r="E48" i="1"/>
  <c r="F48" i="1"/>
  <c r="F47" i="1"/>
  <c r="E47" i="1"/>
  <c r="E46" i="1"/>
  <c r="F46" i="1"/>
  <c r="E44" i="1"/>
  <c r="F42" i="1"/>
  <c r="F43" i="1"/>
  <c r="E43" i="1"/>
  <c r="E42" i="1"/>
  <c r="F41" i="1"/>
  <c r="E41" i="1"/>
  <c r="T50" i="1"/>
  <c r="F40" i="1"/>
  <c r="E40" i="1"/>
  <c r="F38" i="1"/>
  <c r="F37" i="1"/>
  <c r="E38" i="1"/>
  <c r="E37" i="1"/>
  <c r="E36" i="1"/>
  <c r="F35" i="1"/>
  <c r="E35" i="1"/>
  <c r="Q27" i="1" l="1"/>
  <c r="Y27" i="1" s="1"/>
  <c r="F32" i="1"/>
  <c r="F34" i="1"/>
  <c r="E34" i="1"/>
  <c r="E32" i="1"/>
  <c r="E31" i="1"/>
  <c r="F31" i="1"/>
  <c r="E30" i="1"/>
  <c r="F30" i="1"/>
  <c r="F29" i="1"/>
  <c r="E29" i="1"/>
  <c r="E26" i="1"/>
  <c r="E25" i="1"/>
  <c r="E24" i="1"/>
  <c r="F26" i="1"/>
  <c r="F25" i="1"/>
  <c r="F24" i="1"/>
  <c r="T37" i="1"/>
  <c r="V37" i="1" s="1"/>
  <c r="W37" i="1" s="1"/>
  <c r="X37" i="1" s="1"/>
  <c r="P37" i="1"/>
  <c r="H37" i="1"/>
  <c r="J37" i="1" s="1"/>
  <c r="K37" i="1" s="1"/>
  <c r="M37" i="1" s="1"/>
  <c r="T36" i="1"/>
  <c r="V36" i="1" s="1"/>
  <c r="W36" i="1" s="1"/>
  <c r="X36" i="1" s="1"/>
  <c r="P36" i="1"/>
  <c r="F36" i="1"/>
  <c r="T35" i="1"/>
  <c r="V35" i="1" s="1"/>
  <c r="W35" i="1" s="1"/>
  <c r="X35" i="1" s="1"/>
  <c r="P35" i="1"/>
  <c r="H35" i="1"/>
  <c r="J35" i="1" s="1"/>
  <c r="K35" i="1" s="1"/>
  <c r="M35" i="1" s="1"/>
  <c r="T34" i="1"/>
  <c r="V34" i="1" s="1"/>
  <c r="W34" i="1" s="1"/>
  <c r="X34" i="1" s="1"/>
  <c r="P34" i="1"/>
  <c r="T32" i="1"/>
  <c r="V32" i="1" s="1"/>
  <c r="W32" i="1" s="1"/>
  <c r="X32" i="1" s="1"/>
  <c r="P32" i="1"/>
  <c r="T41" i="1"/>
  <c r="V41" i="1" s="1"/>
  <c r="W41" i="1" s="1"/>
  <c r="X41" i="1" s="1"/>
  <c r="P41" i="1"/>
  <c r="H41" i="1"/>
  <c r="T40" i="1"/>
  <c r="V40" i="1" s="1"/>
  <c r="W40" i="1" s="1"/>
  <c r="X40" i="1" s="1"/>
  <c r="P40" i="1"/>
  <c r="H40" i="1"/>
  <c r="J40" i="1" s="1"/>
  <c r="K40" i="1" s="1"/>
  <c r="M40" i="1" s="1"/>
  <c r="T38" i="1"/>
  <c r="V38" i="1" s="1"/>
  <c r="W38" i="1" s="1"/>
  <c r="X38" i="1" s="1"/>
  <c r="P38" i="1"/>
  <c r="H38" i="1"/>
  <c r="T31" i="1"/>
  <c r="V31" i="1" s="1"/>
  <c r="W31" i="1" s="1"/>
  <c r="X31" i="1" s="1"/>
  <c r="P31" i="1"/>
  <c r="T30" i="1"/>
  <c r="V30" i="1" s="1"/>
  <c r="W30" i="1" s="1"/>
  <c r="X30" i="1" s="1"/>
  <c r="P30" i="1"/>
  <c r="T29" i="1"/>
  <c r="V29" i="1" s="1"/>
  <c r="W29" i="1" s="1"/>
  <c r="X29" i="1" s="1"/>
  <c r="P29" i="1"/>
  <c r="T28" i="1"/>
  <c r="V28" i="1" s="1"/>
  <c r="W28" i="1" s="1"/>
  <c r="X28" i="1" s="1"/>
  <c r="P28" i="1"/>
  <c r="T44" i="1"/>
  <c r="V44" i="1" s="1"/>
  <c r="W44" i="1" s="1"/>
  <c r="X44" i="1" s="1"/>
  <c r="P44" i="1"/>
  <c r="F44" i="1"/>
  <c r="H44" i="1"/>
  <c r="K44" i="1" s="1"/>
  <c r="M44" i="1" s="1"/>
  <c r="T43" i="1"/>
  <c r="V43" i="1" s="1"/>
  <c r="W43" i="1" s="1"/>
  <c r="X43" i="1" s="1"/>
  <c r="P43" i="1"/>
  <c r="T42" i="1"/>
  <c r="V42" i="1" s="1"/>
  <c r="W42" i="1" s="1"/>
  <c r="X42" i="1" s="1"/>
  <c r="P42" i="1"/>
  <c r="T49" i="1"/>
  <c r="V49" i="1" s="1"/>
  <c r="W49" i="1" s="1"/>
  <c r="X49" i="1" s="1"/>
  <c r="P49" i="1"/>
  <c r="F49" i="1"/>
  <c r="E49" i="1"/>
  <c r="H49" i="1" s="1"/>
  <c r="T48" i="1"/>
  <c r="V48" i="1" s="1"/>
  <c r="W48" i="1" s="1"/>
  <c r="X48" i="1" s="1"/>
  <c r="P48" i="1"/>
  <c r="T47" i="1"/>
  <c r="V47" i="1" s="1"/>
  <c r="W47" i="1" s="1"/>
  <c r="X47" i="1" s="1"/>
  <c r="P47" i="1"/>
  <c r="H47" i="1"/>
  <c r="T46" i="1"/>
  <c r="V46" i="1" s="1"/>
  <c r="W46" i="1" s="1"/>
  <c r="X46" i="1" s="1"/>
  <c r="P46" i="1"/>
  <c r="H46" i="1"/>
  <c r="J46" i="1" s="1"/>
  <c r="K46" i="1" s="1"/>
  <c r="M46" i="1" s="1"/>
  <c r="F23" i="1"/>
  <c r="E23" i="1"/>
  <c r="E22" i="1"/>
  <c r="E18" i="1"/>
  <c r="F18" i="1"/>
  <c r="F22" i="1"/>
  <c r="T26" i="1"/>
  <c r="T25" i="1"/>
  <c r="T24" i="1"/>
  <c r="T23" i="1"/>
  <c r="T22" i="1"/>
  <c r="T20" i="1"/>
  <c r="T19" i="1"/>
  <c r="E17" i="1"/>
  <c r="E16" i="1"/>
  <c r="F17" i="1"/>
  <c r="F16" i="1"/>
  <c r="F14" i="1"/>
  <c r="E14" i="1"/>
  <c r="T18" i="1"/>
  <c r="T17" i="1"/>
  <c r="F13" i="1"/>
  <c r="E13" i="1"/>
  <c r="T16" i="1"/>
  <c r="T14" i="1"/>
  <c r="T13" i="1"/>
  <c r="Q44" i="1" l="1"/>
  <c r="Y44" i="1" s="1"/>
  <c r="Q46" i="1"/>
  <c r="Y46" i="1" s="1"/>
  <c r="H30" i="1"/>
  <c r="H32" i="1"/>
  <c r="Q40" i="1"/>
  <c r="Q37" i="1"/>
  <c r="Y37" i="1" s="1"/>
  <c r="Q35" i="1"/>
  <c r="Y35" i="1" s="1"/>
  <c r="H34" i="1"/>
  <c r="M34" i="1" s="1"/>
  <c r="Q34" i="1" s="1"/>
  <c r="Y34" i="1" s="1"/>
  <c r="H29" i="1"/>
  <c r="H28" i="1"/>
  <c r="J28" i="1" s="1"/>
  <c r="K28" i="1" s="1"/>
  <c r="M28" i="1" s="1"/>
  <c r="Q28" i="1" s="1"/>
  <c r="Y28" i="1" s="1"/>
  <c r="H36" i="1"/>
  <c r="J36" i="1" s="1"/>
  <c r="K36" i="1" s="1"/>
  <c r="M36" i="1" s="1"/>
  <c r="Q36" i="1" s="1"/>
  <c r="Y36" i="1" s="1"/>
  <c r="H43" i="1"/>
  <c r="J43" i="1" s="1"/>
  <c r="K43" i="1" s="1"/>
  <c r="M43" i="1" s="1"/>
  <c r="Q43" i="1" s="1"/>
  <c r="Y43" i="1" s="1"/>
  <c r="H31" i="1"/>
  <c r="J31" i="1" s="1"/>
  <c r="K31" i="1" s="1"/>
  <c r="M31" i="1" s="1"/>
  <c r="Q31" i="1" s="1"/>
  <c r="Y31" i="1" s="1"/>
  <c r="J32" i="1"/>
  <c r="K32" i="1" s="1"/>
  <c r="M32" i="1" s="1"/>
  <c r="Q32" i="1" s="1"/>
  <c r="Y32" i="1" s="1"/>
  <c r="J30" i="1"/>
  <c r="K30" i="1" s="1"/>
  <c r="M30" i="1" s="1"/>
  <c r="Q30" i="1" s="1"/>
  <c r="Y30" i="1" s="1"/>
  <c r="Y40" i="1"/>
  <c r="J29" i="1"/>
  <c r="K29" i="1" s="1"/>
  <c r="M29" i="1" s="1"/>
  <c r="Q29" i="1" s="1"/>
  <c r="Y29" i="1" s="1"/>
  <c r="J41" i="1"/>
  <c r="K41" i="1" s="1"/>
  <c r="M41" i="1" s="1"/>
  <c r="Q41" i="1" s="1"/>
  <c r="Y41" i="1" s="1"/>
  <c r="J38" i="1"/>
  <c r="K38" i="1" s="1"/>
  <c r="M38" i="1" s="1"/>
  <c r="Q38" i="1" s="1"/>
  <c r="Y38" i="1" s="1"/>
  <c r="H48" i="1"/>
  <c r="J48" i="1" s="1"/>
  <c r="K48" i="1" s="1"/>
  <c r="M48" i="1" s="1"/>
  <c r="Q48" i="1" s="1"/>
  <c r="Y48" i="1" s="1"/>
  <c r="H42" i="1"/>
  <c r="J42" i="1" s="1"/>
  <c r="K42" i="1" s="1"/>
  <c r="M42" i="1" s="1"/>
  <c r="Q42" i="1" s="1"/>
  <c r="Y42" i="1" s="1"/>
  <c r="J49" i="1"/>
  <c r="K49" i="1" s="1"/>
  <c r="M49" i="1" s="1"/>
  <c r="Q49" i="1" s="1"/>
  <c r="Y49" i="1" s="1"/>
  <c r="J47" i="1"/>
  <c r="K47" i="1" s="1"/>
  <c r="M47" i="1" s="1"/>
  <c r="Q47" i="1" s="1"/>
  <c r="Y47" i="1" s="1"/>
  <c r="T12" i="1"/>
  <c r="T11" i="1"/>
  <c r="F12" i="1"/>
  <c r="F11" i="1"/>
  <c r="E11" i="1"/>
  <c r="F10" i="1"/>
  <c r="E12" i="1"/>
  <c r="T10" i="1"/>
  <c r="E10" i="1"/>
  <c r="V10" i="1" l="1"/>
  <c r="W10" i="1" s="1"/>
  <c r="X10" i="1" s="1"/>
  <c r="V11" i="1"/>
  <c r="W11" i="1" s="1"/>
  <c r="X11" i="1" s="1"/>
  <c r="P10" i="1"/>
  <c r="V50" i="1"/>
  <c r="W50" i="1" s="1"/>
  <c r="X50" i="1" s="1"/>
  <c r="P50" i="1"/>
  <c r="V26" i="1"/>
  <c r="W26" i="1" s="1"/>
  <c r="X26" i="1" s="1"/>
  <c r="P26" i="1"/>
  <c r="V25" i="1"/>
  <c r="W25" i="1" s="1"/>
  <c r="X25" i="1" s="1"/>
  <c r="P25" i="1"/>
  <c r="V24" i="1"/>
  <c r="W24" i="1" s="1"/>
  <c r="X24" i="1" s="1"/>
  <c r="P24" i="1"/>
  <c r="V23" i="1"/>
  <c r="W23" i="1" s="1"/>
  <c r="X23" i="1" s="1"/>
  <c r="P23" i="1"/>
  <c r="V22" i="1"/>
  <c r="W22" i="1" s="1"/>
  <c r="X22" i="1" s="1"/>
  <c r="P22" i="1"/>
  <c r="V20" i="1"/>
  <c r="W20" i="1" s="1"/>
  <c r="X20" i="1" s="1"/>
  <c r="P20" i="1"/>
  <c r="V19" i="1"/>
  <c r="W19" i="1" s="1"/>
  <c r="X19" i="1" s="1"/>
  <c r="P19" i="1"/>
  <c r="V18" i="1"/>
  <c r="W18" i="1" s="1"/>
  <c r="X18" i="1" s="1"/>
  <c r="P18" i="1"/>
  <c r="V17" i="1"/>
  <c r="W17" i="1" s="1"/>
  <c r="X17" i="1" s="1"/>
  <c r="P17" i="1"/>
  <c r="V16" i="1"/>
  <c r="W16" i="1" s="1"/>
  <c r="X16" i="1" s="1"/>
  <c r="P16" i="1"/>
  <c r="V14" i="1"/>
  <c r="W14" i="1" s="1"/>
  <c r="X14" i="1" s="1"/>
  <c r="P14" i="1"/>
  <c r="V13" i="1"/>
  <c r="W13" i="1" s="1"/>
  <c r="X13" i="1" s="1"/>
  <c r="P13" i="1"/>
  <c r="V12" i="1"/>
  <c r="W12" i="1" s="1"/>
  <c r="X12" i="1" s="1"/>
  <c r="P12" i="1"/>
  <c r="P11" i="1"/>
  <c r="G54" i="6"/>
  <c r="I54" i="6" s="1"/>
  <c r="J54" i="6" s="1"/>
  <c r="G53" i="6"/>
  <c r="I53" i="6" s="1"/>
  <c r="J53" i="6" s="1"/>
  <c r="G52" i="6"/>
  <c r="I52" i="6" s="1"/>
  <c r="J52" i="6" s="1"/>
  <c r="G51" i="6"/>
  <c r="I51" i="6" s="1"/>
  <c r="J51" i="6" s="1"/>
  <c r="G50" i="6"/>
  <c r="I50" i="6" s="1"/>
  <c r="J50" i="6" s="1"/>
  <c r="G49" i="6"/>
  <c r="I49" i="6" s="1"/>
  <c r="J49" i="6" s="1"/>
  <c r="G48" i="6"/>
  <c r="I48" i="6" s="1"/>
  <c r="J48" i="6" s="1"/>
  <c r="G47" i="6"/>
  <c r="I47" i="6" s="1"/>
  <c r="J47" i="6" s="1"/>
  <c r="G46" i="6"/>
  <c r="I46" i="6" s="1"/>
  <c r="J46" i="6" s="1"/>
  <c r="G45" i="6"/>
  <c r="I45" i="6" s="1"/>
  <c r="J45" i="6" s="1"/>
  <c r="G44" i="6"/>
  <c r="I44" i="6" s="1"/>
  <c r="J44" i="6" s="1"/>
  <c r="G43" i="6"/>
  <c r="I43" i="6" s="1"/>
  <c r="J43" i="6" s="1"/>
  <c r="G42" i="6"/>
  <c r="I42" i="6" s="1"/>
  <c r="J42" i="6" s="1"/>
  <c r="G41" i="6"/>
  <c r="I41" i="6" s="1"/>
  <c r="J41" i="6" s="1"/>
  <c r="G40" i="6"/>
  <c r="I40" i="6" s="1"/>
  <c r="J40" i="6" s="1"/>
  <c r="G39" i="6"/>
  <c r="I39" i="6" s="1"/>
  <c r="J39" i="6" s="1"/>
  <c r="G38" i="6"/>
  <c r="I38" i="6" s="1"/>
  <c r="J38" i="6" s="1"/>
  <c r="G37" i="6"/>
  <c r="I37" i="6" s="1"/>
  <c r="J37" i="6" s="1"/>
  <c r="G36" i="6"/>
  <c r="I36" i="6" s="1"/>
  <c r="J36" i="6" s="1"/>
  <c r="G35" i="6"/>
  <c r="I35" i="6" s="1"/>
  <c r="J35" i="6" s="1"/>
  <c r="G34" i="6"/>
  <c r="I34" i="6" s="1"/>
  <c r="J34" i="6" s="1"/>
  <c r="G33" i="6"/>
  <c r="I33" i="6" s="1"/>
  <c r="J33" i="6" s="1"/>
  <c r="G32" i="6"/>
  <c r="I32" i="6" s="1"/>
  <c r="J32" i="6" s="1"/>
  <c r="G31" i="6"/>
  <c r="I31" i="6" s="1"/>
  <c r="J31" i="6" s="1"/>
  <c r="G30" i="6"/>
  <c r="I30" i="6" s="1"/>
  <c r="J30" i="6" s="1"/>
  <c r="G29" i="6"/>
  <c r="I29" i="6" s="1"/>
  <c r="J29" i="6" s="1"/>
  <c r="G28" i="6"/>
  <c r="I28" i="6" s="1"/>
  <c r="J28" i="6" s="1"/>
  <c r="I27" i="6"/>
  <c r="J27" i="6" s="1"/>
  <c r="G27" i="6"/>
  <c r="G26" i="6"/>
  <c r="I26" i="6" s="1"/>
  <c r="J26" i="6" s="1"/>
  <c r="G25" i="6"/>
  <c r="I25" i="6" s="1"/>
  <c r="J25" i="6" s="1"/>
  <c r="G24" i="6"/>
  <c r="I24" i="6" s="1"/>
  <c r="J24" i="6" s="1"/>
  <c r="G23" i="6"/>
  <c r="I23" i="6" s="1"/>
  <c r="J23" i="6" s="1"/>
  <c r="G22" i="6"/>
  <c r="I22" i="6" s="1"/>
  <c r="J22" i="6" s="1"/>
  <c r="G21" i="6"/>
  <c r="I21" i="6" s="1"/>
  <c r="J21" i="6" s="1"/>
  <c r="G20" i="6"/>
  <c r="I20" i="6" s="1"/>
  <c r="J20" i="6" s="1"/>
  <c r="G19" i="6"/>
  <c r="I19" i="6" s="1"/>
  <c r="J19" i="6" s="1"/>
  <c r="G18" i="6"/>
  <c r="I18" i="6" s="1"/>
  <c r="J18" i="6" s="1"/>
  <c r="G17" i="6"/>
  <c r="I17" i="6" s="1"/>
  <c r="J17" i="6" s="1"/>
  <c r="G16" i="6"/>
  <c r="I16" i="6" s="1"/>
  <c r="J16" i="6" s="1"/>
  <c r="G15" i="6"/>
  <c r="I15" i="6" s="1"/>
  <c r="J15" i="6" s="1"/>
  <c r="G14" i="6"/>
  <c r="I14" i="6" s="1"/>
  <c r="J14" i="6" s="1"/>
  <c r="G13" i="6"/>
  <c r="I13" i="6" s="1"/>
  <c r="J13" i="6" s="1"/>
  <c r="G12" i="6"/>
  <c r="I12" i="6" s="1"/>
  <c r="J12" i="6" s="1"/>
  <c r="G11" i="6"/>
  <c r="I11" i="6" s="1"/>
  <c r="J11" i="6" s="1"/>
  <c r="G10" i="6"/>
  <c r="I10" i="6" s="1"/>
  <c r="J10" i="6" s="1"/>
  <c r="N49" i="3"/>
  <c r="O49" i="3" s="1"/>
  <c r="P49" i="3" s="1"/>
  <c r="N48" i="3"/>
  <c r="O48" i="3" s="1"/>
  <c r="P48" i="3" s="1"/>
  <c r="N47" i="3"/>
  <c r="O47" i="3" s="1"/>
  <c r="P47" i="3" s="1"/>
  <c r="N46" i="3"/>
  <c r="O46" i="3" s="1"/>
  <c r="P46" i="3" s="1"/>
  <c r="N45" i="3"/>
  <c r="O45" i="3" s="1"/>
  <c r="P45" i="3" s="1"/>
  <c r="N44" i="3"/>
  <c r="O44" i="3" s="1"/>
  <c r="P44" i="3" s="1"/>
  <c r="N43" i="3"/>
  <c r="O43" i="3" s="1"/>
  <c r="P43" i="3" s="1"/>
  <c r="N42" i="3"/>
  <c r="O42" i="3" s="1"/>
  <c r="P42" i="3" s="1"/>
  <c r="Q42" i="3" s="1"/>
  <c r="N41" i="3"/>
  <c r="O41" i="3" s="1"/>
  <c r="P41" i="3" s="1"/>
  <c r="N40" i="3"/>
  <c r="O40" i="3" s="1"/>
  <c r="P40" i="3" s="1"/>
  <c r="N39" i="3"/>
  <c r="O39" i="3" s="1"/>
  <c r="P39" i="3" s="1"/>
  <c r="Q39" i="3" s="1"/>
  <c r="N38" i="3"/>
  <c r="O38" i="3" s="1"/>
  <c r="P38" i="3" s="1"/>
  <c r="N37" i="3"/>
  <c r="O37" i="3" s="1"/>
  <c r="P37" i="3" s="1"/>
  <c r="N36" i="3"/>
  <c r="O36" i="3" s="1"/>
  <c r="P36" i="3" s="1"/>
  <c r="N35" i="3"/>
  <c r="O35" i="3" s="1"/>
  <c r="P35" i="3" s="1"/>
  <c r="N34" i="3"/>
  <c r="O34" i="3" s="1"/>
  <c r="P34" i="3" s="1"/>
  <c r="Q34" i="3" s="1"/>
  <c r="O33" i="3"/>
  <c r="P33" i="3" s="1"/>
  <c r="N33" i="3"/>
  <c r="N32" i="3"/>
  <c r="O32" i="3" s="1"/>
  <c r="P32" i="3" s="1"/>
  <c r="N31" i="3"/>
  <c r="O31" i="3" s="1"/>
  <c r="P31" i="3" s="1"/>
  <c r="N30" i="3"/>
  <c r="O30" i="3" s="1"/>
  <c r="P30" i="3" s="1"/>
  <c r="N29" i="3"/>
  <c r="O29" i="3" s="1"/>
  <c r="P29" i="3" s="1"/>
  <c r="Q29" i="3" s="1"/>
  <c r="N28" i="3"/>
  <c r="O28" i="3" s="1"/>
  <c r="P28" i="3" s="1"/>
  <c r="N27" i="3"/>
  <c r="O27" i="3" s="1"/>
  <c r="P27" i="3" s="1"/>
  <c r="I49" i="3"/>
  <c r="H49" i="3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I33" i="3"/>
  <c r="H33" i="3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50" i="1"/>
  <c r="J50" i="1" s="1"/>
  <c r="K50" i="1" s="1"/>
  <c r="M50" i="1" s="1"/>
  <c r="H26" i="1"/>
  <c r="J26" i="1" s="1"/>
  <c r="K26" i="1" s="1"/>
  <c r="M26" i="1" s="1"/>
  <c r="H25" i="1"/>
  <c r="J25" i="1" s="1"/>
  <c r="K25" i="1" s="1"/>
  <c r="M25" i="1" s="1"/>
  <c r="H24" i="1"/>
  <c r="J24" i="1" s="1"/>
  <c r="K24" i="1" s="1"/>
  <c r="M24" i="1" s="1"/>
  <c r="H23" i="1"/>
  <c r="J23" i="1" s="1"/>
  <c r="K23" i="1" s="1"/>
  <c r="M23" i="1" s="1"/>
  <c r="H22" i="1"/>
  <c r="J22" i="1" s="1"/>
  <c r="K22" i="1" s="1"/>
  <c r="M22" i="1" s="1"/>
  <c r="H20" i="1"/>
  <c r="J20" i="1" s="1"/>
  <c r="K20" i="1" s="1"/>
  <c r="M20" i="1" s="1"/>
  <c r="H19" i="1"/>
  <c r="J19" i="1" s="1"/>
  <c r="K19" i="1" s="1"/>
  <c r="M19" i="1" s="1"/>
  <c r="H18" i="1"/>
  <c r="J18" i="1" s="1"/>
  <c r="K18" i="1" s="1"/>
  <c r="M18" i="1" s="1"/>
  <c r="H17" i="1"/>
  <c r="J17" i="1" s="1"/>
  <c r="K17" i="1" s="1"/>
  <c r="M17" i="1" s="1"/>
  <c r="H16" i="1"/>
  <c r="J16" i="1" s="1"/>
  <c r="K16" i="1" s="1"/>
  <c r="M16" i="1" s="1"/>
  <c r="H14" i="1"/>
  <c r="J14" i="1" s="1"/>
  <c r="K14" i="1" s="1"/>
  <c r="M14" i="1" s="1"/>
  <c r="H13" i="1"/>
  <c r="J13" i="1" s="1"/>
  <c r="K13" i="1" s="1"/>
  <c r="M13" i="1" s="1"/>
  <c r="H12" i="1"/>
  <c r="J12" i="1" s="1"/>
  <c r="K12" i="1" s="1"/>
  <c r="M12" i="1" s="1"/>
  <c r="H11" i="1"/>
  <c r="J11" i="1" s="1"/>
  <c r="K11" i="1" s="1"/>
  <c r="M11" i="1" s="1"/>
  <c r="H10" i="1"/>
  <c r="J10" i="1" s="1"/>
  <c r="K10" i="1" s="1"/>
  <c r="M10" i="1" s="1"/>
  <c r="Q50" i="1" l="1"/>
  <c r="Y50" i="1" s="1"/>
  <c r="Q12" i="1"/>
  <c r="Y12" i="1" s="1"/>
  <c r="Q13" i="1"/>
  <c r="Y13" i="1" s="1"/>
  <c r="Q18" i="1"/>
  <c r="Y18" i="1" s="1"/>
  <c r="Q26" i="1"/>
  <c r="Y26" i="1" s="1"/>
  <c r="Q24" i="1"/>
  <c r="Y24" i="1" s="1"/>
  <c r="Q25" i="1"/>
  <c r="Y25" i="1" s="1"/>
  <c r="Q22" i="1"/>
  <c r="Y22" i="1" s="1"/>
  <c r="Q23" i="1"/>
  <c r="Y23" i="1" s="1"/>
  <c r="Q19" i="1"/>
  <c r="Y19" i="1" s="1"/>
  <c r="Q20" i="1"/>
  <c r="Y20" i="1" s="1"/>
  <c r="Q17" i="1"/>
  <c r="Y17" i="1" s="1"/>
  <c r="Q16" i="1"/>
  <c r="Y16" i="1" s="1"/>
  <c r="Q14" i="1"/>
  <c r="Y14" i="1" s="1"/>
  <c r="Q10" i="1"/>
  <c r="Y10" i="1" s="1"/>
  <c r="Q11" i="1"/>
  <c r="Y11" i="1" s="1"/>
  <c r="Q30" i="3"/>
  <c r="Q31" i="3"/>
  <c r="Q43" i="3"/>
  <c r="Q35" i="3"/>
  <c r="Q46" i="3"/>
  <c r="Q47" i="3"/>
  <c r="Q27" i="3"/>
  <c r="Q38" i="3"/>
  <c r="Q49" i="3"/>
  <c r="Q45" i="3"/>
  <c r="Q37" i="3"/>
  <c r="Q44" i="3"/>
  <c r="Q28" i="3"/>
  <c r="Q36" i="3"/>
  <c r="Q32" i="3"/>
  <c r="Q40" i="3"/>
  <c r="Q48" i="3"/>
  <c r="Q33" i="3"/>
  <c r="Q41" i="3"/>
  <c r="N18" i="3"/>
  <c r="O18" i="3" s="1"/>
  <c r="P18" i="3" s="1"/>
  <c r="H18" i="3"/>
  <c r="I18" i="3" s="1"/>
  <c r="Q18" i="3" l="1"/>
  <c r="N15" i="3"/>
  <c r="O15" i="3" s="1"/>
  <c r="P15" i="3" s="1"/>
  <c r="H15" i="3"/>
  <c r="I15" i="3" s="1"/>
  <c r="Q15" i="3" l="1"/>
  <c r="N24" i="3" l="1"/>
  <c r="O24" i="3" s="1"/>
  <c r="P24" i="3" s="1"/>
  <c r="H24" i="3"/>
  <c r="I24" i="3" s="1"/>
  <c r="N13" i="3"/>
  <c r="O13" i="3" s="1"/>
  <c r="P13" i="3" s="1"/>
  <c r="H13" i="3"/>
  <c r="I13" i="3" s="1"/>
  <c r="Q24" i="3" l="1"/>
  <c r="Q13" i="3"/>
  <c r="N26" i="3"/>
  <c r="O26" i="3" s="1"/>
  <c r="P26" i="3" s="1"/>
  <c r="H26" i="3"/>
  <c r="I26" i="3" s="1"/>
  <c r="N25" i="3"/>
  <c r="O25" i="3" s="1"/>
  <c r="P25" i="3" s="1"/>
  <c r="H25" i="3"/>
  <c r="I25" i="3" s="1"/>
  <c r="N23" i="3"/>
  <c r="O23" i="3" s="1"/>
  <c r="P23" i="3" s="1"/>
  <c r="H23" i="3"/>
  <c r="I23" i="3" s="1"/>
  <c r="N22" i="3"/>
  <c r="O22" i="3" s="1"/>
  <c r="P22" i="3" s="1"/>
  <c r="H22" i="3"/>
  <c r="I22" i="3" s="1"/>
  <c r="N21" i="3"/>
  <c r="O21" i="3" s="1"/>
  <c r="P21" i="3" s="1"/>
  <c r="H21" i="3"/>
  <c r="I21" i="3" s="1"/>
  <c r="N20" i="3"/>
  <c r="O20" i="3" s="1"/>
  <c r="P20" i="3" s="1"/>
  <c r="H20" i="3"/>
  <c r="I20" i="3" s="1"/>
  <c r="N19" i="3"/>
  <c r="O19" i="3" s="1"/>
  <c r="P19" i="3" s="1"/>
  <c r="H19" i="3"/>
  <c r="I19" i="3" s="1"/>
  <c r="N17" i="3"/>
  <c r="O17" i="3" s="1"/>
  <c r="P17" i="3" s="1"/>
  <c r="H17" i="3"/>
  <c r="I17" i="3" s="1"/>
  <c r="N16" i="3"/>
  <c r="O16" i="3" s="1"/>
  <c r="P16" i="3" s="1"/>
  <c r="H16" i="3"/>
  <c r="I16" i="3" s="1"/>
  <c r="N14" i="3"/>
  <c r="O14" i="3" s="1"/>
  <c r="P14" i="3" s="1"/>
  <c r="H14" i="3"/>
  <c r="I14" i="3" s="1"/>
  <c r="N12" i="3"/>
  <c r="O12" i="3" s="1"/>
  <c r="P12" i="3" s="1"/>
  <c r="H12" i="3"/>
  <c r="I12" i="3" s="1"/>
  <c r="N11" i="3"/>
  <c r="O11" i="3" s="1"/>
  <c r="P11" i="3" s="1"/>
  <c r="H11" i="3"/>
  <c r="I11" i="3" s="1"/>
  <c r="N10" i="3"/>
  <c r="O10" i="3" s="1"/>
  <c r="P10" i="3" s="1"/>
  <c r="H10" i="3"/>
  <c r="I10" i="3" s="1"/>
  <c r="Q26" i="3" l="1"/>
  <c r="Q21" i="3"/>
  <c r="Q25" i="3"/>
  <c r="Q10" i="3"/>
  <c r="Q17" i="3"/>
  <c r="Q23" i="3"/>
  <c r="Q16" i="3"/>
  <c r="Q20" i="3"/>
  <c r="Q14" i="3"/>
  <c r="Q19" i="3"/>
  <c r="Q22" i="3"/>
  <c r="Q12" i="3"/>
  <c r="Q11" i="3"/>
</calcChain>
</file>

<file path=xl/sharedStrings.xml><?xml version="1.0" encoding="utf-8"?>
<sst xmlns="http://schemas.openxmlformats.org/spreadsheetml/2006/main" count="172" uniqueCount="89">
  <si>
    <t>Job:</t>
  </si>
  <si>
    <t>Sheet:</t>
  </si>
  <si>
    <t>of</t>
  </si>
  <si>
    <t>Calculated By:</t>
  </si>
  <si>
    <t>Date:</t>
  </si>
  <si>
    <t>Checked By:</t>
  </si>
  <si>
    <t>Weighted Runoff Coefficients</t>
  </si>
  <si>
    <t>Table 1101-2</t>
  </si>
  <si>
    <t>Drainage Area</t>
  </si>
  <si>
    <t>Station</t>
  </si>
  <si>
    <t>Side</t>
  </si>
  <si>
    <t>Total Area (Acres)</t>
  </si>
  <si>
    <t>Paved Area (Acres)</t>
  </si>
  <si>
    <t>C Value</t>
  </si>
  <si>
    <t>Grassy Area (Acres)</t>
  </si>
  <si>
    <t>Sum CA</t>
  </si>
  <si>
    <t>Weighted "C"</t>
  </si>
  <si>
    <t>Time of Concentration (tc)</t>
  </si>
  <si>
    <t>If tc is less than 10 min, use 10 min per Section 1103.3 of L &amp; D Vol. 2.</t>
  </si>
  <si>
    <t>Overland Flow</t>
  </si>
  <si>
    <t>Shallow Concentrated Flow</t>
  </si>
  <si>
    <t>Structure Name</t>
  </si>
  <si>
    <t>Length</t>
  </si>
  <si>
    <t>C Value 
(Table 1101-2)</t>
  </si>
  <si>
    <t>High Point</t>
  </si>
  <si>
    <t>Low Point</t>
  </si>
  <si>
    <t>Slope</t>
  </si>
  <si>
    <t>to (min)</t>
  </si>
  <si>
    <t>K value 
(Table 1101-1)</t>
  </si>
  <si>
    <t>Velocity</t>
  </si>
  <si>
    <t>ts (min)</t>
  </si>
  <si>
    <t>tc (min)</t>
  </si>
  <si>
    <t>From L&amp;D Vol. 2 update:</t>
  </si>
  <si>
    <t>LT</t>
  </si>
  <si>
    <t>Rational Method (Q)</t>
  </si>
  <si>
    <t>C</t>
  </si>
  <si>
    <t>A</t>
  </si>
  <si>
    <t xml:space="preserve"> </t>
  </si>
  <si>
    <t>I (25 yr, 4%)</t>
  </si>
  <si>
    <t>Q (25 yr, 4%)</t>
  </si>
  <si>
    <t>I (100 yr, 1%)</t>
  </si>
  <si>
    <t>Q (100 yr, 1%)</t>
  </si>
  <si>
    <t xml:space="preserve">ERI-6 Connectivity Corridor </t>
  </si>
  <si>
    <t>Edge of pavement Elev. tail</t>
  </si>
  <si>
    <t>Edge of pavement Elev. head</t>
  </si>
  <si>
    <t>Edge of Path Elev. Tail</t>
  </si>
  <si>
    <t>Edge of Path Elev. Head</t>
  </si>
  <si>
    <t>Contol Water Elev. (25 yr)</t>
  </si>
  <si>
    <t>Contol Water Elev. (100 yr)</t>
  </si>
  <si>
    <t>Control Location</t>
  </si>
  <si>
    <t>Drain Area</t>
  </si>
  <si>
    <t>Q 25 Total Run</t>
  </si>
  <si>
    <t>Q 100 Total Run</t>
  </si>
  <si>
    <t>SUP D4</t>
  </si>
  <si>
    <t>SUP D5</t>
  </si>
  <si>
    <t>SUP D6</t>
  </si>
  <si>
    <t>RT</t>
  </si>
  <si>
    <t>SUP D7</t>
  </si>
  <si>
    <t>SUP D8</t>
  </si>
  <si>
    <t>SUP D9</t>
  </si>
  <si>
    <t>SUP D12</t>
  </si>
  <si>
    <t>SUP D13</t>
  </si>
  <si>
    <t>SUP D14</t>
  </si>
  <si>
    <t>SUP D15</t>
  </si>
  <si>
    <t>RAB A D0</t>
  </si>
  <si>
    <t>RAB A D1</t>
  </si>
  <si>
    <t>Comments</t>
  </si>
  <si>
    <t>RAB A D4</t>
  </si>
  <si>
    <t>RAB A D5A</t>
  </si>
  <si>
    <t>RAB A D5</t>
  </si>
  <si>
    <t>RAB A D6A</t>
  </si>
  <si>
    <t>RAB A D6B</t>
  </si>
  <si>
    <t>RAB A D7</t>
  </si>
  <si>
    <t>RAB A D9</t>
  </si>
  <si>
    <t>RAB A D14</t>
  </si>
  <si>
    <t>RAB A D8</t>
  </si>
  <si>
    <t>SUP D22</t>
  </si>
  <si>
    <t>SUP D16</t>
  </si>
  <si>
    <t>SUP D17</t>
  </si>
  <si>
    <t>SUP D17A</t>
  </si>
  <si>
    <t>SUP D19</t>
  </si>
  <si>
    <t>RAB B HW7</t>
  </si>
  <si>
    <t>RAB B HW6</t>
  </si>
  <si>
    <t>RAB B D5</t>
  </si>
  <si>
    <t>RAB B 11A</t>
  </si>
  <si>
    <t>RAB B 11B</t>
  </si>
  <si>
    <t>RAB B D8</t>
  </si>
  <si>
    <t>RAB B D1</t>
  </si>
  <si>
    <t>RAB A D6AA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</si>
</sst>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0.0"/>
    <numFmt numFmtId="166" formatCode="###\+##.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1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14" fontId="2" fillId="0" borderId="1" xfId="1" applyNumberFormat="1" applyFont="1" applyBorder="1" applyAlignment="1" applyProtection="1">
      <alignment horizontal="center"/>
      <protection locked="0"/>
    </xf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Protection="1">
      <protection locked="0"/>
    </xf>
    <xf numFmtId="0" fontId="5" fillId="0" borderId="4" xfId="0" applyFont="1" applyBorder="1" applyAlignment="1">
      <alignment horizontal="center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6" fillId="2" borderId="9" xfId="0" applyFont="1" applyFill="1" applyBorder="1" applyAlignment="1">
      <alignment horizontal="center"/>
    </xf>
    <xf numFmtId="0" fontId="2" fillId="2" borderId="9" xfId="1" applyFont="1" applyFill="1" applyBorder="1" applyAlignment="1" applyProtection="1">
      <alignment horizontal="center"/>
      <protection locked="0"/>
    </xf>
    <xf numFmtId="2" fontId="2" fillId="2" borderId="9" xfId="1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0" fontId="6" fillId="0" borderId="9" xfId="0" applyFont="1" applyBorder="1" applyAlignment="1">
      <alignment horizontal="center"/>
    </xf>
    <xf numFmtId="2" fontId="2" fillId="0" borderId="9" xfId="1" applyNumberFormat="1" applyFont="1" applyBorder="1" applyAlignment="1" applyProtection="1">
      <alignment horizontal="center"/>
      <protection locked="0"/>
    </xf>
    <xf numFmtId="0" fontId="4" fillId="0" borderId="14" xfId="1" applyFont="1" applyBorder="1" applyAlignment="1" applyProtection="1">
      <alignment horizontal="center"/>
      <protection locked="0"/>
    </xf>
    <xf numFmtId="0" fontId="4" fillId="0" borderId="14" xfId="1" applyFont="1" applyBorder="1" applyAlignment="1" applyProtection="1">
      <alignment horizontal="center" wrapText="1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1" applyFont="1"/>
    <xf numFmtId="164" fontId="0" fillId="0" borderId="0" xfId="0" applyNumberFormat="1"/>
    <xf numFmtId="0" fontId="6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9" xfId="0" applyFont="1" applyBorder="1"/>
    <xf numFmtId="0" fontId="6" fillId="2" borderId="9" xfId="0" applyFont="1" applyFill="1" applyBorder="1"/>
    <xf numFmtId="0" fontId="6" fillId="0" borderId="8" xfId="0" applyFont="1" applyBorder="1"/>
    <xf numFmtId="0" fontId="6" fillId="2" borderId="8" xfId="0" applyFont="1" applyFill="1" applyBorder="1"/>
    <xf numFmtId="1" fontId="2" fillId="2" borderId="9" xfId="1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4" xfId="1" applyFont="1" applyBorder="1" applyAlignment="1" applyProtection="1">
      <alignment horizontal="center" wrapText="1"/>
      <protection locked="0"/>
    </xf>
    <xf numFmtId="0" fontId="4" fillId="0" borderId="4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0" fillId="3" borderId="0" xfId="0" applyFill="1"/>
    <xf numFmtId="0" fontId="2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5" fontId="2" fillId="0" borderId="9" xfId="1" applyNumberFormat="1" applyFont="1" applyBorder="1" applyAlignment="1" applyProtection="1">
      <alignment horizontal="center"/>
      <protection locked="0"/>
    </xf>
    <xf numFmtId="1" fontId="2" fillId="0" borderId="9" xfId="1" applyNumberFormat="1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/>
    </xf>
    <xf numFmtId="1" fontId="2" fillId="0" borderId="9" xfId="1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2" fillId="4" borderId="6" xfId="1" applyNumberFormat="1" applyFont="1" applyFill="1" applyBorder="1" applyAlignment="1" applyProtection="1">
      <alignment horizontal="center"/>
      <protection locked="0"/>
    </xf>
    <xf numFmtId="2" fontId="2" fillId="4" borderId="7" xfId="1" applyNumberFormat="1" applyFont="1" applyFill="1" applyBorder="1" applyAlignment="1" applyProtection="1">
      <alignment horizontal="center"/>
      <protection locked="0"/>
    </xf>
    <xf numFmtId="0" fontId="2" fillId="4" borderId="6" xfId="1" applyFont="1" applyFill="1" applyBorder="1" applyAlignment="1" applyProtection="1">
      <alignment horizontal="center"/>
      <protection locked="0"/>
    </xf>
    <xf numFmtId="2" fontId="2" fillId="4" borderId="9" xfId="2" applyNumberFormat="1" applyFont="1" applyFill="1" applyBorder="1" applyAlignment="1" applyProtection="1">
      <alignment horizontal="center"/>
      <protection locked="0"/>
    </xf>
    <xf numFmtId="0" fontId="2" fillId="4" borderId="9" xfId="1" applyFont="1" applyFill="1" applyBorder="1" applyAlignment="1" applyProtection="1">
      <alignment horizontal="center"/>
      <protection locked="0"/>
    </xf>
    <xf numFmtId="0" fontId="2" fillId="4" borderId="9" xfId="2" applyNumberFormat="1" applyFont="1" applyFill="1" applyBorder="1" applyAlignment="1" applyProtection="1">
      <alignment horizontal="center"/>
      <protection locked="0"/>
    </xf>
    <xf numFmtId="2" fontId="6" fillId="4" borderId="9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4" fillId="0" borderId="9" xfId="1" applyFont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/>
    <xf numFmtId="0" fontId="0" fillId="0" borderId="8" xfId="0" applyBorder="1"/>
    <xf numFmtId="0" fontId="0" fillId="0" borderId="9" xfId="0" applyBorder="1"/>
    <xf numFmtId="2" fontId="4" fillId="0" borderId="8" xfId="1" applyNumberFormat="1" applyFont="1" applyBorder="1" applyAlignment="1" applyProtection="1">
      <alignment horizontal="center"/>
      <protection locked="0"/>
    </xf>
    <xf numFmtId="2" fontId="4" fillId="2" borderId="8" xfId="1" applyNumberFormat="1" applyFont="1" applyFill="1" applyBorder="1" applyAlignment="1" applyProtection="1">
      <alignment horizontal="center"/>
      <protection locked="0"/>
    </xf>
    <xf numFmtId="0" fontId="4" fillId="2" borderId="9" xfId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wrapText="1"/>
      <protection locked="0"/>
    </xf>
    <xf numFmtId="0" fontId="4" fillId="2" borderId="0" xfId="1" applyFont="1" applyFill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4" xfId="0" applyFont="1" applyBorder="1" applyAlignment="1">
      <alignment horizontal="center" wrapText="1"/>
    </xf>
    <xf numFmtId="0" fontId="0" fillId="2" borderId="23" xfId="0" applyFill="1" applyBorder="1"/>
    <xf numFmtId="0" fontId="0" fillId="0" borderId="23" xfId="0" applyBorder="1"/>
    <xf numFmtId="0" fontId="4" fillId="0" borderId="20" xfId="1" applyFont="1" applyBorder="1" applyProtection="1">
      <protection locked="0"/>
    </xf>
    <xf numFmtId="0" fontId="0" fillId="0" borderId="21" xfId="0" applyBorder="1"/>
    <xf numFmtId="0" fontId="4" fillId="0" borderId="12" xfId="1" applyFont="1" applyBorder="1" applyAlignment="1" applyProtection="1">
      <alignment horizontal="center" wrapText="1"/>
      <protection locked="0"/>
    </xf>
    <xf numFmtId="0" fontId="6" fillId="4" borderId="24" xfId="0" applyFont="1" applyFill="1" applyBorder="1" applyAlignment="1">
      <alignment horizontal="center"/>
    </xf>
    <xf numFmtId="0" fontId="4" fillId="0" borderId="25" xfId="1" applyFont="1" applyBorder="1" applyAlignment="1" applyProtection="1">
      <alignment horizontal="center" wrapText="1"/>
      <protection locked="0"/>
    </xf>
    <xf numFmtId="0" fontId="4" fillId="0" borderId="22" xfId="1" applyFont="1" applyBorder="1" applyAlignment="1" applyProtection="1">
      <alignment horizontal="center" wrapText="1"/>
      <protection locked="0"/>
    </xf>
    <xf numFmtId="166" fontId="6" fillId="2" borderId="9" xfId="0" applyNumberFormat="1" applyFont="1" applyFill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0" fontId="4" fillId="0" borderId="26" xfId="1" applyFont="1" applyBorder="1" applyAlignment="1" applyProtection="1">
      <alignment horizontal="center"/>
      <protection locked="0"/>
    </xf>
    <xf numFmtId="0" fontId="4" fillId="0" borderId="26" xfId="1" applyFont="1" applyBorder="1" applyAlignment="1" applyProtection="1">
      <alignment horizontal="center" wrapText="1"/>
      <protection locked="0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27" xfId="1" applyFont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 wrapText="1"/>
      <protection locked="0"/>
    </xf>
    <xf numFmtId="2" fontId="2" fillId="4" borderId="23" xfId="2" applyNumberFormat="1" applyFont="1" applyFill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 wrapText="1"/>
      <protection locked="0"/>
    </xf>
    <xf numFmtId="0" fontId="2" fillId="4" borderId="30" xfId="1" applyFon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4" fillId="0" borderId="13" xfId="1" applyFont="1" applyBorder="1" applyAlignment="1" applyProtection="1">
      <alignment horizontal="center" wrapText="1"/>
      <protection locked="0"/>
    </xf>
    <xf numFmtId="0" fontId="4" fillId="0" borderId="27" xfId="1" applyFont="1" applyBorder="1" applyAlignment="1" applyProtection="1">
      <alignment horizontal="center" wrapText="1"/>
      <protection locked="0"/>
    </xf>
    <xf numFmtId="0" fontId="4" fillId="0" borderId="27" xfId="1" applyFont="1" applyBorder="1" applyAlignment="1" applyProtection="1">
      <alignment wrapText="1"/>
      <protection locked="0"/>
    </xf>
    <xf numFmtId="0" fontId="4" fillId="0" borderId="27" xfId="1" applyFont="1" applyBorder="1" applyAlignment="1" applyProtection="1">
      <alignment vertical="center" wrapText="1"/>
      <protection locked="0"/>
    </xf>
    <xf numFmtId="0" fontId="4" fillId="0" borderId="28" xfId="1" applyFont="1" applyBorder="1" applyAlignment="1" applyProtection="1">
      <alignment vertical="center" wrapText="1"/>
      <protection locked="0"/>
    </xf>
    <xf numFmtId="0" fontId="4" fillId="2" borderId="16" xfId="1" applyFont="1" applyFill="1" applyBorder="1" applyAlignment="1" applyProtection="1">
      <alignment horizontal="center"/>
      <protection locked="0"/>
    </xf>
    <xf numFmtId="0" fontId="4" fillId="0" borderId="16" xfId="1" applyFont="1" applyBorder="1" applyAlignment="1" applyProtection="1">
      <alignment horizontal="center"/>
      <protection locked="0"/>
    </xf>
    <xf numFmtId="0" fontId="0" fillId="2" borderId="16" xfId="0" applyFill="1" applyBorder="1"/>
    <xf numFmtId="0" fontId="0" fillId="0" borderId="16" xfId="0" applyBorder="1"/>
    <xf numFmtId="2" fontId="2" fillId="0" borderId="6" xfId="1" applyNumberFormat="1" applyFont="1" applyBorder="1" applyAlignment="1" applyProtection="1">
      <alignment horizontal="center"/>
      <protection locked="0"/>
    </xf>
    <xf numFmtId="2" fontId="2" fillId="0" borderId="7" xfId="1" applyNumberFormat="1" applyFont="1" applyBorder="1" applyAlignment="1" applyProtection="1">
      <alignment horizontal="center"/>
      <protection locked="0"/>
    </xf>
    <xf numFmtId="2" fontId="2" fillId="0" borderId="23" xfId="2" applyNumberFormat="1" applyFont="1" applyFill="1" applyBorder="1" applyAlignment="1" applyProtection="1">
      <alignment horizontal="center"/>
      <protection locked="0"/>
    </xf>
    <xf numFmtId="0" fontId="2" fillId="0" borderId="30" xfId="1" applyFont="1" applyBorder="1" applyAlignment="1" applyProtection="1">
      <alignment horizontal="center"/>
      <protection locked="0"/>
    </xf>
    <xf numFmtId="0" fontId="2" fillId="0" borderId="9" xfId="2" applyNumberFormat="1" applyFont="1" applyFill="1" applyBorder="1" applyAlignment="1" applyProtection="1">
      <alignment horizontal="center"/>
      <protection locked="0"/>
    </xf>
    <xf numFmtId="0" fontId="6" fillId="0" borderId="1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0" fillId="2" borderId="23" xfId="0" applyNumberFormat="1" applyFill="1" applyBorder="1"/>
    <xf numFmtId="2" fontId="0" fillId="0" borderId="23" xfId="0" applyNumberFormat="1" applyBorder="1"/>
    <xf numFmtId="2" fontId="12" fillId="0" borderId="9" xfId="0" applyNumberFormat="1" applyFont="1" applyBorder="1" applyAlignment="1">
      <alignment horizontal="center"/>
    </xf>
    <xf numFmtId="2" fontId="12" fillId="2" borderId="9" xfId="0" applyNumberFormat="1" applyFont="1" applyFill="1" applyBorder="1" applyAlignment="1">
      <alignment horizontal="center"/>
    </xf>
    <xf numFmtId="166" fontId="12" fillId="2" borderId="9" xfId="0" applyNumberFormat="1" applyFont="1" applyFill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2" fontId="12" fillId="0" borderId="9" xfId="1" applyNumberFormat="1" applyFont="1" applyBorder="1" applyAlignment="1" applyProtection="1">
      <alignment horizontal="center"/>
      <protection locked="0"/>
    </xf>
    <xf numFmtId="0" fontId="12" fillId="0" borderId="9" xfId="1" applyFont="1" applyBorder="1" applyAlignment="1" applyProtection="1">
      <alignment horizontal="center"/>
      <protection locked="0"/>
    </xf>
    <xf numFmtId="1" fontId="12" fillId="0" borderId="9" xfId="1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20" xfId="1" applyFont="1" applyBorder="1" applyAlignment="1" applyProtection="1">
      <alignment horizontal="center"/>
      <protection locked="0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wrapText="1"/>
      <protection locked="0"/>
    </xf>
    <xf numFmtId="0" fontId="12" fillId="0" borderId="9" xfId="0" applyFont="1" applyBorder="1" applyAlignment="1">
      <alignment horizontal="center"/>
    </xf>
    <xf numFmtId="166" fontId="12" fillId="0" borderId="9" xfId="0" applyNumberFormat="1" applyFont="1" applyBorder="1" applyAlignment="1">
      <alignment horizontal="center"/>
    </xf>
    <xf numFmtId="0" fontId="12" fillId="4" borderId="6" xfId="1" applyFont="1" applyFill="1" applyBorder="1" applyAlignment="1" applyProtection="1">
      <alignment horizontal="center"/>
      <protection locked="0"/>
    </xf>
    <xf numFmtId="2" fontId="12" fillId="4" borderId="6" xfId="1" applyNumberFormat="1" applyFont="1" applyFill="1" applyBorder="1" applyAlignment="1" applyProtection="1">
      <alignment horizontal="center"/>
      <protection locked="0"/>
    </xf>
    <xf numFmtId="2" fontId="12" fillId="4" borderId="7" xfId="1" applyNumberFormat="1" applyFont="1" applyFill="1" applyBorder="1" applyAlignment="1" applyProtection="1">
      <alignment horizontal="center"/>
      <protection locked="0"/>
    </xf>
    <xf numFmtId="2" fontId="12" fillId="4" borderId="23" xfId="2" applyNumberFormat="1" applyFont="1" applyFill="1" applyBorder="1" applyAlignment="1" applyProtection="1">
      <alignment horizontal="center"/>
      <protection locked="0"/>
    </xf>
    <xf numFmtId="0" fontId="12" fillId="4" borderId="30" xfId="1" applyFont="1" applyFill="1" applyBorder="1" applyAlignment="1" applyProtection="1">
      <alignment horizontal="center"/>
      <protection locked="0"/>
    </xf>
    <xf numFmtId="0" fontId="12" fillId="4" borderId="9" xfId="2" applyNumberFormat="1" applyFont="1" applyFill="1" applyBorder="1" applyAlignment="1" applyProtection="1">
      <alignment horizontal="center"/>
      <protection locked="0"/>
    </xf>
    <xf numFmtId="2" fontId="12" fillId="4" borderId="9" xfId="0" applyNumberFormat="1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2" fontId="12" fillId="2" borderId="9" xfId="1" applyNumberFormat="1" applyFont="1" applyFill="1" applyBorder="1" applyAlignment="1" applyProtection="1">
      <alignment horizontal="center"/>
      <protection locked="0"/>
    </xf>
    <xf numFmtId="0" fontId="12" fillId="2" borderId="9" xfId="1" applyFont="1" applyFill="1" applyBorder="1" applyAlignment="1" applyProtection="1">
      <alignment horizontal="center"/>
      <protection locked="0"/>
    </xf>
    <xf numFmtId="1" fontId="12" fillId="2" borderId="9" xfId="1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AC1372AF-3045-4FDF-9A10-5E8E01FFB1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188818</xdr:colOff>
      <xdr:row>0</xdr:row>
      <xdr:rowOff>57150</xdr:rowOff>
    </xdr:from>
    <xdr:to>
      <xdr:col>5</xdr:col>
      <xdr:colOff>212363</xdr:colOff>
      <xdr:row>5</xdr:row>
      <xdr:rowOff>110491</xdr:rowOff>
    </xdr:to>
    <xdr:pic>
      <xdr:nvPicPr>
        <xdr:cNvPr id="2" name="Picture 1" descr="C:\Documents and Settings\sedlak\Desktop\TOP.png">
          <a:extLst>
            <a:ext uri="{FF2B5EF4-FFF2-40B4-BE49-F238E27FC236}">
              <a16:creationId xmlns:a16="http://schemas.microsoft.com/office/drawing/2014/main" id="{DB844759-0724-4247-A044-1710C07C39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5"/>
        <a:stretch/>
      </xdr:blipFill>
      <xdr:spPr bwMode="auto">
        <a:xfrm>
          <a:off x="305359" y="57150"/>
          <a:ext cx="2337896" cy="949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57150</xdr:rowOff>
    </xdr:from>
    <xdr:to>
      <xdr:col>4</xdr:col>
      <xdr:colOff>398409</xdr:colOff>
      <xdr:row>5</xdr:row>
      <xdr:rowOff>97156</xdr:rowOff>
    </xdr:to>
    <xdr:pic>
      <xdr:nvPicPr>
        <xdr:cNvPr id="2" name="Picture 1" descr="C:\Documents and Settings\sedlak\Desktop\TOP.png">
          <a:extLst>
            <a:ext uri="{FF2B5EF4-FFF2-40B4-BE49-F238E27FC236}">
              <a16:creationId xmlns:a16="http://schemas.microsoft.com/office/drawing/2014/main" id="{DCEC58FC-99D7-4632-8ACD-D4A4217D1B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5"/>
        <a:stretch/>
      </xdr:blipFill>
      <xdr:spPr bwMode="auto">
        <a:xfrm>
          <a:off x="9524" y="57150"/>
          <a:ext cx="2387601" cy="968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57150</xdr:rowOff>
    </xdr:from>
    <xdr:to>
      <xdr:col>4</xdr:col>
      <xdr:colOff>97487</xdr:colOff>
      <xdr:row>5</xdr:row>
      <xdr:rowOff>97156</xdr:rowOff>
    </xdr:to>
    <xdr:pic>
      <xdr:nvPicPr>
        <xdr:cNvPr id="2" name="Picture 1" descr="C:\Documents and Settings\sedlak\Desktop\TOP.png">
          <a:extLst>
            <a:ext uri="{FF2B5EF4-FFF2-40B4-BE49-F238E27FC236}">
              <a16:creationId xmlns:a16="http://schemas.microsoft.com/office/drawing/2014/main" id="{A3ADB22A-D50B-445F-B862-14FD3A033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5"/>
        <a:stretch/>
      </xdr:blipFill>
      <xdr:spPr bwMode="auto">
        <a:xfrm>
          <a:off x="11429" y="53340"/>
          <a:ext cx="2353008" cy="9486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28575</xdr:rowOff>
    </xdr:from>
    <xdr:to>
      <xdr:col>3</xdr:col>
      <xdr:colOff>590138</xdr:colOff>
      <xdr:row>15</xdr:row>
      <xdr:rowOff>104480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72524-D57E-4F09-93C6-4D54FF86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00075"/>
          <a:ext cx="3295238" cy="2361905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428625</xdr:colOff>
      <xdr:row>4</xdr:row>
      <xdr:rowOff>38100</xdr:rowOff>
    </xdr:from>
    <xdr:to>
      <xdr:col>10</xdr:col>
      <xdr:colOff>590073</xdr:colOff>
      <xdr:row>15</xdr:row>
      <xdr:rowOff>161648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D7A76E-A1F8-459A-BBA1-E87EDC51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2375" y="800100"/>
          <a:ext cx="3819048" cy="2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BE20-F531-403B-AC95-6F5445B5345B}">
  <sheetPr>
    <pageSetUpPr fitToPage="1"/>
  </sheetPr>
  <dimension ref="A2:AS51"/>
  <sheetViews>
    <sheetView tabSelected="1" topLeftCell="A7" zoomScaleNormal="100" zoomScaleSheetLayoutView="85" workbookViewId="0">
      <pane xSplit="3" topLeftCell="D1" activePane="topRight" state="frozen"/>
      <selection pane="topRight" activeCell="L29" sqref="L29"/>
    </sheetView>
  </sheetViews>
  <sheetFormatPr defaultRowHeight="15" x14ac:dyDescent="0.25"/>
  <cols>
    <col min="1" max="1" width="1.7109375" customWidth="1"/>
    <col min="2" max="2" width="10" customWidth="1"/>
    <col min="3" max="3" width="10.5703125" bestFit="1" customWidth="1"/>
    <col min="4" max="4" width="4" customWidth="1"/>
    <col min="5" max="5" width="9" bestFit="1" customWidth="1"/>
    <col min="6" max="6" width="6.28515625" customWidth="1"/>
    <col min="7" max="7" width="5.7109375" customWidth="1"/>
    <col min="8" max="8" width="8.42578125" customWidth="1"/>
    <col min="9" max="9" width="5.85546875" customWidth="1"/>
    <col min="10" max="10" width="5.140625" customWidth="1"/>
    <col min="11" max="11" width="10.140625" bestFit="1" customWidth="1"/>
    <col min="12" max="12" width="5.7109375" customWidth="1"/>
    <col min="13" max="13" width="7.5703125" customWidth="1"/>
    <col min="14" max="14" width="7.42578125" bestFit="1" customWidth="1"/>
    <col min="15" max="15" width="7.140625" customWidth="1"/>
    <col min="16" max="16" width="7.7109375" bestFit="1" customWidth="1"/>
    <col min="17" max="17" width="7" bestFit="1" customWidth="1"/>
    <col min="18" max="18" width="6" customWidth="1"/>
    <col min="19" max="19" width="7.140625" customWidth="1"/>
    <col min="20" max="20" width="7.28515625" customWidth="1"/>
    <col min="21" max="21" width="7.7109375" bestFit="1" customWidth="1"/>
    <col min="22" max="22" width="5" customWidth="1"/>
    <col min="23" max="23" width="7.7109375" bestFit="1" customWidth="1"/>
    <col min="24" max="25" width="7" bestFit="1" customWidth="1"/>
    <col min="26" max="26" width="4.7109375" customWidth="1"/>
    <col min="27" max="27" width="9.7109375" customWidth="1"/>
    <col min="28" max="28" width="6.42578125" customWidth="1"/>
    <col min="29" max="29" width="7.42578125" customWidth="1"/>
    <col min="30" max="30" width="6.7109375" customWidth="1"/>
    <col min="31" max="32" width="7.28515625" customWidth="1"/>
    <col min="33" max="33" width="6.5703125" customWidth="1"/>
    <col min="34" max="34" width="8" customWidth="1"/>
    <col min="35" max="35" width="10" customWidth="1"/>
    <col min="36" max="36" width="10.140625" customWidth="1"/>
    <col min="37" max="37" width="9.28515625" customWidth="1"/>
    <col min="38" max="38" width="9.140625" customWidth="1"/>
    <col min="39" max="39" width="8.42578125" customWidth="1"/>
    <col min="40" max="40" width="7.7109375" customWidth="1"/>
    <col min="41" max="41" width="4.7109375" customWidth="1"/>
    <col min="42" max="42" width="4.5703125" customWidth="1"/>
  </cols>
  <sheetData>
    <row r="2" spans="1:45" x14ac:dyDescent="0.25">
      <c r="G2" s="1"/>
      <c r="H2" s="1" t="s">
        <v>0</v>
      </c>
      <c r="I2" s="136" t="s">
        <v>42</v>
      </c>
      <c r="J2" s="136"/>
      <c r="K2" s="136"/>
    </row>
    <row r="3" spans="1:45" x14ac:dyDescent="0.25">
      <c r="H3" s="2" t="s">
        <v>1</v>
      </c>
      <c r="I3" s="3">
        <v>1</v>
      </c>
      <c r="J3" s="4" t="s">
        <v>2</v>
      </c>
      <c r="K3" s="5">
        <v>1</v>
      </c>
    </row>
    <row r="4" spans="1:45" x14ac:dyDescent="0.25">
      <c r="H4" s="1" t="s">
        <v>3</v>
      </c>
      <c r="I4" s="6"/>
      <c r="J4" s="7" t="s">
        <v>4</v>
      </c>
      <c r="K4" s="8"/>
    </row>
    <row r="5" spans="1:45" x14ac:dyDescent="0.25">
      <c r="H5" s="1" t="s">
        <v>5</v>
      </c>
      <c r="I5" s="6"/>
      <c r="J5" s="7" t="s">
        <v>4</v>
      </c>
      <c r="K5" s="8"/>
      <c r="Y5" t="s">
        <v>37</v>
      </c>
    </row>
    <row r="6" spans="1:45" x14ac:dyDescent="0.25">
      <c r="G6" s="1"/>
      <c r="H6" s="9"/>
      <c r="I6" s="9"/>
      <c r="J6" s="10"/>
    </row>
    <row r="7" spans="1:45" ht="16.5" thickBot="1" x14ac:dyDescent="0.3">
      <c r="B7" s="28" t="s">
        <v>6</v>
      </c>
      <c r="C7" s="11"/>
      <c r="D7" s="12"/>
      <c r="E7" s="12"/>
      <c r="F7" s="12"/>
      <c r="G7" s="12"/>
      <c r="H7" s="12"/>
      <c r="I7" s="12"/>
      <c r="J7" s="12"/>
      <c r="K7" s="12"/>
    </row>
    <row r="8" spans="1:45" ht="15.75" customHeight="1" thickBot="1" x14ac:dyDescent="0.3">
      <c r="B8" s="11"/>
      <c r="C8" s="11"/>
      <c r="D8" s="12"/>
      <c r="E8" s="12"/>
      <c r="F8" s="12"/>
      <c r="G8" s="7" t="s">
        <v>7</v>
      </c>
      <c r="H8" s="12"/>
      <c r="I8" s="7" t="s">
        <v>7</v>
      </c>
      <c r="J8" s="12"/>
      <c r="K8" s="12"/>
      <c r="L8" s="137" t="s">
        <v>19</v>
      </c>
      <c r="M8" s="138"/>
      <c r="N8" s="138"/>
      <c r="O8" s="138"/>
      <c r="P8" s="139"/>
      <c r="Q8" s="90"/>
      <c r="R8" s="144" t="s">
        <v>20</v>
      </c>
      <c r="S8" s="145"/>
      <c r="T8" s="145"/>
      <c r="U8" s="145"/>
      <c r="V8" s="145"/>
      <c r="W8" s="145"/>
      <c r="X8" s="146"/>
      <c r="Y8" s="91"/>
      <c r="Z8" s="141" t="s">
        <v>34</v>
      </c>
      <c r="AA8" s="142"/>
      <c r="AB8" s="142"/>
      <c r="AC8" s="142"/>
      <c r="AD8" s="142"/>
      <c r="AE8" s="142"/>
      <c r="AF8" s="142"/>
      <c r="AG8" s="143"/>
      <c r="AH8" s="4"/>
      <c r="AI8" s="147" t="s">
        <v>47</v>
      </c>
      <c r="AJ8" s="147" t="s">
        <v>48</v>
      </c>
      <c r="AK8" s="140" t="s">
        <v>44</v>
      </c>
      <c r="AL8" s="140" t="s">
        <v>43</v>
      </c>
      <c r="AM8" s="140" t="s">
        <v>46</v>
      </c>
      <c r="AN8" s="140" t="s">
        <v>45</v>
      </c>
      <c r="AP8" s="147" t="s">
        <v>66</v>
      </c>
      <c r="AQ8" s="147"/>
      <c r="AR8" s="147"/>
      <c r="AS8" s="147"/>
    </row>
    <row r="9" spans="1:45" ht="43.5" customHeight="1" thickBot="1" x14ac:dyDescent="0.3">
      <c r="B9" s="47" t="s">
        <v>50</v>
      </c>
      <c r="C9" s="46" t="s">
        <v>9</v>
      </c>
      <c r="D9" s="87" t="s">
        <v>10</v>
      </c>
      <c r="E9" s="45" t="s">
        <v>11</v>
      </c>
      <c r="F9" s="45" t="s">
        <v>12</v>
      </c>
      <c r="G9" s="45" t="s">
        <v>13</v>
      </c>
      <c r="H9" s="45" t="s">
        <v>14</v>
      </c>
      <c r="I9" s="45" t="s">
        <v>13</v>
      </c>
      <c r="J9" s="94" t="s">
        <v>15</v>
      </c>
      <c r="K9" s="95" t="s">
        <v>16</v>
      </c>
      <c r="L9" s="24" t="s">
        <v>22</v>
      </c>
      <c r="M9" s="25" t="s">
        <v>23</v>
      </c>
      <c r="N9" s="25" t="s">
        <v>24</v>
      </c>
      <c r="O9" s="25" t="s">
        <v>25</v>
      </c>
      <c r="P9" s="98" t="s">
        <v>26</v>
      </c>
      <c r="Q9" s="104" t="s">
        <v>27</v>
      </c>
      <c r="R9" s="100" t="s">
        <v>22</v>
      </c>
      <c r="S9" s="25" t="s">
        <v>28</v>
      </c>
      <c r="T9" s="25" t="s">
        <v>24</v>
      </c>
      <c r="U9" s="25" t="s">
        <v>25</v>
      </c>
      <c r="V9" s="24" t="s">
        <v>26</v>
      </c>
      <c r="W9" s="101" t="s">
        <v>29</v>
      </c>
      <c r="X9" s="102" t="s">
        <v>30</v>
      </c>
      <c r="Y9" s="92" t="s">
        <v>31</v>
      </c>
      <c r="Z9" s="108" t="s">
        <v>35</v>
      </c>
      <c r="AA9" s="25" t="s">
        <v>38</v>
      </c>
      <c r="AB9" s="99" t="s">
        <v>36</v>
      </c>
      <c r="AC9" s="109" t="s">
        <v>39</v>
      </c>
      <c r="AD9" s="110" t="s">
        <v>51</v>
      </c>
      <c r="AE9" s="111" t="s">
        <v>40</v>
      </c>
      <c r="AF9" s="111" t="s">
        <v>41</v>
      </c>
      <c r="AG9" s="112" t="s">
        <v>52</v>
      </c>
      <c r="AH9" s="84" t="s">
        <v>49</v>
      </c>
      <c r="AI9" s="147"/>
      <c r="AJ9" s="147"/>
      <c r="AK9" s="140"/>
      <c r="AL9" s="140"/>
      <c r="AM9" s="140"/>
      <c r="AN9" s="140"/>
      <c r="AO9" s="84"/>
      <c r="AP9" s="147"/>
      <c r="AQ9" s="147"/>
      <c r="AR9" s="147"/>
      <c r="AS9" s="147"/>
    </row>
    <row r="10" spans="1:45" s="21" customFormat="1" x14ac:dyDescent="0.25">
      <c r="A10"/>
      <c r="B10" s="31" t="s">
        <v>53</v>
      </c>
      <c r="C10" s="96">
        <v>101245.21</v>
      </c>
      <c r="D10" s="18" t="s">
        <v>33</v>
      </c>
      <c r="E10" s="50">
        <f>ROUND(42818.009/43560,2)</f>
        <v>0.98</v>
      </c>
      <c r="F10" s="50">
        <f>ROUND((5708.462+13428.075)/43560,2)</f>
        <v>0.44</v>
      </c>
      <c r="G10" s="19">
        <v>0.9</v>
      </c>
      <c r="H10" s="69">
        <f t="shared" ref="H10:H50" si="0">E10-F10</f>
        <v>0.54</v>
      </c>
      <c r="I10" s="19">
        <v>0.6</v>
      </c>
      <c r="J10" s="67">
        <f t="shared" ref="J10:J50" si="1">ROUND((F10*G10)+(H10*I10),2)</f>
        <v>0.72</v>
      </c>
      <c r="K10" s="68">
        <f t="shared" ref="K10:K50" si="2">J10/E10</f>
        <v>0.73469387755102045</v>
      </c>
      <c r="L10" s="18">
        <v>35</v>
      </c>
      <c r="M10" s="20">
        <f t="shared" ref="M10:M44" si="3">K10</f>
        <v>0.73469387755102045</v>
      </c>
      <c r="N10" s="19">
        <v>582.28</v>
      </c>
      <c r="O10" s="18">
        <v>579.53</v>
      </c>
      <c r="P10" s="103">
        <f t="shared" ref="P10:P50" si="4">ROUND(((N10-O10)/L10)*100,2)</f>
        <v>7.86</v>
      </c>
      <c r="Q10" s="105">
        <f t="shared" ref="Q10:Q50" si="5">ROUND((1.8*(1.1-M10)*L10^(0.5))/(P10^(1/3)),2)</f>
        <v>1.96</v>
      </c>
      <c r="R10" s="31">
        <v>503</v>
      </c>
      <c r="S10" s="18">
        <v>0.45700000000000002</v>
      </c>
      <c r="T10" s="18">
        <f t="shared" ref="T10:T18" si="6">O10</f>
        <v>579.53</v>
      </c>
      <c r="U10" s="18">
        <v>576.11</v>
      </c>
      <c r="V10" s="72">
        <f t="shared" ref="V10:V50" si="7">ROUND(((T10-U10)/R10)*100,2)</f>
        <v>0.68</v>
      </c>
      <c r="W10" s="73">
        <f t="shared" ref="W10:W50" si="8">ROUND(3.281*S10*(V10^(0.5)),2)</f>
        <v>1.24</v>
      </c>
      <c r="X10" s="75">
        <f t="shared" ref="X10:X50" si="9">ROUND(R10/(60*W10),2)</f>
        <v>6.76</v>
      </c>
      <c r="Y10" s="93">
        <f t="shared" ref="Y10:Y50" si="10">Q10+X10</f>
        <v>8.7199999999999989</v>
      </c>
      <c r="Z10" s="82"/>
      <c r="AA10" s="83"/>
      <c r="AB10" s="106"/>
      <c r="AC10" s="83"/>
      <c r="AD10" s="83"/>
      <c r="AE10" s="83"/>
      <c r="AF10" s="83"/>
      <c r="AG10" s="113"/>
      <c r="AH10" s="85"/>
      <c r="AI10" s="85"/>
      <c r="AJ10" s="85"/>
      <c r="AK10" s="85"/>
      <c r="AL10" s="85"/>
    </row>
    <row r="11" spans="1:45" x14ac:dyDescent="0.25">
      <c r="B11" s="30" t="s">
        <v>54</v>
      </c>
      <c r="C11" s="97">
        <v>102359</v>
      </c>
      <c r="D11" s="22" t="s">
        <v>33</v>
      </c>
      <c r="E11" s="51">
        <f>ROUND(37890.402/43560,2)</f>
        <v>0.87</v>
      </c>
      <c r="F11" s="51">
        <f>ROUND((4417.898+12768.879)/43560,2)</f>
        <v>0.39</v>
      </c>
      <c r="G11" s="17">
        <v>0.9</v>
      </c>
      <c r="H11" s="69">
        <f t="shared" si="0"/>
        <v>0.48</v>
      </c>
      <c r="I11" s="17">
        <v>0.6</v>
      </c>
      <c r="J11" s="67">
        <f t="shared" si="1"/>
        <v>0.64</v>
      </c>
      <c r="K11" s="68">
        <f t="shared" si="2"/>
        <v>0.73563218390804597</v>
      </c>
      <c r="L11" s="22">
        <v>15</v>
      </c>
      <c r="M11" s="23">
        <f t="shared" si="3"/>
        <v>0.73563218390804597</v>
      </c>
      <c r="N11" s="17">
        <v>581.98</v>
      </c>
      <c r="O11" s="22">
        <v>579.37</v>
      </c>
      <c r="P11" s="103">
        <f t="shared" si="4"/>
        <v>17.399999999999999</v>
      </c>
      <c r="Q11" s="105">
        <f t="shared" si="5"/>
        <v>0.98</v>
      </c>
      <c r="R11" s="30">
        <v>347</v>
      </c>
      <c r="S11" s="22">
        <v>0.45700000000000002</v>
      </c>
      <c r="T11" s="22">
        <f t="shared" si="6"/>
        <v>579.37</v>
      </c>
      <c r="U11" s="22">
        <v>576.65</v>
      </c>
      <c r="V11" s="72">
        <f t="shared" si="7"/>
        <v>0.78</v>
      </c>
      <c r="W11" s="73">
        <f t="shared" si="8"/>
        <v>1.32</v>
      </c>
      <c r="X11" s="75">
        <f t="shared" si="9"/>
        <v>4.38</v>
      </c>
      <c r="Y11" s="93">
        <f t="shared" si="10"/>
        <v>5.3599999999999994</v>
      </c>
      <c r="Z11" s="81"/>
      <c r="AA11" s="76"/>
      <c r="AB11" s="107"/>
      <c r="AC11" s="76"/>
      <c r="AD11" s="76"/>
      <c r="AE11" s="76"/>
      <c r="AF11" s="76"/>
      <c r="AG11" s="114"/>
      <c r="AH11" s="86"/>
      <c r="AI11" s="86"/>
      <c r="AJ11" s="86"/>
      <c r="AK11" s="86"/>
      <c r="AL11" s="86"/>
    </row>
    <row r="12" spans="1:45" s="21" customFormat="1" x14ac:dyDescent="0.25">
      <c r="A12"/>
      <c r="B12" s="31" t="s">
        <v>55</v>
      </c>
      <c r="C12" s="96">
        <v>102359</v>
      </c>
      <c r="D12" s="18" t="s">
        <v>33</v>
      </c>
      <c r="E12" s="50">
        <f>ROUND(10754.578/43560,2)</f>
        <v>0.25</v>
      </c>
      <c r="F12" s="50">
        <f>ROUND((5810.149)/43560,2)</f>
        <v>0.13</v>
      </c>
      <c r="G12" s="18">
        <v>0.9</v>
      </c>
      <c r="H12" s="69">
        <f t="shared" si="0"/>
        <v>0.12</v>
      </c>
      <c r="I12" s="19">
        <v>0.6</v>
      </c>
      <c r="J12" s="67">
        <f t="shared" si="1"/>
        <v>0.19</v>
      </c>
      <c r="K12" s="68">
        <f t="shared" si="2"/>
        <v>0.76</v>
      </c>
      <c r="L12" s="36">
        <v>31</v>
      </c>
      <c r="M12" s="20">
        <f t="shared" si="3"/>
        <v>0.76</v>
      </c>
      <c r="N12" s="19">
        <v>581.22</v>
      </c>
      <c r="O12" s="20">
        <v>579.41999999999996</v>
      </c>
      <c r="P12" s="103">
        <f t="shared" si="4"/>
        <v>5.81</v>
      </c>
      <c r="Q12" s="105">
        <f t="shared" si="5"/>
        <v>1.9</v>
      </c>
      <c r="R12" s="31">
        <v>104</v>
      </c>
      <c r="S12" s="18">
        <v>0.45700000000000002</v>
      </c>
      <c r="T12" s="18">
        <f t="shared" si="6"/>
        <v>579.41999999999996</v>
      </c>
      <c r="U12" s="18">
        <v>576.65</v>
      </c>
      <c r="V12" s="72">
        <f t="shared" si="7"/>
        <v>2.66</v>
      </c>
      <c r="W12" s="73">
        <f t="shared" si="8"/>
        <v>2.4500000000000002</v>
      </c>
      <c r="X12" s="75">
        <f t="shared" si="9"/>
        <v>0.71</v>
      </c>
      <c r="Y12" s="93">
        <f t="shared" si="10"/>
        <v>2.61</v>
      </c>
      <c r="Z12" s="77"/>
      <c r="AA12" s="78"/>
      <c r="AB12" s="88"/>
      <c r="AC12" s="78"/>
      <c r="AD12" s="78"/>
      <c r="AE12" s="78"/>
      <c r="AF12" s="78"/>
      <c r="AG12" s="115"/>
    </row>
    <row r="13" spans="1:45" x14ac:dyDescent="0.25">
      <c r="B13" s="30" t="s">
        <v>57</v>
      </c>
      <c r="C13" s="97">
        <v>102774</v>
      </c>
      <c r="D13" s="22" t="s">
        <v>56</v>
      </c>
      <c r="E13" s="51">
        <f>ROUND(12188.376/43560,2)</f>
        <v>0.28000000000000003</v>
      </c>
      <c r="F13" s="51">
        <f>ROUND((7542.618)/43560,2)</f>
        <v>0.17</v>
      </c>
      <c r="G13" s="17">
        <v>0.9</v>
      </c>
      <c r="H13" s="69">
        <f t="shared" si="0"/>
        <v>0.11000000000000001</v>
      </c>
      <c r="I13" s="17">
        <v>0.6</v>
      </c>
      <c r="J13" s="67">
        <f t="shared" si="1"/>
        <v>0.22</v>
      </c>
      <c r="K13" s="68">
        <f t="shared" si="2"/>
        <v>0.7857142857142857</v>
      </c>
      <c r="L13" s="22">
        <v>34</v>
      </c>
      <c r="M13" s="23">
        <f t="shared" si="3"/>
        <v>0.7857142857142857</v>
      </c>
      <c r="N13" s="22">
        <v>580.35</v>
      </c>
      <c r="O13" s="22">
        <v>579.72</v>
      </c>
      <c r="P13" s="103">
        <f t="shared" si="4"/>
        <v>1.85</v>
      </c>
      <c r="Q13" s="105">
        <f t="shared" si="5"/>
        <v>2.69</v>
      </c>
      <c r="R13" s="30">
        <v>176</v>
      </c>
      <c r="S13" s="22">
        <v>0.45700000000000002</v>
      </c>
      <c r="T13" s="22">
        <f t="shared" si="6"/>
        <v>579.72</v>
      </c>
      <c r="U13" s="51">
        <v>578.9</v>
      </c>
      <c r="V13" s="72">
        <f t="shared" si="7"/>
        <v>0.47</v>
      </c>
      <c r="W13" s="73">
        <f t="shared" si="8"/>
        <v>1.03</v>
      </c>
      <c r="X13" s="75">
        <f t="shared" si="9"/>
        <v>2.85</v>
      </c>
      <c r="Y13" s="93">
        <f t="shared" si="10"/>
        <v>5.54</v>
      </c>
      <c r="Z13" s="79"/>
      <c r="AA13" s="80"/>
      <c r="AB13" s="89"/>
      <c r="AC13" s="80"/>
      <c r="AD13" s="80"/>
      <c r="AE13" s="80"/>
      <c r="AF13" s="80"/>
      <c r="AG13" s="116"/>
    </row>
    <row r="14" spans="1:45" s="21" customFormat="1" x14ac:dyDescent="0.25">
      <c r="A14"/>
      <c r="B14" s="31" t="s">
        <v>58</v>
      </c>
      <c r="C14" s="96">
        <v>102937.24</v>
      </c>
      <c r="D14" s="18" t="s">
        <v>56</v>
      </c>
      <c r="E14" s="50">
        <f>ROUND(8456.553/43560,2)</f>
        <v>0.19</v>
      </c>
      <c r="F14" s="50">
        <f>ROUND((4728.219)/43560,2)</f>
        <v>0.11</v>
      </c>
      <c r="G14" s="18">
        <v>0.9</v>
      </c>
      <c r="H14" s="69">
        <f t="shared" si="0"/>
        <v>0.08</v>
      </c>
      <c r="I14" s="19">
        <v>0.6</v>
      </c>
      <c r="J14" s="67">
        <f t="shared" si="1"/>
        <v>0.15</v>
      </c>
      <c r="K14" s="68">
        <f t="shared" si="2"/>
        <v>0.78947368421052633</v>
      </c>
      <c r="L14" s="36">
        <v>31</v>
      </c>
      <c r="M14" s="20">
        <f t="shared" si="3"/>
        <v>0.78947368421052633</v>
      </c>
      <c r="N14" s="19">
        <v>580.03</v>
      </c>
      <c r="O14" s="20">
        <v>578.87</v>
      </c>
      <c r="P14" s="103">
        <f t="shared" si="4"/>
        <v>3.74</v>
      </c>
      <c r="Q14" s="105">
        <f t="shared" si="5"/>
        <v>2</v>
      </c>
      <c r="R14" s="31">
        <v>121</v>
      </c>
      <c r="S14" s="18">
        <v>0.45700000000000002</v>
      </c>
      <c r="T14" s="50">
        <f t="shared" si="6"/>
        <v>578.87</v>
      </c>
      <c r="U14" s="50">
        <v>577.45000000000005</v>
      </c>
      <c r="V14" s="72">
        <f t="shared" si="7"/>
        <v>1.17</v>
      </c>
      <c r="W14" s="73">
        <f t="shared" si="8"/>
        <v>1.62</v>
      </c>
      <c r="X14" s="75">
        <f t="shared" si="9"/>
        <v>1.24</v>
      </c>
      <c r="Y14" s="93">
        <f t="shared" si="10"/>
        <v>3.24</v>
      </c>
      <c r="Z14" s="77"/>
      <c r="AA14" s="78"/>
      <c r="AB14" s="88"/>
      <c r="AC14" s="78"/>
      <c r="AD14" s="78"/>
      <c r="AE14" s="78"/>
      <c r="AF14" s="78"/>
      <c r="AG14" s="115"/>
    </row>
    <row r="15" spans="1:45" x14ac:dyDescent="0.25">
      <c r="B15" s="30"/>
      <c r="C15" s="97"/>
      <c r="D15" s="22"/>
      <c r="E15" s="51"/>
      <c r="F15" s="51"/>
      <c r="G15" s="22"/>
      <c r="H15" s="16"/>
      <c r="I15" s="17"/>
      <c r="J15" s="117"/>
      <c r="K15" s="118"/>
      <c r="L15" s="57"/>
      <c r="M15" s="23"/>
      <c r="N15" s="17"/>
      <c r="O15" s="23"/>
      <c r="P15" s="119"/>
      <c r="Q15" s="120"/>
      <c r="R15" s="30"/>
      <c r="S15" s="22"/>
      <c r="T15" s="51"/>
      <c r="U15" s="51"/>
      <c r="V15" s="121"/>
      <c r="W15" s="51"/>
      <c r="X15" s="122"/>
      <c r="Y15" s="123"/>
      <c r="Z15" s="79"/>
      <c r="AA15" s="80"/>
      <c r="AB15" s="89"/>
      <c r="AC15" s="80"/>
      <c r="AD15" s="80"/>
      <c r="AE15" s="80"/>
      <c r="AF15" s="80"/>
      <c r="AG15" s="116"/>
    </row>
    <row r="16" spans="1:45" s="21" customFormat="1" x14ac:dyDescent="0.25">
      <c r="A16"/>
      <c r="B16" s="31" t="s">
        <v>59</v>
      </c>
      <c r="C16" s="96">
        <v>103366</v>
      </c>
      <c r="D16" s="18" t="s">
        <v>56</v>
      </c>
      <c r="E16" s="50">
        <f>ROUND(21041.315/43560,2)</f>
        <v>0.48</v>
      </c>
      <c r="F16" s="50">
        <f>ROUND((10997.59)/43560,2)</f>
        <v>0.25</v>
      </c>
      <c r="G16" s="19">
        <v>0.9</v>
      </c>
      <c r="H16" s="69">
        <f t="shared" si="0"/>
        <v>0.22999999999999998</v>
      </c>
      <c r="I16" s="19">
        <v>0.6</v>
      </c>
      <c r="J16" s="67">
        <f t="shared" si="1"/>
        <v>0.36</v>
      </c>
      <c r="K16" s="68">
        <f t="shared" si="2"/>
        <v>0.75</v>
      </c>
      <c r="L16" s="18">
        <v>39</v>
      </c>
      <c r="M16" s="20">
        <f t="shared" si="3"/>
        <v>0.75</v>
      </c>
      <c r="N16" s="18">
        <v>580.42999999999995</v>
      </c>
      <c r="O16" s="18">
        <v>577.4</v>
      </c>
      <c r="P16" s="103">
        <f t="shared" si="4"/>
        <v>7.77</v>
      </c>
      <c r="Q16" s="105">
        <f t="shared" si="5"/>
        <v>1.99</v>
      </c>
      <c r="R16" s="31">
        <v>379</v>
      </c>
      <c r="S16" s="18">
        <v>0.45700000000000002</v>
      </c>
      <c r="T16" s="18">
        <f t="shared" si="6"/>
        <v>577.4</v>
      </c>
      <c r="U16" s="50">
        <v>574.5</v>
      </c>
      <c r="V16" s="72">
        <f t="shared" si="7"/>
        <v>0.77</v>
      </c>
      <c r="W16" s="73">
        <f t="shared" si="8"/>
        <v>1.32</v>
      </c>
      <c r="X16" s="75">
        <f t="shared" si="9"/>
        <v>4.79</v>
      </c>
      <c r="Y16" s="93">
        <f t="shared" si="10"/>
        <v>6.78</v>
      </c>
      <c r="Z16" s="77"/>
      <c r="AA16" s="78"/>
      <c r="AB16" s="88"/>
      <c r="AC16" s="78"/>
      <c r="AD16" s="78"/>
      <c r="AE16" s="78"/>
      <c r="AF16" s="78"/>
      <c r="AG16" s="115"/>
    </row>
    <row r="17" spans="1:33" x14ac:dyDescent="0.25">
      <c r="B17" s="30" t="s">
        <v>60</v>
      </c>
      <c r="C17" s="97">
        <v>104219</v>
      </c>
      <c r="D17" s="22" t="s">
        <v>56</v>
      </c>
      <c r="E17" s="51">
        <f>ROUND(34918.655/43560,2)</f>
        <v>0.8</v>
      </c>
      <c r="F17" s="51">
        <f>ROUND((18284.335)/43560,2)</f>
        <v>0.42</v>
      </c>
      <c r="G17" s="22">
        <v>0.9</v>
      </c>
      <c r="H17" s="69">
        <f t="shared" si="0"/>
        <v>0.38000000000000006</v>
      </c>
      <c r="I17" s="17">
        <v>0.6</v>
      </c>
      <c r="J17" s="67">
        <f t="shared" si="1"/>
        <v>0.61</v>
      </c>
      <c r="K17" s="68">
        <f t="shared" si="2"/>
        <v>0.76249999999999996</v>
      </c>
      <c r="L17" s="57">
        <v>22</v>
      </c>
      <c r="M17" s="23">
        <f t="shared" si="3"/>
        <v>0.76249999999999996</v>
      </c>
      <c r="N17" s="17">
        <v>580.96</v>
      </c>
      <c r="O17" s="23">
        <v>578.16999999999996</v>
      </c>
      <c r="P17" s="103">
        <f t="shared" si="4"/>
        <v>12.68</v>
      </c>
      <c r="Q17" s="105">
        <f t="shared" si="5"/>
        <v>1.22</v>
      </c>
      <c r="R17" s="30">
        <v>597</v>
      </c>
      <c r="S17" s="22">
        <v>0.45700000000000002</v>
      </c>
      <c r="T17" s="22">
        <f t="shared" si="6"/>
        <v>578.16999999999996</v>
      </c>
      <c r="U17" s="22">
        <v>576.91999999999996</v>
      </c>
      <c r="V17" s="72">
        <f t="shared" si="7"/>
        <v>0.21</v>
      </c>
      <c r="W17" s="73">
        <f t="shared" si="8"/>
        <v>0.69</v>
      </c>
      <c r="X17" s="75">
        <f t="shared" si="9"/>
        <v>14.42</v>
      </c>
      <c r="Y17" s="93">
        <f t="shared" si="10"/>
        <v>15.64</v>
      </c>
      <c r="Z17" s="79"/>
      <c r="AA17" s="80"/>
      <c r="AB17" s="89"/>
      <c r="AC17" s="80"/>
      <c r="AD17" s="80"/>
      <c r="AE17" s="80"/>
      <c r="AF17" s="80"/>
      <c r="AG17" s="116"/>
    </row>
    <row r="18" spans="1:33" s="21" customFormat="1" x14ac:dyDescent="0.25">
      <c r="A18"/>
      <c r="B18" s="31" t="s">
        <v>61</v>
      </c>
      <c r="C18" s="96">
        <v>104323.2</v>
      </c>
      <c r="D18" s="18" t="s">
        <v>56</v>
      </c>
      <c r="E18" s="50">
        <f>ROUND(18947.843/43560,2)</f>
        <v>0.43</v>
      </c>
      <c r="F18" s="50">
        <f>ROUND((10277.777)/43560,2)</f>
        <v>0.24</v>
      </c>
      <c r="G18" s="19">
        <v>0.9</v>
      </c>
      <c r="H18" s="69">
        <f t="shared" si="0"/>
        <v>0.19</v>
      </c>
      <c r="I18" s="19">
        <v>0.6</v>
      </c>
      <c r="J18" s="67">
        <f t="shared" si="1"/>
        <v>0.33</v>
      </c>
      <c r="K18" s="68">
        <f t="shared" si="2"/>
        <v>0.76744186046511631</v>
      </c>
      <c r="L18" s="18">
        <v>29</v>
      </c>
      <c r="M18" s="20">
        <f t="shared" si="3"/>
        <v>0.76744186046511631</v>
      </c>
      <c r="N18" s="18">
        <v>582.39</v>
      </c>
      <c r="O18" s="50">
        <v>578.5</v>
      </c>
      <c r="P18" s="103">
        <f t="shared" si="4"/>
        <v>13.41</v>
      </c>
      <c r="Q18" s="105">
        <f t="shared" si="5"/>
        <v>1.36</v>
      </c>
      <c r="R18" s="31">
        <v>323</v>
      </c>
      <c r="S18" s="18">
        <v>0.45700000000000002</v>
      </c>
      <c r="T18" s="50">
        <f t="shared" si="6"/>
        <v>578.5</v>
      </c>
      <c r="U18" s="50">
        <v>578.29999999999995</v>
      </c>
      <c r="V18" s="72">
        <f t="shared" si="7"/>
        <v>0.06</v>
      </c>
      <c r="W18" s="73">
        <f t="shared" si="8"/>
        <v>0.37</v>
      </c>
      <c r="X18" s="75">
        <f t="shared" si="9"/>
        <v>14.55</v>
      </c>
      <c r="Y18" s="93">
        <f t="shared" si="10"/>
        <v>15.91</v>
      </c>
      <c r="Z18" s="77"/>
      <c r="AA18" s="78"/>
      <c r="AB18" s="88"/>
      <c r="AC18" s="78"/>
      <c r="AD18" s="78"/>
      <c r="AE18" s="78"/>
      <c r="AF18" s="78"/>
      <c r="AG18" s="115"/>
    </row>
    <row r="19" spans="1:33" x14ac:dyDescent="0.25">
      <c r="B19" s="54" t="s">
        <v>62</v>
      </c>
      <c r="C19" s="129">
        <v>104734.77</v>
      </c>
      <c r="D19" s="22" t="s">
        <v>56</v>
      </c>
      <c r="E19" s="126">
        <f>ROUND(37050.427/43560,2)</f>
        <v>0.85</v>
      </c>
      <c r="F19" s="126">
        <f>ROUND((19454.327)/43560,2)</f>
        <v>0.45</v>
      </c>
      <c r="G19" s="22">
        <v>0.9</v>
      </c>
      <c r="H19" s="69">
        <f t="shared" si="0"/>
        <v>0.39999999999999997</v>
      </c>
      <c r="I19" s="17">
        <v>0.6</v>
      </c>
      <c r="J19" s="67">
        <f t="shared" si="1"/>
        <v>0.65</v>
      </c>
      <c r="K19" s="68">
        <f t="shared" si="2"/>
        <v>0.76470588235294124</v>
      </c>
      <c r="L19" s="133">
        <v>30</v>
      </c>
      <c r="M19" s="23">
        <f t="shared" si="3"/>
        <v>0.76470588235294124</v>
      </c>
      <c r="N19" s="132">
        <v>582.87</v>
      </c>
      <c r="O19" s="131">
        <v>580.13</v>
      </c>
      <c r="P19" s="103">
        <f t="shared" si="4"/>
        <v>9.1300000000000008</v>
      </c>
      <c r="Q19" s="105">
        <f t="shared" si="5"/>
        <v>1.58</v>
      </c>
      <c r="R19" s="134">
        <v>617</v>
      </c>
      <c r="S19" s="22">
        <v>0.45700000000000002</v>
      </c>
      <c r="T19" s="51">
        <f t="shared" ref="T19:T44" si="11">O19</f>
        <v>580.13</v>
      </c>
      <c r="U19" s="22">
        <v>578.85</v>
      </c>
      <c r="V19" s="72">
        <f t="shared" si="7"/>
        <v>0.21</v>
      </c>
      <c r="W19" s="73">
        <f t="shared" si="8"/>
        <v>0.69</v>
      </c>
      <c r="X19" s="75">
        <f t="shared" si="9"/>
        <v>14.9</v>
      </c>
      <c r="Y19" s="93">
        <f t="shared" si="10"/>
        <v>16.48</v>
      </c>
      <c r="Z19" s="79"/>
      <c r="AA19" s="80"/>
      <c r="AB19" s="89"/>
      <c r="AC19" s="80"/>
      <c r="AD19" s="80"/>
      <c r="AE19" s="80"/>
      <c r="AF19" s="80"/>
      <c r="AG19" s="116"/>
    </row>
    <row r="20" spans="1:33" s="21" customFormat="1" x14ac:dyDescent="0.25">
      <c r="A20"/>
      <c r="B20" s="37" t="s">
        <v>63</v>
      </c>
      <c r="C20" s="128">
        <v>105416.42</v>
      </c>
      <c r="D20" s="18" t="s">
        <v>56</v>
      </c>
      <c r="E20" s="127">
        <f>ROUND(18195.779/43560,2)</f>
        <v>0.42</v>
      </c>
      <c r="F20" s="127">
        <f>ROUND((10288.147)/43560,2)</f>
        <v>0.24</v>
      </c>
      <c r="G20" s="19">
        <v>0.9</v>
      </c>
      <c r="H20" s="69">
        <f t="shared" si="0"/>
        <v>0.18</v>
      </c>
      <c r="I20" s="19">
        <v>0.6</v>
      </c>
      <c r="J20" s="67">
        <f t="shared" si="1"/>
        <v>0.32</v>
      </c>
      <c r="K20" s="68">
        <f t="shared" si="2"/>
        <v>0.76190476190476197</v>
      </c>
      <c r="L20" s="18">
        <v>23</v>
      </c>
      <c r="M20" s="20">
        <f t="shared" si="3"/>
        <v>0.76190476190476197</v>
      </c>
      <c r="N20" s="18">
        <v>583.23</v>
      </c>
      <c r="O20" s="50">
        <v>581.9</v>
      </c>
      <c r="P20" s="103">
        <f t="shared" si="4"/>
        <v>5.78</v>
      </c>
      <c r="Q20" s="105">
        <f t="shared" si="5"/>
        <v>1.63</v>
      </c>
      <c r="R20" s="135">
        <v>280</v>
      </c>
      <c r="S20" s="18">
        <v>0.45700000000000002</v>
      </c>
      <c r="T20" s="50">
        <f t="shared" si="11"/>
        <v>581.9</v>
      </c>
      <c r="U20" s="130">
        <v>580.30999999999995</v>
      </c>
      <c r="V20" s="72">
        <f t="shared" si="7"/>
        <v>0.56999999999999995</v>
      </c>
      <c r="W20" s="73">
        <f t="shared" si="8"/>
        <v>1.1299999999999999</v>
      </c>
      <c r="X20" s="75">
        <f t="shared" si="9"/>
        <v>4.13</v>
      </c>
      <c r="Y20" s="93">
        <f t="shared" si="10"/>
        <v>5.76</v>
      </c>
      <c r="Z20" s="77"/>
      <c r="AA20" s="78"/>
      <c r="AB20" s="88"/>
      <c r="AC20" s="78"/>
      <c r="AD20" s="78"/>
      <c r="AE20" s="78"/>
      <c r="AF20" s="78"/>
      <c r="AG20" s="115"/>
    </row>
    <row r="21" spans="1:33" x14ac:dyDescent="0.25">
      <c r="B21" s="54"/>
      <c r="C21" s="97"/>
      <c r="D21" s="22"/>
      <c r="E21" s="51"/>
      <c r="F21" s="51"/>
      <c r="G21" s="17"/>
      <c r="H21" s="16"/>
      <c r="I21" s="17"/>
      <c r="J21" s="117"/>
      <c r="K21" s="118"/>
      <c r="L21" s="22"/>
      <c r="M21" s="23"/>
      <c r="N21" s="22"/>
      <c r="O21" s="51"/>
      <c r="P21" s="119"/>
      <c r="Q21" s="120"/>
      <c r="R21" s="30"/>
      <c r="S21" s="22"/>
      <c r="T21" s="51"/>
      <c r="U21" s="22"/>
      <c r="V21" s="121"/>
      <c r="W21" s="51"/>
      <c r="X21" s="122"/>
      <c r="Y21" s="123"/>
      <c r="Z21" s="79"/>
      <c r="AA21" s="80"/>
      <c r="AB21" s="89"/>
      <c r="AC21" s="80"/>
      <c r="AD21" s="80"/>
      <c r="AE21" s="80"/>
      <c r="AF21" s="80"/>
      <c r="AG21" s="116"/>
    </row>
    <row r="22" spans="1:33" s="21" customFormat="1" x14ac:dyDescent="0.25">
      <c r="A22"/>
      <c r="B22" s="31" t="s">
        <v>64</v>
      </c>
      <c r="C22" s="96">
        <v>65660.05</v>
      </c>
      <c r="D22" s="18" t="s">
        <v>33</v>
      </c>
      <c r="E22" s="50">
        <f>ROUND(2497.921/43560,2)</f>
        <v>0.06</v>
      </c>
      <c r="F22" s="50">
        <f>ROUND((0)/43560,2)</f>
        <v>0</v>
      </c>
      <c r="G22" s="18">
        <v>0.9</v>
      </c>
      <c r="H22" s="69">
        <f t="shared" si="0"/>
        <v>0.06</v>
      </c>
      <c r="I22" s="19">
        <v>0.6</v>
      </c>
      <c r="J22" s="67">
        <f t="shared" si="1"/>
        <v>0.04</v>
      </c>
      <c r="K22" s="68">
        <f t="shared" si="2"/>
        <v>0.66666666666666674</v>
      </c>
      <c r="L22" s="36">
        <v>7</v>
      </c>
      <c r="M22" s="20">
        <f t="shared" si="3"/>
        <v>0.66666666666666674</v>
      </c>
      <c r="N22" s="19">
        <v>583.54</v>
      </c>
      <c r="O22" s="20">
        <v>582.47</v>
      </c>
      <c r="P22" s="103">
        <f t="shared" si="4"/>
        <v>15.29</v>
      </c>
      <c r="Q22" s="105">
        <f t="shared" si="5"/>
        <v>0.83</v>
      </c>
      <c r="R22" s="31">
        <v>80</v>
      </c>
      <c r="S22" s="18">
        <v>0.45700000000000002</v>
      </c>
      <c r="T22" s="18">
        <f t="shared" si="11"/>
        <v>582.47</v>
      </c>
      <c r="U22" s="18">
        <v>580.91999999999996</v>
      </c>
      <c r="V22" s="72">
        <f t="shared" si="7"/>
        <v>1.94</v>
      </c>
      <c r="W22" s="73">
        <f t="shared" si="8"/>
        <v>2.09</v>
      </c>
      <c r="X22" s="75">
        <f t="shared" si="9"/>
        <v>0.64</v>
      </c>
      <c r="Y22" s="93">
        <f t="shared" si="10"/>
        <v>1.47</v>
      </c>
      <c r="Z22" s="77"/>
      <c r="AA22" s="78"/>
      <c r="AB22" s="88"/>
      <c r="AC22" s="78"/>
      <c r="AD22" s="78"/>
      <c r="AE22" s="78"/>
      <c r="AF22" s="78"/>
      <c r="AG22" s="115"/>
    </row>
    <row r="23" spans="1:33" x14ac:dyDescent="0.25">
      <c r="B23" s="30" t="s">
        <v>65</v>
      </c>
      <c r="C23" s="97">
        <v>65825</v>
      </c>
      <c r="D23" s="22" t="s">
        <v>33</v>
      </c>
      <c r="E23" s="51">
        <f>ROUND(5760.137/43560,2)</f>
        <v>0.13</v>
      </c>
      <c r="F23" s="51">
        <f>ROUND((3377.108)/43560,2)</f>
        <v>0.08</v>
      </c>
      <c r="G23" s="17">
        <v>0.9</v>
      </c>
      <c r="H23" s="69">
        <f t="shared" si="0"/>
        <v>0.05</v>
      </c>
      <c r="I23" s="17">
        <v>0.6</v>
      </c>
      <c r="J23" s="67">
        <f t="shared" si="1"/>
        <v>0.1</v>
      </c>
      <c r="K23" s="68">
        <f t="shared" si="2"/>
        <v>0.76923076923076927</v>
      </c>
      <c r="L23" s="22">
        <v>16</v>
      </c>
      <c r="M23" s="23">
        <f t="shared" si="3"/>
        <v>0.76923076923076927</v>
      </c>
      <c r="N23" s="22">
        <v>583.34</v>
      </c>
      <c r="O23" s="22">
        <v>580.85</v>
      </c>
      <c r="P23" s="103">
        <f t="shared" si="4"/>
        <v>15.56</v>
      </c>
      <c r="Q23" s="105">
        <f t="shared" si="5"/>
        <v>0.95</v>
      </c>
      <c r="R23" s="30">
        <v>135</v>
      </c>
      <c r="S23" s="22">
        <v>0.45700000000000002</v>
      </c>
      <c r="T23" s="22">
        <f t="shared" si="11"/>
        <v>580.85</v>
      </c>
      <c r="U23" s="51">
        <v>580</v>
      </c>
      <c r="V23" s="72">
        <f t="shared" si="7"/>
        <v>0.63</v>
      </c>
      <c r="W23" s="73">
        <f t="shared" si="8"/>
        <v>1.19</v>
      </c>
      <c r="X23" s="75">
        <f t="shared" si="9"/>
        <v>1.89</v>
      </c>
      <c r="Y23" s="93">
        <f t="shared" si="10"/>
        <v>2.84</v>
      </c>
      <c r="Z23" s="79"/>
      <c r="AA23" s="80"/>
      <c r="AB23" s="89"/>
      <c r="AC23" s="80"/>
      <c r="AD23" s="80"/>
      <c r="AE23" s="80"/>
      <c r="AF23" s="80"/>
      <c r="AG23" s="116"/>
    </row>
    <row r="24" spans="1:33" s="21" customFormat="1" x14ac:dyDescent="0.25">
      <c r="A24"/>
      <c r="B24" s="31" t="s">
        <v>67</v>
      </c>
      <c r="C24" s="96">
        <v>66240</v>
      </c>
      <c r="D24" s="18" t="s">
        <v>33</v>
      </c>
      <c r="E24" s="50">
        <f>ROUND(24517.375/43560,2)</f>
        <v>0.56000000000000005</v>
      </c>
      <c r="F24" s="50">
        <f>ROUND((10229.736+3567.129)/43560,2)</f>
        <v>0.32</v>
      </c>
      <c r="G24" s="18">
        <v>0.9</v>
      </c>
      <c r="H24" s="69">
        <f t="shared" si="0"/>
        <v>0.24000000000000005</v>
      </c>
      <c r="I24" s="19">
        <v>0.6</v>
      </c>
      <c r="J24" s="67">
        <f t="shared" si="1"/>
        <v>0.43</v>
      </c>
      <c r="K24" s="68">
        <f t="shared" si="2"/>
        <v>0.76785714285714279</v>
      </c>
      <c r="L24" s="36">
        <v>70</v>
      </c>
      <c r="M24" s="20">
        <f t="shared" si="3"/>
        <v>0.76785714285714279</v>
      </c>
      <c r="N24" s="19">
        <v>586.97</v>
      </c>
      <c r="O24" s="20">
        <v>581.78</v>
      </c>
      <c r="P24" s="103">
        <f t="shared" si="4"/>
        <v>7.41</v>
      </c>
      <c r="Q24" s="105">
        <f t="shared" si="5"/>
        <v>2.57</v>
      </c>
      <c r="R24" s="31">
        <v>339</v>
      </c>
      <c r="S24" s="18">
        <v>0.45700000000000002</v>
      </c>
      <c r="T24" s="18">
        <f t="shared" si="11"/>
        <v>581.78</v>
      </c>
      <c r="U24" s="50">
        <v>580.52</v>
      </c>
      <c r="V24" s="72">
        <f t="shared" si="7"/>
        <v>0.37</v>
      </c>
      <c r="W24" s="73">
        <f t="shared" si="8"/>
        <v>0.91</v>
      </c>
      <c r="X24" s="75">
        <f t="shared" si="9"/>
        <v>6.21</v>
      </c>
      <c r="Y24" s="93">
        <f t="shared" si="10"/>
        <v>8.7799999999999994</v>
      </c>
      <c r="Z24" s="77"/>
      <c r="AA24" s="78"/>
      <c r="AB24" s="88"/>
      <c r="AC24" s="78"/>
      <c r="AD24" s="78"/>
      <c r="AE24" s="78"/>
      <c r="AF24" s="78"/>
      <c r="AG24" s="115"/>
    </row>
    <row r="25" spans="1:33" x14ac:dyDescent="0.25">
      <c r="B25" s="34" t="s">
        <v>68</v>
      </c>
      <c r="C25" s="97">
        <v>66829</v>
      </c>
      <c r="D25" s="22" t="s">
        <v>33</v>
      </c>
      <c r="E25" s="51">
        <f>ROUND(16580.285/43560,2)</f>
        <v>0.38</v>
      </c>
      <c r="F25" s="51">
        <f>ROUND((2120.769+6068.34)/43560,2)</f>
        <v>0.19</v>
      </c>
      <c r="G25" s="17">
        <v>0.9</v>
      </c>
      <c r="H25" s="69">
        <f t="shared" si="0"/>
        <v>0.19</v>
      </c>
      <c r="I25" s="17">
        <v>0.6</v>
      </c>
      <c r="J25" s="67">
        <f t="shared" si="1"/>
        <v>0.28999999999999998</v>
      </c>
      <c r="K25" s="68">
        <f t="shared" si="2"/>
        <v>0.76315789473684204</v>
      </c>
      <c r="L25" s="22">
        <v>70</v>
      </c>
      <c r="M25" s="23">
        <f t="shared" si="3"/>
        <v>0.76315789473684204</v>
      </c>
      <c r="N25" s="22">
        <v>586.97</v>
      </c>
      <c r="O25" s="22">
        <v>581.63</v>
      </c>
      <c r="P25" s="103">
        <f t="shared" si="4"/>
        <v>7.63</v>
      </c>
      <c r="Q25" s="105">
        <f t="shared" si="5"/>
        <v>2.58</v>
      </c>
      <c r="R25" s="30">
        <v>187</v>
      </c>
      <c r="S25" s="22">
        <v>0.45700000000000002</v>
      </c>
      <c r="T25" s="22">
        <f t="shared" si="11"/>
        <v>581.63</v>
      </c>
      <c r="U25" s="22">
        <v>580.54999999999995</v>
      </c>
      <c r="V25" s="72">
        <f t="shared" si="7"/>
        <v>0.57999999999999996</v>
      </c>
      <c r="W25" s="73">
        <f t="shared" si="8"/>
        <v>1.1399999999999999</v>
      </c>
      <c r="X25" s="75">
        <f t="shared" si="9"/>
        <v>2.73</v>
      </c>
      <c r="Y25" s="93">
        <f t="shared" si="10"/>
        <v>5.3100000000000005</v>
      </c>
      <c r="Z25" s="79"/>
      <c r="AA25" s="80"/>
      <c r="AB25" s="89"/>
      <c r="AC25" s="80"/>
      <c r="AD25" s="80"/>
      <c r="AE25" s="80"/>
      <c r="AF25" s="80"/>
      <c r="AG25" s="116"/>
    </row>
    <row r="26" spans="1:33" s="21" customFormat="1" x14ac:dyDescent="0.25">
      <c r="A26"/>
      <c r="B26" s="31" t="s">
        <v>69</v>
      </c>
      <c r="C26" s="96">
        <v>67515</v>
      </c>
      <c r="D26" s="18" t="s">
        <v>33</v>
      </c>
      <c r="E26" s="50">
        <f>ROUND(45249.756/43560,2)</f>
        <v>1.04</v>
      </c>
      <c r="F26" s="50">
        <f>ROUND((22434.83)/43560,2)</f>
        <v>0.52</v>
      </c>
      <c r="G26" s="18">
        <v>0.9</v>
      </c>
      <c r="H26" s="69">
        <f t="shared" si="0"/>
        <v>0.52</v>
      </c>
      <c r="I26" s="19">
        <v>0.6</v>
      </c>
      <c r="J26" s="67">
        <f t="shared" si="1"/>
        <v>0.78</v>
      </c>
      <c r="K26" s="68">
        <f t="shared" si="2"/>
        <v>0.75</v>
      </c>
      <c r="L26" s="36">
        <v>68</v>
      </c>
      <c r="M26" s="20">
        <f t="shared" si="3"/>
        <v>0.75</v>
      </c>
      <c r="N26" s="20">
        <v>585.17999999999995</v>
      </c>
      <c r="O26" s="20">
        <v>580.4</v>
      </c>
      <c r="P26" s="103">
        <f t="shared" si="4"/>
        <v>7.03</v>
      </c>
      <c r="Q26" s="105">
        <f t="shared" si="5"/>
        <v>2.71</v>
      </c>
      <c r="R26" s="31">
        <v>667</v>
      </c>
      <c r="S26" s="18">
        <v>0.45700000000000002</v>
      </c>
      <c r="T26" s="50">
        <f t="shared" si="11"/>
        <v>580.4</v>
      </c>
      <c r="U26" s="50">
        <v>578.1</v>
      </c>
      <c r="V26" s="72">
        <f t="shared" si="7"/>
        <v>0.34</v>
      </c>
      <c r="W26" s="73">
        <f t="shared" si="8"/>
        <v>0.87</v>
      </c>
      <c r="X26" s="75">
        <f t="shared" si="9"/>
        <v>12.78</v>
      </c>
      <c r="Y26" s="93">
        <f t="shared" si="10"/>
        <v>15.489999999999998</v>
      </c>
      <c r="Z26" s="77"/>
      <c r="AA26" s="78"/>
      <c r="AB26" s="88"/>
      <c r="AC26" s="78"/>
      <c r="AD26" s="78"/>
      <c r="AE26" s="78"/>
      <c r="AF26" s="78"/>
      <c r="AG26" s="115"/>
    </row>
    <row r="27" spans="1:33" x14ac:dyDescent="0.25">
      <c r="B27" s="134" t="s">
        <v>88</v>
      </c>
      <c r="C27" s="149">
        <v>66849</v>
      </c>
      <c r="D27" s="148" t="s">
        <v>56</v>
      </c>
      <c r="E27" s="126">
        <f>ROUND(26133.877/43560,2)</f>
        <v>0.6</v>
      </c>
      <c r="F27" s="126">
        <f>ROUND((9805.751)/43560,2)</f>
        <v>0.23</v>
      </c>
      <c r="G27" s="132">
        <v>0.9</v>
      </c>
      <c r="H27" s="150">
        <f t="shared" si="0"/>
        <v>0.37</v>
      </c>
      <c r="I27" s="132">
        <v>0.6</v>
      </c>
      <c r="J27" s="151">
        <f t="shared" si="1"/>
        <v>0.43</v>
      </c>
      <c r="K27" s="152">
        <f t="shared" si="2"/>
        <v>0.71666666666666667</v>
      </c>
      <c r="L27" s="148">
        <v>24</v>
      </c>
      <c r="M27" s="131">
        <f t="shared" si="3"/>
        <v>0.71666666666666667</v>
      </c>
      <c r="N27" s="148">
        <v>586.79</v>
      </c>
      <c r="O27" s="126">
        <v>585</v>
      </c>
      <c r="P27" s="153">
        <f t="shared" si="4"/>
        <v>7.46</v>
      </c>
      <c r="Q27" s="154">
        <f t="shared" si="5"/>
        <v>1.73</v>
      </c>
      <c r="R27" s="134">
        <v>296</v>
      </c>
      <c r="S27" s="148">
        <v>0.45700000000000002</v>
      </c>
      <c r="T27" s="126">
        <f t="shared" si="11"/>
        <v>585</v>
      </c>
      <c r="U27" s="148">
        <v>582.30999999999995</v>
      </c>
      <c r="V27" s="155">
        <f t="shared" ref="V27" si="12">ROUND(((T27-U27)/R27)*100,2)</f>
        <v>0.91</v>
      </c>
      <c r="W27" s="156">
        <f t="shared" ref="W27" si="13">ROUND(3.281*S27*(V27^(0.5)),2)</f>
        <v>1.43</v>
      </c>
      <c r="X27" s="157">
        <f t="shared" ref="X27" si="14">ROUND(R27/(60*W27),2)</f>
        <v>3.45</v>
      </c>
      <c r="Y27" s="158">
        <f t="shared" ref="Y27" si="15">Q27+X27</f>
        <v>5.18</v>
      </c>
      <c r="Z27" s="79"/>
      <c r="AA27" s="80"/>
      <c r="AB27" s="89"/>
      <c r="AC27" s="80"/>
      <c r="AD27" s="80"/>
      <c r="AE27" s="80"/>
      <c r="AF27" s="80"/>
      <c r="AG27" s="116"/>
    </row>
    <row r="28" spans="1:33" s="21" customFormat="1" x14ac:dyDescent="0.25">
      <c r="A28"/>
      <c r="B28" s="31" t="s">
        <v>70</v>
      </c>
      <c r="C28" s="96">
        <v>67515</v>
      </c>
      <c r="D28" s="18" t="s">
        <v>56</v>
      </c>
      <c r="E28" s="127">
        <f>ROUND(178630.251/43560,2)</f>
        <v>4.0999999999999996</v>
      </c>
      <c r="F28" s="127">
        <f>ROUND((10105.838)/43560,2)</f>
        <v>0.23</v>
      </c>
      <c r="G28" s="18">
        <v>0.9</v>
      </c>
      <c r="H28" s="69">
        <f t="shared" ref="H28:H41" si="16">E28-F28</f>
        <v>3.8699999999999997</v>
      </c>
      <c r="I28" s="19">
        <v>0.6</v>
      </c>
      <c r="J28" s="67">
        <f t="shared" ref="J28:J41" si="17">ROUND((F28*G28)+(H28*I28),2)</f>
        <v>2.5299999999999998</v>
      </c>
      <c r="K28" s="68">
        <f t="shared" ref="K28:K41" si="18">J28/E28</f>
        <v>0.61707317073170731</v>
      </c>
      <c r="L28" s="161">
        <v>113</v>
      </c>
      <c r="M28" s="20">
        <f t="shared" ref="M28:M41" si="19">K28</f>
        <v>0.61707317073170731</v>
      </c>
      <c r="N28" s="160">
        <v>584.04</v>
      </c>
      <c r="O28" s="159">
        <v>580.92999999999995</v>
      </c>
      <c r="P28" s="103">
        <f t="shared" ref="P28:P41" si="20">ROUND(((N28-O28)/L28)*100,2)</f>
        <v>2.75</v>
      </c>
      <c r="Q28" s="105">
        <f t="shared" ref="Q28:Q41" si="21">ROUND((1.8*(1.1-M28)*L28^(0.5))/(P28^(1/3)),2)</f>
        <v>6.6</v>
      </c>
      <c r="R28" s="135">
        <v>563</v>
      </c>
      <c r="S28" s="18">
        <v>0.45700000000000002</v>
      </c>
      <c r="T28" s="127">
        <f t="shared" ref="T28:T41" si="22">O28</f>
        <v>580.92999999999995</v>
      </c>
      <c r="U28" s="18">
        <v>579.11</v>
      </c>
      <c r="V28" s="72">
        <f t="shared" ref="V28:V41" si="23">ROUND(((T28-U28)/R28)*100,2)</f>
        <v>0.32</v>
      </c>
      <c r="W28" s="73">
        <f t="shared" ref="W28:W41" si="24">ROUND(3.281*S28*(V28^(0.5)),2)</f>
        <v>0.85</v>
      </c>
      <c r="X28" s="75">
        <f t="shared" ref="X28:X41" si="25">ROUND(R28/(60*W28),2)</f>
        <v>11.04</v>
      </c>
      <c r="Y28" s="93">
        <f t="shared" ref="Y28:Y41" si="26">Q28+X28</f>
        <v>17.64</v>
      </c>
      <c r="Z28" s="77"/>
      <c r="AA28" s="78"/>
      <c r="AB28" s="88"/>
      <c r="AC28" s="78"/>
      <c r="AD28" s="78"/>
      <c r="AE28" s="78"/>
      <c r="AF28" s="78"/>
      <c r="AG28" s="115"/>
    </row>
    <row r="29" spans="1:33" x14ac:dyDescent="0.25">
      <c r="B29" s="30" t="s">
        <v>71</v>
      </c>
      <c r="C29" s="97">
        <v>67515</v>
      </c>
      <c r="D29" s="22" t="s">
        <v>56</v>
      </c>
      <c r="E29" s="51">
        <f>ROUND(202529.746/43560,2)</f>
        <v>4.6500000000000004</v>
      </c>
      <c r="F29" s="51">
        <f>ROUND((13035.566)/43560,2)</f>
        <v>0.3</v>
      </c>
      <c r="G29" s="17">
        <v>0.9</v>
      </c>
      <c r="H29" s="69">
        <f t="shared" si="16"/>
        <v>4.3500000000000005</v>
      </c>
      <c r="I29" s="17">
        <v>0.6</v>
      </c>
      <c r="J29" s="67">
        <f t="shared" si="17"/>
        <v>2.88</v>
      </c>
      <c r="K29" s="68">
        <f t="shared" si="18"/>
        <v>0.61935483870967734</v>
      </c>
      <c r="L29" s="22">
        <v>278</v>
      </c>
      <c r="M29" s="23">
        <f t="shared" si="19"/>
        <v>0.61935483870967734</v>
      </c>
      <c r="N29" s="22">
        <v>588.09</v>
      </c>
      <c r="O29" s="22">
        <v>584.35</v>
      </c>
      <c r="P29" s="103">
        <f t="shared" si="20"/>
        <v>1.35</v>
      </c>
      <c r="Q29" s="105">
        <f t="shared" si="21"/>
        <v>13.05</v>
      </c>
      <c r="R29" s="30">
        <v>627</v>
      </c>
      <c r="S29" s="22">
        <v>0.45700000000000002</v>
      </c>
      <c r="T29" s="22">
        <f t="shared" si="22"/>
        <v>584.35</v>
      </c>
      <c r="U29" s="22">
        <v>579.11</v>
      </c>
      <c r="V29" s="72">
        <f t="shared" si="23"/>
        <v>0.84</v>
      </c>
      <c r="W29" s="73">
        <f t="shared" si="24"/>
        <v>1.37</v>
      </c>
      <c r="X29" s="75">
        <f t="shared" si="25"/>
        <v>7.63</v>
      </c>
      <c r="Y29" s="93">
        <f t="shared" si="26"/>
        <v>20.68</v>
      </c>
      <c r="Z29" s="79"/>
      <c r="AA29" s="80"/>
      <c r="AB29" s="89"/>
      <c r="AC29" s="80"/>
      <c r="AD29" s="80"/>
      <c r="AE29" s="80"/>
      <c r="AF29" s="80"/>
      <c r="AG29" s="116"/>
    </row>
    <row r="30" spans="1:33" s="21" customFormat="1" x14ac:dyDescent="0.25">
      <c r="A30"/>
      <c r="B30" s="31" t="s">
        <v>72</v>
      </c>
      <c r="C30" s="96">
        <v>67771</v>
      </c>
      <c r="D30" s="18" t="s">
        <v>33</v>
      </c>
      <c r="E30" s="50">
        <f>ROUND(20470.647/43560,2)</f>
        <v>0.47</v>
      </c>
      <c r="F30" s="50">
        <f>ROUND((10963.571)/43560,2)</f>
        <v>0.25</v>
      </c>
      <c r="G30" s="18">
        <v>0.9</v>
      </c>
      <c r="H30" s="69">
        <f t="shared" si="16"/>
        <v>0.21999999999999997</v>
      </c>
      <c r="I30" s="19">
        <v>0.6</v>
      </c>
      <c r="J30" s="67">
        <f t="shared" si="17"/>
        <v>0.36</v>
      </c>
      <c r="K30" s="68">
        <f t="shared" si="18"/>
        <v>0.76595744680851063</v>
      </c>
      <c r="L30" s="36">
        <v>55</v>
      </c>
      <c r="M30" s="20">
        <f t="shared" si="19"/>
        <v>0.76595744680851063</v>
      </c>
      <c r="N30" s="19">
        <v>586.54</v>
      </c>
      <c r="O30" s="20">
        <v>582.87</v>
      </c>
      <c r="P30" s="103">
        <f t="shared" si="20"/>
        <v>6.67</v>
      </c>
      <c r="Q30" s="105">
        <f t="shared" si="21"/>
        <v>2.37</v>
      </c>
      <c r="R30" s="31">
        <v>302</v>
      </c>
      <c r="S30" s="18">
        <v>0.45700000000000002</v>
      </c>
      <c r="T30" s="18">
        <f t="shared" si="22"/>
        <v>582.87</v>
      </c>
      <c r="U30" s="18">
        <v>581.26</v>
      </c>
      <c r="V30" s="72">
        <f t="shared" si="23"/>
        <v>0.53</v>
      </c>
      <c r="W30" s="73">
        <f t="shared" si="24"/>
        <v>1.0900000000000001</v>
      </c>
      <c r="X30" s="75">
        <f t="shared" si="25"/>
        <v>4.62</v>
      </c>
      <c r="Y30" s="93">
        <f t="shared" si="26"/>
        <v>6.99</v>
      </c>
      <c r="Z30" s="77"/>
      <c r="AA30" s="78"/>
      <c r="AB30" s="88"/>
      <c r="AC30" s="78"/>
      <c r="AD30" s="78"/>
      <c r="AE30" s="78"/>
      <c r="AF30" s="78"/>
      <c r="AG30" s="115"/>
    </row>
    <row r="31" spans="1:33" x14ac:dyDescent="0.25">
      <c r="B31" s="54" t="s">
        <v>73</v>
      </c>
      <c r="C31" s="97">
        <v>68099</v>
      </c>
      <c r="D31" s="22" t="s">
        <v>33</v>
      </c>
      <c r="E31" s="51">
        <f>ROUND(9416.182/43560,2)</f>
        <v>0.22</v>
      </c>
      <c r="F31" s="51">
        <f>ROUND((4409.468+1941.876)/43560,2)</f>
        <v>0.15</v>
      </c>
      <c r="G31" s="17">
        <v>0.9</v>
      </c>
      <c r="H31" s="69">
        <f t="shared" si="16"/>
        <v>7.0000000000000007E-2</v>
      </c>
      <c r="I31" s="17">
        <v>0.6</v>
      </c>
      <c r="J31" s="67">
        <f t="shared" si="17"/>
        <v>0.18</v>
      </c>
      <c r="K31" s="68">
        <f t="shared" si="18"/>
        <v>0.81818181818181812</v>
      </c>
      <c r="L31" s="22">
        <v>33</v>
      </c>
      <c r="M31" s="23">
        <f t="shared" si="19"/>
        <v>0.81818181818181812</v>
      </c>
      <c r="N31" s="22">
        <v>587.34</v>
      </c>
      <c r="O31" s="22">
        <v>584.73</v>
      </c>
      <c r="P31" s="103">
        <f t="shared" si="20"/>
        <v>7.91</v>
      </c>
      <c r="Q31" s="105">
        <f t="shared" si="21"/>
        <v>1.46</v>
      </c>
      <c r="R31" s="30">
        <v>95</v>
      </c>
      <c r="S31" s="22">
        <v>0.45700000000000002</v>
      </c>
      <c r="T31" s="22">
        <f t="shared" si="22"/>
        <v>584.73</v>
      </c>
      <c r="U31" s="22">
        <v>583.16</v>
      </c>
      <c r="V31" s="72">
        <f t="shared" si="23"/>
        <v>1.65</v>
      </c>
      <c r="W31" s="73">
        <f t="shared" si="24"/>
        <v>1.93</v>
      </c>
      <c r="X31" s="75">
        <f t="shared" si="25"/>
        <v>0.82</v>
      </c>
      <c r="Y31" s="93">
        <f t="shared" si="26"/>
        <v>2.2799999999999998</v>
      </c>
      <c r="Z31" s="79"/>
      <c r="AA31" s="80"/>
      <c r="AB31" s="89"/>
      <c r="AC31" s="80"/>
      <c r="AD31" s="80"/>
      <c r="AE31" s="80"/>
      <c r="AF31" s="80"/>
      <c r="AG31" s="116"/>
    </row>
    <row r="32" spans="1:33" s="21" customFormat="1" x14ac:dyDescent="0.25">
      <c r="A32"/>
      <c r="B32" s="31" t="s">
        <v>74</v>
      </c>
      <c r="C32" s="96">
        <v>5050</v>
      </c>
      <c r="D32" s="18" t="s">
        <v>33</v>
      </c>
      <c r="E32" s="50">
        <f>ROUND(17050.799/43560,2)</f>
        <v>0.39</v>
      </c>
      <c r="F32" s="50">
        <f>ROUND((1368.423+5310.514)/43560,2)</f>
        <v>0.15</v>
      </c>
      <c r="G32" s="18">
        <v>0.9</v>
      </c>
      <c r="H32" s="69">
        <f t="shared" si="16"/>
        <v>0.24000000000000002</v>
      </c>
      <c r="I32" s="19">
        <v>0.6</v>
      </c>
      <c r="J32" s="67">
        <f t="shared" si="17"/>
        <v>0.28000000000000003</v>
      </c>
      <c r="K32" s="68">
        <f t="shared" si="18"/>
        <v>0.71794871794871795</v>
      </c>
      <c r="L32" s="36">
        <v>22</v>
      </c>
      <c r="M32" s="20">
        <f t="shared" si="19"/>
        <v>0.71794871794871795</v>
      </c>
      <c r="N32" s="19">
        <v>590.66</v>
      </c>
      <c r="O32" s="20">
        <v>585.84</v>
      </c>
      <c r="P32" s="103">
        <f t="shared" si="20"/>
        <v>21.91</v>
      </c>
      <c r="Q32" s="105">
        <f t="shared" si="21"/>
        <v>1.1499999999999999</v>
      </c>
      <c r="R32" s="31">
        <v>112</v>
      </c>
      <c r="S32" s="18">
        <v>0.45700000000000002</v>
      </c>
      <c r="T32" s="18">
        <f t="shared" si="22"/>
        <v>585.84</v>
      </c>
      <c r="U32" s="18">
        <v>583.67999999999995</v>
      </c>
      <c r="V32" s="72">
        <f t="shared" si="23"/>
        <v>1.93</v>
      </c>
      <c r="W32" s="73">
        <f t="shared" si="24"/>
        <v>2.08</v>
      </c>
      <c r="X32" s="75">
        <f t="shared" si="25"/>
        <v>0.9</v>
      </c>
      <c r="Y32" s="93">
        <f t="shared" si="26"/>
        <v>2.0499999999999998</v>
      </c>
      <c r="Z32" s="77"/>
      <c r="AA32" s="78"/>
      <c r="AB32" s="88"/>
      <c r="AC32" s="78"/>
      <c r="AD32" s="78"/>
      <c r="AE32" s="78"/>
      <c r="AF32" s="78"/>
      <c r="AG32" s="115"/>
    </row>
    <row r="33" spans="1:33" x14ac:dyDescent="0.25">
      <c r="B33" s="54"/>
      <c r="C33" s="97"/>
      <c r="D33" s="22"/>
      <c r="E33" s="51"/>
      <c r="F33" s="51"/>
      <c r="G33" s="17"/>
      <c r="H33" s="16"/>
      <c r="I33" s="17"/>
      <c r="J33" s="117"/>
      <c r="K33" s="118"/>
      <c r="L33" s="22"/>
      <c r="M33" s="23"/>
      <c r="N33" s="22"/>
      <c r="O33" s="22"/>
      <c r="P33" s="119"/>
      <c r="Q33" s="120"/>
      <c r="R33" s="30"/>
      <c r="S33" s="22"/>
      <c r="T33" s="22"/>
      <c r="U33" s="22"/>
      <c r="V33" s="121"/>
      <c r="W33" s="51"/>
      <c r="X33" s="122"/>
      <c r="Y33" s="123"/>
      <c r="Z33" s="79"/>
      <c r="AA33" s="80"/>
      <c r="AB33" s="89"/>
      <c r="AC33" s="80"/>
      <c r="AD33" s="80"/>
      <c r="AE33" s="80"/>
      <c r="AF33" s="80"/>
      <c r="AG33" s="116"/>
    </row>
    <row r="34" spans="1:33" s="21" customFormat="1" x14ac:dyDescent="0.25">
      <c r="A34"/>
      <c r="B34" s="31" t="s">
        <v>75</v>
      </c>
      <c r="C34" s="96">
        <v>5010</v>
      </c>
      <c r="D34" s="18" t="s">
        <v>33</v>
      </c>
      <c r="E34" s="50">
        <f>ROUND(66594.894/43560,2)</f>
        <v>1.53</v>
      </c>
      <c r="F34" s="50">
        <f>ROUND((11727.56)/43560,2)</f>
        <v>0.27</v>
      </c>
      <c r="G34" s="18">
        <v>0.9</v>
      </c>
      <c r="H34" s="69">
        <f t="shared" ref="H34:H37" si="27">E34-F34</f>
        <v>1.26</v>
      </c>
      <c r="I34" s="19">
        <v>0.6</v>
      </c>
      <c r="J34" s="67">
        <f>ROUND((F34*G34)+(H34*I34),2)</f>
        <v>1</v>
      </c>
      <c r="K34" s="68">
        <f>J34/E34</f>
        <v>0.65359477124183007</v>
      </c>
      <c r="L34" s="36">
        <v>194</v>
      </c>
      <c r="M34" s="20">
        <f t="shared" ref="M34:M37" si="28">K34</f>
        <v>0.65359477124183007</v>
      </c>
      <c r="N34" s="19">
        <v>588.09</v>
      </c>
      <c r="O34" s="20">
        <v>584.58000000000004</v>
      </c>
      <c r="P34" s="103">
        <f t="shared" ref="P34:P37" si="29">ROUND(((N34-O34)/L34)*100,2)</f>
        <v>1.81</v>
      </c>
      <c r="Q34" s="105">
        <f t="shared" ref="Q34:Q37" si="30">ROUND((1.8*(1.1-M34)*L34^(0.5))/(P34^(1/3)),2)</f>
        <v>9.18</v>
      </c>
      <c r="R34" s="31">
        <v>57</v>
      </c>
      <c r="S34" s="18">
        <v>0.45700000000000002</v>
      </c>
      <c r="T34" s="18">
        <f t="shared" ref="T34:T37" si="31">O34</f>
        <v>584.58000000000004</v>
      </c>
      <c r="U34" s="18">
        <v>583.66</v>
      </c>
      <c r="V34" s="72">
        <f t="shared" ref="V34:V37" si="32">ROUND(((T34-U34)/R34)*100,2)</f>
        <v>1.61</v>
      </c>
      <c r="W34" s="73">
        <f t="shared" ref="W34:W37" si="33">ROUND(3.281*S34*(V34^(0.5)),2)</f>
        <v>1.9</v>
      </c>
      <c r="X34" s="75">
        <f t="shared" ref="X34:X37" si="34">ROUND(R34/(60*W34),2)</f>
        <v>0.5</v>
      </c>
      <c r="Y34" s="93">
        <f t="shared" ref="Y34:Y37" si="35">Q34+X34</f>
        <v>9.68</v>
      </c>
      <c r="Z34" s="77"/>
      <c r="AA34" s="78"/>
      <c r="AB34" s="88"/>
      <c r="AC34" s="78"/>
      <c r="AD34" s="78"/>
      <c r="AE34" s="78"/>
      <c r="AF34" s="78"/>
      <c r="AG34" s="115"/>
    </row>
    <row r="35" spans="1:33" x14ac:dyDescent="0.25">
      <c r="B35" s="30" t="s">
        <v>76</v>
      </c>
      <c r="C35" s="97">
        <v>109418</v>
      </c>
      <c r="D35" s="22" t="s">
        <v>56</v>
      </c>
      <c r="E35" s="51">
        <f>ROUND(8189.709/43560,2)</f>
        <v>0.19</v>
      </c>
      <c r="F35" s="51">
        <f>ROUND((2648.884+1824.622)/43560,2)</f>
        <v>0.1</v>
      </c>
      <c r="G35" s="17">
        <v>0.9</v>
      </c>
      <c r="H35" s="69">
        <f t="shared" si="27"/>
        <v>0.09</v>
      </c>
      <c r="I35" s="17">
        <v>0.6</v>
      </c>
      <c r="J35" s="67">
        <f t="shared" ref="J35:J37" si="36">ROUND((F35*G35)+(H35*I35),2)</f>
        <v>0.14000000000000001</v>
      </c>
      <c r="K35" s="68">
        <f t="shared" ref="K35:K37" si="37">J35/E35</f>
        <v>0.73684210526315796</v>
      </c>
      <c r="L35" s="22">
        <v>27</v>
      </c>
      <c r="M35" s="23">
        <f t="shared" si="28"/>
        <v>0.73684210526315796</v>
      </c>
      <c r="N35" s="22">
        <v>589.02</v>
      </c>
      <c r="O35" s="51">
        <v>586.79999999999995</v>
      </c>
      <c r="P35" s="103">
        <f t="shared" si="29"/>
        <v>8.2200000000000006</v>
      </c>
      <c r="Q35" s="105">
        <f t="shared" si="30"/>
        <v>1.68</v>
      </c>
      <c r="R35" s="30">
        <v>172</v>
      </c>
      <c r="S35" s="22">
        <v>0.45700000000000002</v>
      </c>
      <c r="T35" s="51">
        <f t="shared" si="31"/>
        <v>586.79999999999995</v>
      </c>
      <c r="U35" s="51">
        <v>585.1</v>
      </c>
      <c r="V35" s="72">
        <f t="shared" si="32"/>
        <v>0.99</v>
      </c>
      <c r="W35" s="73">
        <f t="shared" si="33"/>
        <v>1.49</v>
      </c>
      <c r="X35" s="75">
        <f t="shared" si="34"/>
        <v>1.92</v>
      </c>
      <c r="Y35" s="93">
        <f t="shared" si="35"/>
        <v>3.5999999999999996</v>
      </c>
      <c r="Z35" s="79"/>
      <c r="AA35" s="80"/>
      <c r="AB35" s="89"/>
      <c r="AC35" s="80"/>
      <c r="AD35" s="80"/>
      <c r="AE35" s="80"/>
      <c r="AF35" s="80"/>
      <c r="AG35" s="116"/>
    </row>
    <row r="36" spans="1:33" s="21" customFormat="1" x14ac:dyDescent="0.25">
      <c r="A36"/>
      <c r="B36" s="31" t="s">
        <v>77</v>
      </c>
      <c r="C36" s="96">
        <v>109800</v>
      </c>
      <c r="D36" s="18" t="s">
        <v>33</v>
      </c>
      <c r="E36" s="50">
        <f>ROUND(2680.54/43560,2)</f>
        <v>0.06</v>
      </c>
      <c r="F36" s="50">
        <f t="shared" ref="F36:F49" si="38">ROUND((0)/43560,2)</f>
        <v>0</v>
      </c>
      <c r="G36" s="18">
        <v>0.9</v>
      </c>
      <c r="H36" s="69">
        <f t="shared" si="27"/>
        <v>0.06</v>
      </c>
      <c r="I36" s="19">
        <v>0.6</v>
      </c>
      <c r="J36" s="67">
        <f t="shared" si="36"/>
        <v>0.04</v>
      </c>
      <c r="K36" s="68">
        <f t="shared" si="37"/>
        <v>0.66666666666666674</v>
      </c>
      <c r="L36" s="36">
        <v>16</v>
      </c>
      <c r="M36" s="20">
        <f t="shared" si="28"/>
        <v>0.66666666666666674</v>
      </c>
      <c r="N36" s="19">
        <v>588.91</v>
      </c>
      <c r="O36" s="20">
        <v>587.38</v>
      </c>
      <c r="P36" s="103">
        <f t="shared" si="29"/>
        <v>9.56</v>
      </c>
      <c r="Q36" s="105">
        <f t="shared" si="30"/>
        <v>1.47</v>
      </c>
      <c r="R36" s="31">
        <v>165</v>
      </c>
      <c r="S36" s="18">
        <v>0.45700000000000002</v>
      </c>
      <c r="T36" s="18">
        <f t="shared" si="31"/>
        <v>587.38</v>
      </c>
      <c r="U36" s="18">
        <v>585.44000000000005</v>
      </c>
      <c r="V36" s="72">
        <f t="shared" si="32"/>
        <v>1.18</v>
      </c>
      <c r="W36" s="73">
        <f t="shared" si="33"/>
        <v>1.63</v>
      </c>
      <c r="X36" s="75">
        <f t="shared" si="34"/>
        <v>1.69</v>
      </c>
      <c r="Y36" s="93">
        <f t="shared" si="35"/>
        <v>3.16</v>
      </c>
      <c r="Z36" s="77"/>
      <c r="AA36" s="78"/>
      <c r="AB36" s="88"/>
      <c r="AC36" s="78"/>
      <c r="AD36" s="78"/>
      <c r="AE36" s="78"/>
      <c r="AF36" s="78"/>
      <c r="AG36" s="115"/>
    </row>
    <row r="37" spans="1:33" x14ac:dyDescent="0.25">
      <c r="B37" s="54" t="s">
        <v>79</v>
      </c>
      <c r="C37" s="97">
        <v>109800</v>
      </c>
      <c r="D37" s="22" t="s">
        <v>56</v>
      </c>
      <c r="E37" s="51">
        <f>ROUND(8722.41/43560,2)</f>
        <v>0.2</v>
      </c>
      <c r="F37" s="51">
        <f>ROUND((1930.473+2876.575)/43560,2)</f>
        <v>0.11</v>
      </c>
      <c r="G37" s="17">
        <v>0.9</v>
      </c>
      <c r="H37" s="69">
        <f t="shared" si="27"/>
        <v>9.0000000000000011E-2</v>
      </c>
      <c r="I37" s="17">
        <v>0.6</v>
      </c>
      <c r="J37" s="67">
        <f t="shared" si="36"/>
        <v>0.15</v>
      </c>
      <c r="K37" s="68">
        <f t="shared" si="37"/>
        <v>0.74999999999999989</v>
      </c>
      <c r="L37" s="22">
        <v>27</v>
      </c>
      <c r="M37" s="23">
        <f t="shared" si="28"/>
        <v>0.74999999999999989</v>
      </c>
      <c r="N37" s="22">
        <v>589.02</v>
      </c>
      <c r="O37" s="22">
        <v>586.82000000000005</v>
      </c>
      <c r="P37" s="103">
        <f t="shared" si="29"/>
        <v>8.15</v>
      </c>
      <c r="Q37" s="105">
        <f t="shared" si="30"/>
        <v>1.63</v>
      </c>
      <c r="R37" s="30">
        <v>185</v>
      </c>
      <c r="S37" s="22">
        <v>0.45700000000000002</v>
      </c>
      <c r="T37" s="22">
        <f t="shared" si="31"/>
        <v>586.82000000000005</v>
      </c>
      <c r="U37" s="51">
        <v>585.20000000000005</v>
      </c>
      <c r="V37" s="72">
        <f t="shared" si="32"/>
        <v>0.88</v>
      </c>
      <c r="W37" s="73">
        <f t="shared" si="33"/>
        <v>1.41</v>
      </c>
      <c r="X37" s="75">
        <f t="shared" si="34"/>
        <v>2.19</v>
      </c>
      <c r="Y37" s="93">
        <f t="shared" si="35"/>
        <v>3.82</v>
      </c>
      <c r="Z37" s="79"/>
      <c r="AA37" s="80"/>
      <c r="AB37" s="89"/>
      <c r="AC37" s="80"/>
      <c r="AD37" s="80"/>
      <c r="AE37" s="80"/>
      <c r="AF37" s="80"/>
      <c r="AG37" s="116"/>
    </row>
    <row r="38" spans="1:33" s="21" customFormat="1" x14ac:dyDescent="0.25">
      <c r="A38"/>
      <c r="B38" s="31" t="s">
        <v>78</v>
      </c>
      <c r="C38" s="96">
        <v>109800</v>
      </c>
      <c r="D38" s="18" t="s">
        <v>56</v>
      </c>
      <c r="E38" s="50">
        <f>ROUND(3671.208/43560,2)</f>
        <v>0.08</v>
      </c>
      <c r="F38" s="50">
        <f>ROUND((1031.742+1573.748)/43560,2)</f>
        <v>0.06</v>
      </c>
      <c r="G38" s="18">
        <v>0.9</v>
      </c>
      <c r="H38" s="69">
        <f t="shared" si="16"/>
        <v>2.0000000000000004E-2</v>
      </c>
      <c r="I38" s="19">
        <v>0.6</v>
      </c>
      <c r="J38" s="67">
        <f t="shared" si="17"/>
        <v>7.0000000000000007E-2</v>
      </c>
      <c r="K38" s="68">
        <f t="shared" si="18"/>
        <v>0.87500000000000011</v>
      </c>
      <c r="L38" s="36">
        <v>20</v>
      </c>
      <c r="M38" s="20">
        <f t="shared" si="19"/>
        <v>0.87500000000000011</v>
      </c>
      <c r="N38" s="19">
        <v>586.30999999999995</v>
      </c>
      <c r="O38" s="20">
        <v>585.70000000000005</v>
      </c>
      <c r="P38" s="103">
        <f t="shared" si="20"/>
        <v>3.05</v>
      </c>
      <c r="Q38" s="105">
        <f t="shared" si="21"/>
        <v>1.25</v>
      </c>
      <c r="R38" s="31">
        <v>53</v>
      </c>
      <c r="S38" s="18">
        <v>0.45700000000000002</v>
      </c>
      <c r="T38" s="50">
        <f t="shared" si="22"/>
        <v>585.70000000000005</v>
      </c>
      <c r="U38" s="50">
        <v>585.20000000000005</v>
      </c>
      <c r="V38" s="72">
        <f t="shared" si="23"/>
        <v>0.94</v>
      </c>
      <c r="W38" s="73">
        <f t="shared" si="24"/>
        <v>1.45</v>
      </c>
      <c r="X38" s="75">
        <f t="shared" si="25"/>
        <v>0.61</v>
      </c>
      <c r="Y38" s="93">
        <f t="shared" si="26"/>
        <v>1.8599999999999999</v>
      </c>
      <c r="Z38" s="77"/>
      <c r="AA38" s="78"/>
      <c r="AB38" s="88"/>
      <c r="AC38" s="78"/>
      <c r="AD38" s="78"/>
      <c r="AE38" s="78"/>
      <c r="AF38" s="78"/>
      <c r="AG38" s="115"/>
    </row>
    <row r="39" spans="1:33" x14ac:dyDescent="0.25">
      <c r="B39" s="34"/>
      <c r="C39" s="97"/>
      <c r="D39" s="22"/>
      <c r="E39" s="51"/>
      <c r="F39" s="51"/>
      <c r="G39" s="17"/>
      <c r="H39" s="16"/>
      <c r="I39" s="17"/>
      <c r="J39" s="117"/>
      <c r="K39" s="118"/>
      <c r="L39" s="22"/>
      <c r="M39" s="23"/>
      <c r="N39" s="22"/>
      <c r="O39" s="22"/>
      <c r="P39" s="119"/>
      <c r="Q39" s="120"/>
      <c r="R39" s="30"/>
      <c r="S39" s="22"/>
      <c r="T39" s="22"/>
      <c r="U39" s="51"/>
      <c r="V39" s="121"/>
      <c r="W39" s="51"/>
      <c r="X39" s="122"/>
      <c r="Y39" s="123"/>
      <c r="Z39" s="79"/>
      <c r="AA39" s="80"/>
      <c r="AB39" s="89"/>
      <c r="AC39" s="80"/>
      <c r="AD39" s="80"/>
      <c r="AE39" s="80"/>
      <c r="AF39" s="80"/>
      <c r="AG39" s="116"/>
    </row>
    <row r="40" spans="1:33" s="21" customFormat="1" x14ac:dyDescent="0.25">
      <c r="A40"/>
      <c r="B40" s="31" t="s">
        <v>80</v>
      </c>
      <c r="C40" s="96">
        <v>110200</v>
      </c>
      <c r="D40" s="18" t="s">
        <v>33</v>
      </c>
      <c r="E40" s="50">
        <f>ROUND(34301.891/43560,2)</f>
        <v>0.79</v>
      </c>
      <c r="F40" s="50">
        <f>ROUND((22956.141)/43560,2)</f>
        <v>0.53</v>
      </c>
      <c r="G40" s="18">
        <v>0.9</v>
      </c>
      <c r="H40" s="69">
        <f t="shared" si="16"/>
        <v>0.26</v>
      </c>
      <c r="I40" s="19">
        <v>0.6</v>
      </c>
      <c r="J40" s="67">
        <f t="shared" si="17"/>
        <v>0.63</v>
      </c>
      <c r="K40" s="68">
        <f t="shared" si="18"/>
        <v>0.79746835443037967</v>
      </c>
      <c r="L40" s="36">
        <v>54</v>
      </c>
      <c r="M40" s="20">
        <f t="shared" si="19"/>
        <v>0.79746835443037967</v>
      </c>
      <c r="N40" s="19">
        <v>590.67999999999995</v>
      </c>
      <c r="O40" s="20">
        <v>588.42999999999995</v>
      </c>
      <c r="P40" s="103">
        <f t="shared" si="20"/>
        <v>4.17</v>
      </c>
      <c r="Q40" s="105">
        <f t="shared" si="21"/>
        <v>2.4900000000000002</v>
      </c>
      <c r="R40" s="31">
        <v>552</v>
      </c>
      <c r="S40" s="18">
        <v>0.45700000000000002</v>
      </c>
      <c r="T40" s="18">
        <f t="shared" si="22"/>
        <v>588.42999999999995</v>
      </c>
      <c r="U40" s="18">
        <v>585.5</v>
      </c>
      <c r="V40" s="72">
        <f t="shared" si="23"/>
        <v>0.53</v>
      </c>
      <c r="W40" s="73">
        <f t="shared" si="24"/>
        <v>1.0900000000000001</v>
      </c>
      <c r="X40" s="75">
        <f t="shared" si="25"/>
        <v>8.44</v>
      </c>
      <c r="Y40" s="93">
        <f t="shared" si="26"/>
        <v>10.93</v>
      </c>
      <c r="Z40" s="77"/>
      <c r="AA40" s="78"/>
      <c r="AB40" s="88"/>
      <c r="AC40" s="78"/>
      <c r="AD40" s="78"/>
      <c r="AE40" s="78"/>
      <c r="AF40" s="78"/>
      <c r="AG40" s="115"/>
    </row>
    <row r="41" spans="1:33" x14ac:dyDescent="0.25">
      <c r="B41" s="30" t="s">
        <v>81</v>
      </c>
      <c r="C41" s="97">
        <v>172725</v>
      </c>
      <c r="D41" s="22" t="s">
        <v>33</v>
      </c>
      <c r="E41" s="51">
        <f>ROUND(5485.591/43560,2)</f>
        <v>0.13</v>
      </c>
      <c r="F41" s="51">
        <f>ROUND((3324.603)/43560,2)</f>
        <v>0.08</v>
      </c>
      <c r="G41" s="17">
        <v>0.9</v>
      </c>
      <c r="H41" s="69">
        <f t="shared" si="16"/>
        <v>0.05</v>
      </c>
      <c r="I41" s="17">
        <v>0.6</v>
      </c>
      <c r="J41" s="67">
        <f t="shared" si="17"/>
        <v>0.1</v>
      </c>
      <c r="K41" s="68">
        <f t="shared" si="18"/>
        <v>0.76923076923076927</v>
      </c>
      <c r="L41" s="22">
        <v>44</v>
      </c>
      <c r="M41" s="23">
        <f t="shared" si="19"/>
        <v>0.76923076923076927</v>
      </c>
      <c r="N41" s="22">
        <v>610.79</v>
      </c>
      <c r="O41" s="22">
        <v>605.89</v>
      </c>
      <c r="P41" s="103">
        <f t="shared" si="20"/>
        <v>11.14</v>
      </c>
      <c r="Q41" s="105">
        <f t="shared" si="21"/>
        <v>1.77</v>
      </c>
      <c r="R41" s="30">
        <v>45</v>
      </c>
      <c r="S41" s="22">
        <v>0.45700000000000002</v>
      </c>
      <c r="T41" s="22">
        <f t="shared" si="22"/>
        <v>605.89</v>
      </c>
      <c r="U41" s="22">
        <v>605.69000000000005</v>
      </c>
      <c r="V41" s="72">
        <f t="shared" si="23"/>
        <v>0.44</v>
      </c>
      <c r="W41" s="73">
        <f t="shared" si="24"/>
        <v>0.99</v>
      </c>
      <c r="X41" s="75">
        <f t="shared" si="25"/>
        <v>0.76</v>
      </c>
      <c r="Y41" s="93">
        <f t="shared" si="26"/>
        <v>2.5300000000000002</v>
      </c>
      <c r="Z41" s="79"/>
      <c r="AA41" s="80"/>
      <c r="AB41" s="89"/>
      <c r="AC41" s="80"/>
      <c r="AD41" s="80"/>
      <c r="AE41" s="80"/>
      <c r="AF41" s="80"/>
      <c r="AG41" s="116"/>
    </row>
    <row r="42" spans="1:33" s="21" customFormat="1" x14ac:dyDescent="0.25">
      <c r="A42"/>
      <c r="B42" s="31" t="s">
        <v>82</v>
      </c>
      <c r="C42" s="96">
        <v>173025</v>
      </c>
      <c r="D42" s="18" t="s">
        <v>33</v>
      </c>
      <c r="E42" s="50">
        <f>ROUND(15591.51/43560,2)</f>
        <v>0.36</v>
      </c>
      <c r="F42" s="50">
        <f>ROUND((9256.073)/43560,2)</f>
        <v>0.21</v>
      </c>
      <c r="G42" s="18">
        <v>0.9</v>
      </c>
      <c r="H42" s="69">
        <f t="shared" si="0"/>
        <v>0.15</v>
      </c>
      <c r="I42" s="19">
        <v>0.6</v>
      </c>
      <c r="J42" s="67">
        <f t="shared" si="1"/>
        <v>0.28000000000000003</v>
      </c>
      <c r="K42" s="68">
        <f t="shared" si="2"/>
        <v>0.7777777777777779</v>
      </c>
      <c r="L42" s="36">
        <v>50</v>
      </c>
      <c r="M42" s="20">
        <f t="shared" si="3"/>
        <v>0.7777777777777779</v>
      </c>
      <c r="N42" s="19">
        <v>611.15</v>
      </c>
      <c r="O42" s="20">
        <v>607.04999999999995</v>
      </c>
      <c r="P42" s="103">
        <f t="shared" si="4"/>
        <v>8.1999999999999993</v>
      </c>
      <c r="Q42" s="105">
        <f t="shared" si="5"/>
        <v>2.0299999999999998</v>
      </c>
      <c r="R42" s="31">
        <v>149</v>
      </c>
      <c r="S42" s="18">
        <v>0.45700000000000002</v>
      </c>
      <c r="T42" s="18">
        <f t="shared" si="11"/>
        <v>607.04999999999995</v>
      </c>
      <c r="U42" s="18">
        <v>606.67999999999995</v>
      </c>
      <c r="V42" s="72">
        <f t="shared" si="7"/>
        <v>0.25</v>
      </c>
      <c r="W42" s="73">
        <f t="shared" si="8"/>
        <v>0.75</v>
      </c>
      <c r="X42" s="75">
        <f t="shared" si="9"/>
        <v>3.31</v>
      </c>
      <c r="Y42" s="93">
        <f t="shared" si="10"/>
        <v>5.34</v>
      </c>
      <c r="Z42" s="77"/>
      <c r="AA42" s="78"/>
      <c r="AB42" s="88"/>
      <c r="AC42" s="78"/>
      <c r="AD42" s="78"/>
      <c r="AE42" s="78"/>
      <c r="AF42" s="78"/>
      <c r="AG42" s="115"/>
    </row>
    <row r="43" spans="1:33" x14ac:dyDescent="0.25">
      <c r="B43" s="30" t="s">
        <v>87</v>
      </c>
      <c r="C43" s="97">
        <v>173448</v>
      </c>
      <c r="D43" s="22" t="s">
        <v>33</v>
      </c>
      <c r="E43" s="51">
        <f>ROUND(5572.102/43560,2)</f>
        <v>0.13</v>
      </c>
      <c r="F43" s="51">
        <f>ROUND((1567.564)/43560,2)</f>
        <v>0.04</v>
      </c>
      <c r="G43" s="17">
        <v>0.9</v>
      </c>
      <c r="H43" s="69">
        <f t="shared" si="0"/>
        <v>0.09</v>
      </c>
      <c r="I43" s="17">
        <v>0.6</v>
      </c>
      <c r="J43" s="67">
        <f t="shared" si="1"/>
        <v>0.09</v>
      </c>
      <c r="K43" s="68">
        <f t="shared" si="2"/>
        <v>0.69230769230769229</v>
      </c>
      <c r="L43" s="22">
        <v>29</v>
      </c>
      <c r="M43" s="23">
        <f t="shared" si="3"/>
        <v>0.69230769230769229</v>
      </c>
      <c r="N43" s="51">
        <v>614.1</v>
      </c>
      <c r="O43" s="51">
        <v>611.79999999999995</v>
      </c>
      <c r="P43" s="103">
        <f t="shared" si="4"/>
        <v>7.93</v>
      </c>
      <c r="Q43" s="105">
        <f t="shared" si="5"/>
        <v>1.98</v>
      </c>
      <c r="R43" s="30">
        <v>120</v>
      </c>
      <c r="S43" s="22">
        <v>0.45700000000000002</v>
      </c>
      <c r="T43" s="22">
        <f t="shared" si="11"/>
        <v>611.79999999999995</v>
      </c>
      <c r="U43" s="51">
        <v>611</v>
      </c>
      <c r="V43" s="72">
        <f t="shared" si="7"/>
        <v>0.67</v>
      </c>
      <c r="W43" s="73">
        <f t="shared" si="8"/>
        <v>1.23</v>
      </c>
      <c r="X43" s="75">
        <f t="shared" si="9"/>
        <v>1.63</v>
      </c>
      <c r="Y43" s="93">
        <f t="shared" si="10"/>
        <v>3.61</v>
      </c>
      <c r="Z43" s="79"/>
      <c r="AA43" s="80"/>
      <c r="AB43" s="89"/>
      <c r="AC43" s="80"/>
      <c r="AD43" s="80"/>
      <c r="AE43" s="80"/>
      <c r="AF43" s="80"/>
      <c r="AG43" s="116"/>
    </row>
    <row r="44" spans="1:33" s="21" customFormat="1" x14ac:dyDescent="0.25">
      <c r="A44"/>
      <c r="B44" s="31" t="s">
        <v>83</v>
      </c>
      <c r="C44" s="96">
        <v>173644</v>
      </c>
      <c r="D44" s="18" t="s">
        <v>56</v>
      </c>
      <c r="E44" s="50">
        <f>ROUND(3527.554/43560,2)</f>
        <v>0.08</v>
      </c>
      <c r="F44" s="50">
        <f t="shared" si="38"/>
        <v>0</v>
      </c>
      <c r="G44" s="18">
        <v>0.9</v>
      </c>
      <c r="H44" s="69">
        <f t="shared" si="0"/>
        <v>0.08</v>
      </c>
      <c r="I44" s="19">
        <v>0.6</v>
      </c>
      <c r="J44" s="67">
        <f>ROUND((F44*G44)+(H44*I44),2)</f>
        <v>0.05</v>
      </c>
      <c r="K44" s="68">
        <f t="shared" si="2"/>
        <v>0.625</v>
      </c>
      <c r="L44" s="36">
        <v>13</v>
      </c>
      <c r="M44" s="20">
        <f t="shared" si="3"/>
        <v>0.625</v>
      </c>
      <c r="N44" s="19">
        <v>610.28</v>
      </c>
      <c r="O44" s="20">
        <v>607.33000000000004</v>
      </c>
      <c r="P44" s="103">
        <f t="shared" si="4"/>
        <v>22.69</v>
      </c>
      <c r="Q44" s="105">
        <f t="shared" si="5"/>
        <v>1.0900000000000001</v>
      </c>
      <c r="R44" s="31">
        <v>193</v>
      </c>
      <c r="S44" s="18">
        <v>0.45700000000000002</v>
      </c>
      <c r="T44" s="18">
        <f t="shared" si="11"/>
        <v>607.33000000000004</v>
      </c>
      <c r="U44" s="18">
        <v>606.85</v>
      </c>
      <c r="V44" s="72">
        <f t="shared" si="7"/>
        <v>0.25</v>
      </c>
      <c r="W44" s="73">
        <f t="shared" si="8"/>
        <v>0.75</v>
      </c>
      <c r="X44" s="75">
        <f t="shared" si="9"/>
        <v>4.29</v>
      </c>
      <c r="Y44" s="93">
        <f t="shared" si="10"/>
        <v>5.38</v>
      </c>
      <c r="Z44" s="77"/>
      <c r="AA44" s="78"/>
      <c r="AB44" s="88"/>
      <c r="AC44" s="78"/>
      <c r="AD44" s="78"/>
      <c r="AE44" s="78"/>
      <c r="AF44" s="78"/>
      <c r="AG44" s="115"/>
    </row>
    <row r="45" spans="1:33" x14ac:dyDescent="0.25">
      <c r="B45" s="54"/>
      <c r="C45" s="97"/>
      <c r="D45" s="22"/>
      <c r="E45" s="51"/>
      <c r="F45" s="51"/>
      <c r="G45" s="17"/>
      <c r="H45" s="16"/>
      <c r="I45" s="17"/>
      <c r="J45" s="117"/>
      <c r="K45" s="118"/>
      <c r="L45" s="22"/>
      <c r="M45" s="23"/>
      <c r="N45" s="22"/>
      <c r="O45" s="22"/>
      <c r="P45" s="119"/>
      <c r="Q45" s="120"/>
      <c r="R45" s="30"/>
      <c r="S45" s="22"/>
      <c r="T45" s="22"/>
      <c r="U45" s="22"/>
      <c r="V45" s="121"/>
      <c r="W45" s="51"/>
      <c r="X45" s="122"/>
      <c r="Y45" s="123"/>
      <c r="Z45" s="79"/>
      <c r="AA45" s="80"/>
      <c r="AB45" s="89"/>
      <c r="AC45" s="80"/>
      <c r="AD45" s="80"/>
      <c r="AE45" s="80"/>
      <c r="AF45" s="80"/>
      <c r="AG45" s="116"/>
    </row>
    <row r="46" spans="1:33" s="21" customFormat="1" x14ac:dyDescent="0.25">
      <c r="A46"/>
      <c r="B46" s="31" t="s">
        <v>86</v>
      </c>
      <c r="C46" s="96">
        <v>173713</v>
      </c>
      <c r="D46" s="18" t="s">
        <v>56</v>
      </c>
      <c r="E46" s="50">
        <f>ROUND(6869.453/43560,2)</f>
        <v>0.16</v>
      </c>
      <c r="F46" s="50">
        <f>ROUND((2327.693)/43560,2)</f>
        <v>0.05</v>
      </c>
      <c r="G46" s="18">
        <v>0.9</v>
      </c>
      <c r="H46" s="69">
        <f t="shared" ref="H46:H49" si="39">E46-F46</f>
        <v>0.11</v>
      </c>
      <c r="I46" s="19">
        <v>0.6</v>
      </c>
      <c r="J46" s="67">
        <f t="shared" ref="J46:J49" si="40">ROUND((F46*G46)+(H46*I46),2)</f>
        <v>0.11</v>
      </c>
      <c r="K46" s="68">
        <f t="shared" ref="K46:K49" si="41">J46/E46</f>
        <v>0.6875</v>
      </c>
      <c r="L46" s="36">
        <v>14</v>
      </c>
      <c r="M46" s="20">
        <f t="shared" ref="M46:M50" si="42">K46</f>
        <v>0.6875</v>
      </c>
      <c r="N46" s="19">
        <v>611.34</v>
      </c>
      <c r="O46" s="20">
        <v>608.08000000000004</v>
      </c>
      <c r="P46" s="103">
        <f t="shared" ref="P46:P49" si="43">ROUND(((N46-O46)/L46)*100,2)</f>
        <v>23.29</v>
      </c>
      <c r="Q46" s="105">
        <f t="shared" ref="Q46:Q49" si="44">ROUND((1.8*(1.1-M46)*L46^(0.5))/(P46^(1/3)),2)</f>
        <v>0.97</v>
      </c>
      <c r="R46" s="31">
        <v>230</v>
      </c>
      <c r="S46" s="18">
        <v>0.45700000000000002</v>
      </c>
      <c r="T46" s="18">
        <f t="shared" ref="T46:T49" si="45">O46</f>
        <v>608.08000000000004</v>
      </c>
      <c r="U46" s="50">
        <v>607.1</v>
      </c>
      <c r="V46" s="72">
        <f t="shared" ref="V46:V49" si="46">ROUND(((T46-U46)/R46)*100,2)</f>
        <v>0.43</v>
      </c>
      <c r="W46" s="73">
        <f t="shared" ref="W46:W49" si="47">ROUND(3.281*S46*(V46^(0.5)),2)</f>
        <v>0.98</v>
      </c>
      <c r="X46" s="75">
        <f t="shared" ref="X46:X49" si="48">ROUND(R46/(60*W46),2)</f>
        <v>3.91</v>
      </c>
      <c r="Y46" s="93">
        <f t="shared" ref="Y46:Y49" si="49">Q46+X46</f>
        <v>4.88</v>
      </c>
      <c r="Z46" s="77"/>
      <c r="AA46" s="78"/>
      <c r="AB46" s="88"/>
      <c r="AC46" s="78"/>
      <c r="AD46" s="78"/>
      <c r="AE46" s="78"/>
      <c r="AF46" s="78"/>
      <c r="AG46" s="115"/>
    </row>
    <row r="47" spans="1:33" x14ac:dyDescent="0.25">
      <c r="B47" s="30" t="s">
        <v>84</v>
      </c>
      <c r="C47" s="97">
        <v>173777</v>
      </c>
      <c r="D47" s="22" t="s">
        <v>33</v>
      </c>
      <c r="E47" s="51">
        <f>ROUND(3341.01/43560,2)</f>
        <v>0.08</v>
      </c>
      <c r="F47" s="51">
        <f>ROUND((630.098)/43560,2)</f>
        <v>0.01</v>
      </c>
      <c r="G47" s="17">
        <v>0.9</v>
      </c>
      <c r="H47" s="69">
        <f t="shared" si="39"/>
        <v>7.0000000000000007E-2</v>
      </c>
      <c r="I47" s="17">
        <v>0.6</v>
      </c>
      <c r="J47" s="67">
        <f t="shared" si="40"/>
        <v>0.05</v>
      </c>
      <c r="K47" s="68">
        <f t="shared" si="41"/>
        <v>0.625</v>
      </c>
      <c r="L47" s="22">
        <v>29</v>
      </c>
      <c r="M47" s="23">
        <f t="shared" si="42"/>
        <v>0.625</v>
      </c>
      <c r="N47" s="22">
        <v>613.75</v>
      </c>
      <c r="O47" s="22">
        <v>612.26</v>
      </c>
      <c r="P47" s="103">
        <f t="shared" si="43"/>
        <v>5.14</v>
      </c>
      <c r="Q47" s="105">
        <f t="shared" si="44"/>
        <v>2.67</v>
      </c>
      <c r="R47" s="30">
        <v>68</v>
      </c>
      <c r="S47" s="22">
        <v>0.45700000000000002</v>
      </c>
      <c r="T47" s="22">
        <f t="shared" si="45"/>
        <v>612.26</v>
      </c>
      <c r="U47" s="22">
        <v>610.89</v>
      </c>
      <c r="V47" s="72">
        <f t="shared" si="46"/>
        <v>2.0099999999999998</v>
      </c>
      <c r="W47" s="73">
        <f t="shared" si="47"/>
        <v>2.13</v>
      </c>
      <c r="X47" s="75">
        <f t="shared" si="48"/>
        <v>0.53</v>
      </c>
      <c r="Y47" s="93">
        <f t="shared" si="49"/>
        <v>3.2</v>
      </c>
      <c r="Z47" s="79"/>
      <c r="AA47" s="80"/>
      <c r="AB47" s="89"/>
      <c r="AC47" s="80"/>
      <c r="AD47" s="80"/>
      <c r="AE47" s="80"/>
      <c r="AF47" s="80"/>
      <c r="AG47" s="116"/>
    </row>
    <row r="48" spans="1:33" s="21" customFormat="1" x14ac:dyDescent="0.25">
      <c r="A48"/>
      <c r="B48" s="31" t="s">
        <v>85</v>
      </c>
      <c r="C48" s="96">
        <v>173777</v>
      </c>
      <c r="D48" s="18" t="s">
        <v>33</v>
      </c>
      <c r="E48" s="50">
        <f>ROUND(3138.907/43560,2)</f>
        <v>7.0000000000000007E-2</v>
      </c>
      <c r="F48" s="50">
        <f>ROUND((1271.348)/43560,2)</f>
        <v>0.03</v>
      </c>
      <c r="G48" s="18">
        <v>0.9</v>
      </c>
      <c r="H48" s="69">
        <f t="shared" si="39"/>
        <v>4.0000000000000008E-2</v>
      </c>
      <c r="I48" s="19">
        <v>0.6</v>
      </c>
      <c r="J48" s="67">
        <f t="shared" si="40"/>
        <v>0.05</v>
      </c>
      <c r="K48" s="68">
        <f t="shared" si="41"/>
        <v>0.7142857142857143</v>
      </c>
      <c r="L48" s="36">
        <v>21</v>
      </c>
      <c r="M48" s="20">
        <f t="shared" si="42"/>
        <v>0.7142857142857143</v>
      </c>
      <c r="N48" s="19">
        <v>612.48</v>
      </c>
      <c r="O48" s="20">
        <v>612.28</v>
      </c>
      <c r="P48" s="103">
        <f t="shared" si="43"/>
        <v>0.95</v>
      </c>
      <c r="Q48" s="105">
        <f t="shared" si="44"/>
        <v>3.24</v>
      </c>
      <c r="R48" s="31">
        <v>43</v>
      </c>
      <c r="S48" s="18">
        <v>0.45700000000000002</v>
      </c>
      <c r="T48" s="18">
        <f t="shared" si="45"/>
        <v>612.28</v>
      </c>
      <c r="U48" s="18">
        <v>610.89</v>
      </c>
      <c r="V48" s="72">
        <f t="shared" si="46"/>
        <v>3.23</v>
      </c>
      <c r="W48" s="73">
        <f t="shared" si="47"/>
        <v>2.69</v>
      </c>
      <c r="X48" s="75">
        <f t="shared" si="48"/>
        <v>0.27</v>
      </c>
      <c r="Y48" s="93">
        <f t="shared" si="49"/>
        <v>3.5100000000000002</v>
      </c>
      <c r="Z48" s="77"/>
      <c r="AA48" s="78"/>
      <c r="AB48" s="124"/>
      <c r="AC48" s="78"/>
      <c r="AD48" s="78"/>
      <c r="AE48" s="78"/>
      <c r="AF48" s="78"/>
      <c r="AG48" s="115"/>
    </row>
    <row r="49" spans="1:33" x14ac:dyDescent="0.25">
      <c r="B49" s="54"/>
      <c r="C49" s="97"/>
      <c r="D49" s="22"/>
      <c r="E49" s="51">
        <f t="shared" ref="E49" si="50">ROUND(0/43560,2)</f>
        <v>0</v>
      </c>
      <c r="F49" s="51">
        <f t="shared" si="38"/>
        <v>0</v>
      </c>
      <c r="G49" s="17">
        <v>0.9</v>
      </c>
      <c r="H49" s="69">
        <f t="shared" si="39"/>
        <v>0</v>
      </c>
      <c r="I49" s="17">
        <v>0.6</v>
      </c>
      <c r="J49" s="67">
        <f t="shared" si="40"/>
        <v>0</v>
      </c>
      <c r="K49" s="68" t="e">
        <f t="shared" si="41"/>
        <v>#DIV/0!</v>
      </c>
      <c r="L49" s="22"/>
      <c r="M49" s="23" t="e">
        <f t="shared" si="42"/>
        <v>#DIV/0!</v>
      </c>
      <c r="N49" s="22"/>
      <c r="O49" s="22"/>
      <c r="P49" s="103" t="e">
        <f t="shared" si="43"/>
        <v>#DIV/0!</v>
      </c>
      <c r="Q49" s="105" t="e">
        <f t="shared" si="44"/>
        <v>#DIV/0!</v>
      </c>
      <c r="R49" s="30"/>
      <c r="S49" s="22">
        <v>0.45700000000000002</v>
      </c>
      <c r="T49" s="22">
        <f t="shared" si="45"/>
        <v>0</v>
      </c>
      <c r="U49" s="22"/>
      <c r="V49" s="72" t="e">
        <f t="shared" si="46"/>
        <v>#DIV/0!</v>
      </c>
      <c r="W49" s="73" t="e">
        <f t="shared" si="47"/>
        <v>#DIV/0!</v>
      </c>
      <c r="X49" s="75" t="e">
        <f t="shared" si="48"/>
        <v>#DIV/0!</v>
      </c>
      <c r="Y49" s="93" t="e">
        <f t="shared" si="49"/>
        <v>#DIV/0!</v>
      </c>
      <c r="Z49" s="79"/>
      <c r="AA49" s="80"/>
      <c r="AB49" s="125"/>
      <c r="AC49" s="80"/>
      <c r="AD49" s="80"/>
      <c r="AE49" s="80"/>
      <c r="AF49" s="80"/>
      <c r="AG49" s="116"/>
    </row>
    <row r="50" spans="1:33" s="21" customFormat="1" x14ac:dyDescent="0.25">
      <c r="A50"/>
      <c r="B50" s="31"/>
      <c r="C50" s="18"/>
      <c r="D50" s="18"/>
      <c r="E50" s="50">
        <f>ROUND(0/43560,2)</f>
        <v>0</v>
      </c>
      <c r="F50" s="50">
        <f>ROUND((0)/43560,2)</f>
        <v>0</v>
      </c>
      <c r="G50" s="18">
        <v>0.9</v>
      </c>
      <c r="H50" s="69">
        <f t="shared" si="0"/>
        <v>0</v>
      </c>
      <c r="I50" s="19">
        <v>0.6</v>
      </c>
      <c r="J50" s="67">
        <f t="shared" si="1"/>
        <v>0</v>
      </c>
      <c r="K50" s="68" t="e">
        <f t="shared" si="2"/>
        <v>#DIV/0!</v>
      </c>
      <c r="L50" s="36"/>
      <c r="M50" s="20" t="e">
        <f t="shared" si="42"/>
        <v>#DIV/0!</v>
      </c>
      <c r="N50" s="19"/>
      <c r="O50" s="20"/>
      <c r="P50" s="103" t="e">
        <f t="shared" si="4"/>
        <v>#DIV/0!</v>
      </c>
      <c r="Q50" s="105" t="e">
        <f t="shared" si="5"/>
        <v>#DIV/0!</v>
      </c>
      <c r="R50" s="31"/>
      <c r="S50" s="18">
        <v>0.45700000000000002</v>
      </c>
      <c r="T50" s="18">
        <f t="shared" ref="T50" si="51">O50</f>
        <v>0</v>
      </c>
      <c r="U50" s="18"/>
      <c r="V50" s="72" t="e">
        <f t="shared" si="7"/>
        <v>#DIV/0!</v>
      </c>
      <c r="W50" s="73" t="e">
        <f t="shared" si="8"/>
        <v>#DIV/0!</v>
      </c>
      <c r="X50" s="75" t="e">
        <f t="shared" si="9"/>
        <v>#DIV/0!</v>
      </c>
      <c r="Y50" s="93" t="e">
        <f t="shared" si="10"/>
        <v>#DIV/0!</v>
      </c>
      <c r="Z50" s="77"/>
      <c r="AA50" s="78"/>
      <c r="AB50" s="124"/>
      <c r="AC50" s="78"/>
      <c r="AD50" s="78"/>
      <c r="AE50" s="78"/>
      <c r="AF50" s="78"/>
      <c r="AG50" s="115"/>
    </row>
    <row r="51" spans="1:33" x14ac:dyDescent="0.25">
      <c r="B51" s="30"/>
      <c r="C51" s="22"/>
      <c r="D51" s="22"/>
      <c r="E51" s="22"/>
      <c r="F51" s="22"/>
      <c r="G51" s="17"/>
      <c r="H51" s="16"/>
      <c r="I51" s="17"/>
      <c r="J51" s="117"/>
      <c r="K51" s="118"/>
      <c r="L51" s="22"/>
      <c r="M51" s="17"/>
      <c r="N51" s="22"/>
      <c r="O51" s="22"/>
      <c r="P51" s="119"/>
      <c r="Q51" s="120"/>
      <c r="R51" s="30"/>
      <c r="S51" s="22"/>
      <c r="T51" s="22"/>
      <c r="U51" s="22"/>
      <c r="V51" s="121"/>
      <c r="W51" s="51"/>
      <c r="X51" s="122"/>
      <c r="Y51" s="123"/>
      <c r="Z51" s="79"/>
      <c r="AA51" s="80"/>
      <c r="AB51" s="89"/>
      <c r="AC51" s="80"/>
      <c r="AD51" s="80"/>
      <c r="AE51" s="80"/>
      <c r="AF51" s="80"/>
      <c r="AG51" s="116"/>
    </row>
  </sheetData>
  <mergeCells count="11">
    <mergeCell ref="AP8:AS9"/>
    <mergeCell ref="AL8:AL9"/>
    <mergeCell ref="AM8:AM9"/>
    <mergeCell ref="AN8:AN9"/>
    <mergeCell ref="AI8:AI9"/>
    <mergeCell ref="AJ8:AJ9"/>
    <mergeCell ref="I2:K2"/>
    <mergeCell ref="L8:P8"/>
    <mergeCell ref="AK8:AK9"/>
    <mergeCell ref="Z8:AG8"/>
    <mergeCell ref="R8:X8"/>
  </mergeCells>
  <phoneticPr fontId="11" type="noConversion"/>
  <pageMargins left="0.7" right="0.7" top="0.75" bottom="0.75" header="0.3" footer="0.3"/>
  <pageSetup scale="26" orientation="portrait" horizontalDpi="300" verticalDpi="300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E123-947D-4BDC-BCDA-976FE7A590B7}">
  <sheetPr>
    <pageSetUpPr fitToPage="1"/>
  </sheetPr>
  <dimension ref="A2:S49"/>
  <sheetViews>
    <sheetView view="pageBreakPreview" zoomScale="106" zoomScaleNormal="70" zoomScaleSheetLayoutView="106" workbookViewId="0">
      <selection activeCell="L13" sqref="L13"/>
    </sheetView>
  </sheetViews>
  <sheetFormatPr defaultRowHeight="15" x14ac:dyDescent="0.25"/>
  <cols>
    <col min="1" max="1" width="10.42578125" bestFit="1" customWidth="1"/>
    <col min="2" max="2" width="6.5703125" customWidth="1"/>
    <col min="3" max="3" width="4.28515625" bestFit="1" customWidth="1"/>
    <col min="4" max="4" width="7.42578125" customWidth="1"/>
    <col min="5" max="5" width="12.7109375" customWidth="1"/>
    <col min="6" max="6" width="8.5703125" customWidth="1"/>
    <col min="7" max="7" width="8.28515625" customWidth="1"/>
    <col min="8" max="8" width="8" style="4" customWidth="1"/>
    <col min="9" max="9" width="7.7109375" style="4" customWidth="1"/>
    <col min="10" max="10" width="6.42578125" customWidth="1"/>
    <col min="11" max="11" width="12.28515625" customWidth="1"/>
    <col min="12" max="12" width="8.5703125" customWidth="1"/>
    <col min="13" max="13" width="8.28515625" customWidth="1"/>
    <col min="14" max="14" width="6.5703125" customWidth="1"/>
    <col min="15" max="15" width="7.140625" customWidth="1"/>
    <col min="16" max="16" width="8.5703125" customWidth="1"/>
    <col min="17" max="17" width="6.5703125" bestFit="1" customWidth="1"/>
  </cols>
  <sheetData>
    <row r="2" spans="1:19" x14ac:dyDescent="0.25">
      <c r="M2" s="1" t="s">
        <v>0</v>
      </c>
      <c r="N2" s="136"/>
      <c r="O2" s="136"/>
      <c r="P2" s="136"/>
    </row>
    <row r="3" spans="1:19" x14ac:dyDescent="0.25">
      <c r="M3" s="2" t="s">
        <v>1</v>
      </c>
      <c r="N3" s="3"/>
      <c r="O3" s="4" t="s">
        <v>2</v>
      </c>
      <c r="P3" s="5"/>
    </row>
    <row r="4" spans="1:19" x14ac:dyDescent="0.25">
      <c r="M4" s="1" t="s">
        <v>3</v>
      </c>
      <c r="N4" s="6"/>
      <c r="O4" s="7" t="s">
        <v>4</v>
      </c>
      <c r="P4" s="8"/>
    </row>
    <row r="5" spans="1:19" x14ac:dyDescent="0.25">
      <c r="M5" s="1" t="s">
        <v>5</v>
      </c>
      <c r="N5" s="6"/>
      <c r="O5" s="7" t="s">
        <v>4</v>
      </c>
      <c r="P5" s="8"/>
    </row>
    <row r="6" spans="1:19" x14ac:dyDescent="0.25">
      <c r="F6" s="1"/>
      <c r="G6" s="9"/>
      <c r="H6" s="38"/>
      <c r="I6" s="39"/>
    </row>
    <row r="7" spans="1:19" ht="16.5" thickBot="1" x14ac:dyDescent="0.3">
      <c r="A7" s="27" t="s">
        <v>17</v>
      </c>
      <c r="B7" s="11"/>
      <c r="C7" s="12"/>
      <c r="D7" s="12"/>
      <c r="E7" s="12"/>
      <c r="F7" s="12"/>
      <c r="G7" s="12"/>
      <c r="H7" s="40"/>
      <c r="I7" s="40"/>
      <c r="J7" t="s">
        <v>18</v>
      </c>
    </row>
    <row r="8" spans="1:19" ht="15.75" thickBot="1" x14ac:dyDescent="0.3">
      <c r="D8" s="144" t="s">
        <v>19</v>
      </c>
      <c r="E8" s="145"/>
      <c r="F8" s="145"/>
      <c r="G8" s="145"/>
      <c r="H8" s="145"/>
      <c r="I8" s="146"/>
      <c r="J8" s="144" t="s">
        <v>20</v>
      </c>
      <c r="K8" s="145"/>
      <c r="L8" s="145"/>
      <c r="M8" s="145"/>
      <c r="N8" s="145"/>
      <c r="O8" s="145"/>
      <c r="P8" s="146"/>
    </row>
    <row r="9" spans="1:19" ht="28.5" customHeight="1" x14ac:dyDescent="0.25">
      <c r="A9" s="48" t="s">
        <v>21</v>
      </c>
      <c r="B9" s="43" t="s">
        <v>9</v>
      </c>
      <c r="C9" s="24" t="s">
        <v>10</v>
      </c>
      <c r="D9" s="24" t="s">
        <v>22</v>
      </c>
      <c r="E9" s="25" t="s">
        <v>23</v>
      </c>
      <c r="F9" s="24" t="s">
        <v>24</v>
      </c>
      <c r="G9" s="24" t="s">
        <v>25</v>
      </c>
      <c r="H9" s="24" t="s">
        <v>26</v>
      </c>
      <c r="I9" s="24" t="s">
        <v>27</v>
      </c>
      <c r="J9" s="24" t="s">
        <v>22</v>
      </c>
      <c r="K9" s="25" t="s">
        <v>28</v>
      </c>
      <c r="L9" s="24" t="s">
        <v>24</v>
      </c>
      <c r="M9" s="24" t="s">
        <v>25</v>
      </c>
      <c r="N9" s="24" t="s">
        <v>26</v>
      </c>
      <c r="O9" s="24" t="s">
        <v>29</v>
      </c>
      <c r="P9" s="24" t="s">
        <v>30</v>
      </c>
      <c r="Q9" s="26" t="s">
        <v>31</v>
      </c>
    </row>
    <row r="10" spans="1:19" s="41" customFormat="1" x14ac:dyDescent="0.25">
      <c r="A10" s="59"/>
      <c r="B10" s="18"/>
      <c r="C10" s="19"/>
      <c r="D10" s="19"/>
      <c r="E10" s="19"/>
      <c r="F10" s="19"/>
      <c r="G10" s="19"/>
      <c r="H10" s="70" t="e">
        <f t="shared" ref="H10:H13" si="0">ROUND(((F10-G10)/D10)*100,2)</f>
        <v>#DIV/0!</v>
      </c>
      <c r="I10" s="71" t="e">
        <f t="shared" ref="I10:I13" si="1">ROUND((1.8*(1.1-E10)*D10^(0.5))/(H10^(1/3)),2)</f>
        <v>#DIV/0!</v>
      </c>
      <c r="J10" s="19"/>
      <c r="K10" s="18"/>
      <c r="L10" s="18"/>
      <c r="M10" s="18"/>
      <c r="N10" s="72" t="e">
        <f t="shared" ref="N10:N13" si="2">ROUND(((L10-M10)/J10)*100,2)</f>
        <v>#DIV/0!</v>
      </c>
      <c r="O10" s="73" t="e">
        <f t="shared" ref="O10:O13" si="3">ROUND(3.281*K10*(N10^(0.5)),2)</f>
        <v>#DIV/0!</v>
      </c>
      <c r="P10" s="74" t="e">
        <f t="shared" ref="P10:P13" si="4">ROUND(J10/(60*O10),2)</f>
        <v>#DIV/0!</v>
      </c>
      <c r="Q10" s="75" t="e">
        <f t="shared" ref="Q10:Q13" si="5">I10+P10</f>
        <v>#DIV/0!</v>
      </c>
      <c r="S10" s="4"/>
    </row>
    <row r="11" spans="1:19" s="4" customFormat="1" x14ac:dyDescent="0.25">
      <c r="A11" s="61"/>
      <c r="B11" s="22"/>
      <c r="C11" s="22"/>
      <c r="D11" s="17"/>
      <c r="E11" s="17"/>
      <c r="F11" s="17"/>
      <c r="G11" s="17"/>
      <c r="H11" s="70" t="e">
        <f t="shared" si="0"/>
        <v>#DIV/0!</v>
      </c>
      <c r="I11" s="71" t="e">
        <f t="shared" si="1"/>
        <v>#DIV/0!</v>
      </c>
      <c r="J11" s="17"/>
      <c r="K11" s="22"/>
      <c r="L11" s="22"/>
      <c r="M11" s="22"/>
      <c r="N11" s="72" t="e">
        <f t="shared" si="2"/>
        <v>#DIV/0!</v>
      </c>
      <c r="O11" s="73" t="e">
        <f t="shared" si="3"/>
        <v>#DIV/0!</v>
      </c>
      <c r="P11" s="74" t="e">
        <f t="shared" si="4"/>
        <v>#DIV/0!</v>
      </c>
      <c r="Q11" s="75" t="e">
        <f t="shared" si="5"/>
        <v>#DIV/0!</v>
      </c>
    </row>
    <row r="12" spans="1:19" s="41" customFormat="1" x14ac:dyDescent="0.25">
      <c r="A12" s="49"/>
      <c r="B12" s="18"/>
      <c r="C12" s="19"/>
      <c r="D12" s="36"/>
      <c r="E12" s="19"/>
      <c r="F12" s="19"/>
      <c r="G12" s="19"/>
      <c r="H12" s="70" t="e">
        <f t="shared" si="0"/>
        <v>#DIV/0!</v>
      </c>
      <c r="I12" s="71" t="e">
        <f t="shared" si="1"/>
        <v>#DIV/0!</v>
      </c>
      <c r="J12" s="36"/>
      <c r="K12" s="18"/>
      <c r="L12" s="18"/>
      <c r="M12" s="18"/>
      <c r="N12" s="72" t="e">
        <f t="shared" si="2"/>
        <v>#DIV/0!</v>
      </c>
      <c r="O12" s="73" t="e">
        <f t="shared" si="3"/>
        <v>#DIV/0!</v>
      </c>
      <c r="P12" s="74" t="e">
        <f t="shared" si="4"/>
        <v>#DIV/0!</v>
      </c>
      <c r="Q12" s="75" t="e">
        <f t="shared" si="5"/>
        <v>#DIV/0!</v>
      </c>
      <c r="S12" s="4"/>
    </row>
    <row r="13" spans="1:19" x14ac:dyDescent="0.25">
      <c r="A13" s="61"/>
      <c r="B13" s="22"/>
      <c r="C13" s="17"/>
      <c r="D13" s="57"/>
      <c r="E13" s="56"/>
      <c r="F13" s="17"/>
      <c r="G13" s="23"/>
      <c r="H13" s="70" t="e">
        <f t="shared" si="0"/>
        <v>#DIV/0!</v>
      </c>
      <c r="I13" s="71" t="e">
        <f t="shared" si="1"/>
        <v>#DIV/0!</v>
      </c>
      <c r="J13" s="22"/>
      <c r="K13" s="22"/>
      <c r="L13" s="22"/>
      <c r="M13" s="22"/>
      <c r="N13" s="72" t="e">
        <f t="shared" si="2"/>
        <v>#DIV/0!</v>
      </c>
      <c r="O13" s="73" t="e">
        <f t="shared" si="3"/>
        <v>#DIV/0!</v>
      </c>
      <c r="P13" s="74" t="e">
        <f t="shared" si="4"/>
        <v>#DIV/0!</v>
      </c>
      <c r="Q13" s="75" t="e">
        <f t="shared" si="5"/>
        <v>#DIV/0!</v>
      </c>
    </row>
    <row r="14" spans="1:19" s="21" customFormat="1" x14ac:dyDescent="0.25">
      <c r="A14" s="49"/>
      <c r="B14" s="52"/>
      <c r="C14" s="19"/>
      <c r="D14" s="18"/>
      <c r="E14" s="19"/>
      <c r="F14" s="18"/>
      <c r="G14" s="18"/>
      <c r="H14" s="70" t="e">
        <f t="shared" ref="H14:H23" si="6">ROUND(((F14-G14)/D14)*100,2)</f>
        <v>#DIV/0!</v>
      </c>
      <c r="I14" s="71" t="e">
        <f t="shared" ref="I14:I23" si="7">ROUND((1.8*(1.1-E14)*D14^(0.5))/(H14^(1/3)),2)</f>
        <v>#DIV/0!</v>
      </c>
      <c r="J14" s="18"/>
      <c r="K14" s="18"/>
      <c r="L14" s="18"/>
      <c r="M14" s="18"/>
      <c r="N14" s="72" t="e">
        <f t="shared" ref="N14:N23" si="8">ROUND(((L14-M14)/J14)*100,2)</f>
        <v>#DIV/0!</v>
      </c>
      <c r="O14" s="73" t="e">
        <f t="shared" ref="O14:O23" si="9">ROUND(3.281*K14*(N14^(0.5)),2)</f>
        <v>#DIV/0!</v>
      </c>
      <c r="P14" s="74" t="e">
        <f t="shared" ref="P14:P23" si="10">ROUND(J14/(60*O14),2)</f>
        <v>#DIV/0!</v>
      </c>
      <c r="Q14" s="75" t="e">
        <f t="shared" ref="Q14:Q23" si="11">I14+P14</f>
        <v>#DIV/0!</v>
      </c>
      <c r="S14"/>
    </row>
    <row r="15" spans="1:19" x14ac:dyDescent="0.25">
      <c r="A15" s="61"/>
      <c r="B15" s="63"/>
      <c r="C15" s="17"/>
      <c r="D15" s="22"/>
      <c r="E15" s="17"/>
      <c r="F15" s="22"/>
      <c r="G15" s="22"/>
      <c r="H15" s="70" t="e">
        <f t="shared" ref="H15" si="12">ROUND(((F15-G15)/D15)*100,2)</f>
        <v>#DIV/0!</v>
      </c>
      <c r="I15" s="71" t="e">
        <f t="shared" ref="I15" si="13">ROUND((1.8*(1.1-E15)*D15^(0.5))/(H15^(1/3)),2)</f>
        <v>#DIV/0!</v>
      </c>
      <c r="J15" s="22"/>
      <c r="K15" s="22"/>
      <c r="L15" s="22"/>
      <c r="M15" s="22"/>
      <c r="N15" s="72" t="e">
        <f t="shared" ref="N15" si="14">ROUND(((L15-M15)/J15)*100,2)</f>
        <v>#DIV/0!</v>
      </c>
      <c r="O15" s="73" t="e">
        <f t="shared" ref="O15" si="15">ROUND(3.281*K15*(N15^(0.5)),2)</f>
        <v>#DIV/0!</v>
      </c>
      <c r="P15" s="74" t="e">
        <f t="shared" ref="P15" si="16">ROUND(J15/(60*O15),2)</f>
        <v>#DIV/0!</v>
      </c>
      <c r="Q15" s="75" t="e">
        <f t="shared" ref="Q15" si="17">I15+P15</f>
        <v>#DIV/0!</v>
      </c>
    </row>
    <row r="16" spans="1:19" s="21" customFormat="1" x14ac:dyDescent="0.25">
      <c r="A16" s="49"/>
      <c r="B16" s="52"/>
      <c r="C16" s="19"/>
      <c r="D16" s="18"/>
      <c r="E16" s="19"/>
      <c r="F16" s="18"/>
      <c r="G16" s="18"/>
      <c r="H16" s="70" t="e">
        <f t="shared" si="6"/>
        <v>#DIV/0!</v>
      </c>
      <c r="I16" s="71" t="e">
        <f t="shared" si="7"/>
        <v>#DIV/0!</v>
      </c>
      <c r="J16" s="18"/>
      <c r="K16" s="18"/>
      <c r="L16" s="18"/>
      <c r="M16" s="18"/>
      <c r="N16" s="72" t="e">
        <f t="shared" si="8"/>
        <v>#DIV/0!</v>
      </c>
      <c r="O16" s="73" t="e">
        <f t="shared" si="9"/>
        <v>#DIV/0!</v>
      </c>
      <c r="P16" s="74" t="e">
        <f t="shared" si="10"/>
        <v>#DIV/0!</v>
      </c>
      <c r="Q16" s="75" t="e">
        <f t="shared" si="11"/>
        <v>#DIV/0!</v>
      </c>
      <c r="S16"/>
    </row>
    <row r="17" spans="1:19" x14ac:dyDescent="0.25">
      <c r="A17" s="61"/>
      <c r="B17" s="63"/>
      <c r="C17" s="17"/>
      <c r="D17" s="22"/>
      <c r="E17" s="17"/>
      <c r="F17" s="22"/>
      <c r="G17" s="22"/>
      <c r="H17" s="70" t="e">
        <f t="shared" si="6"/>
        <v>#DIV/0!</v>
      </c>
      <c r="I17" s="71" t="e">
        <f t="shared" si="7"/>
        <v>#DIV/0!</v>
      </c>
      <c r="J17" s="22"/>
      <c r="K17" s="22"/>
      <c r="L17" s="22"/>
      <c r="M17" s="22"/>
      <c r="N17" s="72" t="e">
        <f t="shared" si="8"/>
        <v>#DIV/0!</v>
      </c>
      <c r="O17" s="73" t="e">
        <f t="shared" si="9"/>
        <v>#DIV/0!</v>
      </c>
      <c r="P17" s="74" t="e">
        <f t="shared" si="10"/>
        <v>#DIV/0!</v>
      </c>
      <c r="Q17" s="75" t="e">
        <f t="shared" si="11"/>
        <v>#DIV/0!</v>
      </c>
    </row>
    <row r="18" spans="1:19" s="21" customFormat="1" x14ac:dyDescent="0.25">
      <c r="A18" s="49"/>
      <c r="B18" s="52"/>
      <c r="C18" s="19"/>
      <c r="D18" s="18"/>
      <c r="E18" s="19"/>
      <c r="F18" s="18"/>
      <c r="G18" s="18"/>
      <c r="H18" s="70" t="e">
        <f t="shared" ref="H18" si="18">ROUND(((F18-G18)/D18)*100,2)</f>
        <v>#DIV/0!</v>
      </c>
      <c r="I18" s="71" t="e">
        <f t="shared" ref="I18" si="19">ROUND((1.8*(1.1-E18)*D18^(0.5))/(H18^(1/3)),2)</f>
        <v>#DIV/0!</v>
      </c>
      <c r="J18" s="18"/>
      <c r="K18" s="18"/>
      <c r="L18" s="18"/>
      <c r="M18" s="18"/>
      <c r="N18" s="72" t="e">
        <f t="shared" ref="N18" si="20">ROUND(((L18-M18)/J18)*100,2)</f>
        <v>#DIV/0!</v>
      </c>
      <c r="O18" s="73" t="e">
        <f t="shared" ref="O18" si="21">ROUND(3.281*K18*(N18^(0.5)),2)</f>
        <v>#DIV/0!</v>
      </c>
      <c r="P18" s="74" t="e">
        <f t="shared" ref="P18" si="22">ROUND(J18/(60*O18),2)</f>
        <v>#DIV/0!</v>
      </c>
      <c r="Q18" s="75" t="e">
        <f t="shared" ref="Q18" si="23">I18+P18</f>
        <v>#DIV/0!</v>
      </c>
      <c r="S18"/>
    </row>
    <row r="19" spans="1:19" x14ac:dyDescent="0.25">
      <c r="A19" s="30"/>
      <c r="B19" s="22"/>
      <c r="C19" s="17"/>
      <c r="D19" s="22"/>
      <c r="E19" s="17"/>
      <c r="F19" s="22"/>
      <c r="G19" s="22"/>
      <c r="H19" s="70" t="e">
        <f t="shared" si="6"/>
        <v>#DIV/0!</v>
      </c>
      <c r="I19" s="71" t="e">
        <f t="shared" si="7"/>
        <v>#DIV/0!</v>
      </c>
      <c r="J19" s="22"/>
      <c r="K19" s="22"/>
      <c r="L19" s="22"/>
      <c r="M19" s="22"/>
      <c r="N19" s="72" t="e">
        <f t="shared" si="8"/>
        <v>#DIV/0!</v>
      </c>
      <c r="O19" s="73" t="e">
        <f t="shared" si="9"/>
        <v>#DIV/0!</v>
      </c>
      <c r="P19" s="74" t="e">
        <f t="shared" si="10"/>
        <v>#DIV/0!</v>
      </c>
      <c r="Q19" s="75" t="e">
        <f t="shared" si="11"/>
        <v>#DIV/0!</v>
      </c>
    </row>
    <row r="20" spans="1:19" s="21" customFormat="1" x14ac:dyDescent="0.25">
      <c r="A20" s="31"/>
      <c r="B20" s="18"/>
      <c r="C20" s="19"/>
      <c r="D20" s="18"/>
      <c r="E20" s="19"/>
      <c r="F20" s="18"/>
      <c r="G20" s="18"/>
      <c r="H20" s="70" t="e">
        <f t="shared" si="6"/>
        <v>#DIV/0!</v>
      </c>
      <c r="I20" s="71" t="e">
        <f t="shared" si="7"/>
        <v>#DIV/0!</v>
      </c>
      <c r="J20" s="18"/>
      <c r="K20" s="18"/>
      <c r="L20" s="18"/>
      <c r="M20" s="18"/>
      <c r="N20" s="72" t="e">
        <f t="shared" si="8"/>
        <v>#DIV/0!</v>
      </c>
      <c r="O20" s="73" t="e">
        <f t="shared" si="9"/>
        <v>#DIV/0!</v>
      </c>
      <c r="P20" s="74" t="e">
        <f t="shared" si="10"/>
        <v>#DIV/0!</v>
      </c>
      <c r="Q20" s="75" t="e">
        <f t="shared" si="11"/>
        <v>#DIV/0!</v>
      </c>
      <c r="S20"/>
    </row>
    <row r="21" spans="1:19" x14ac:dyDescent="0.25">
      <c r="A21" s="30"/>
      <c r="B21" s="22"/>
      <c r="C21" s="17"/>
      <c r="D21" s="22"/>
      <c r="E21" s="17"/>
      <c r="F21" s="22"/>
      <c r="G21" s="22"/>
      <c r="H21" s="70" t="e">
        <f t="shared" si="6"/>
        <v>#DIV/0!</v>
      </c>
      <c r="I21" s="71" t="e">
        <f t="shared" si="7"/>
        <v>#DIV/0!</v>
      </c>
      <c r="J21" s="22"/>
      <c r="K21" s="22"/>
      <c r="L21" s="22"/>
      <c r="M21" s="22"/>
      <c r="N21" s="72" t="e">
        <f t="shared" si="8"/>
        <v>#DIV/0!</v>
      </c>
      <c r="O21" s="73" t="e">
        <f t="shared" si="9"/>
        <v>#DIV/0!</v>
      </c>
      <c r="P21" s="74" t="e">
        <f t="shared" si="10"/>
        <v>#DIV/0!</v>
      </c>
      <c r="Q21" s="75" t="e">
        <f t="shared" si="11"/>
        <v>#DIV/0!</v>
      </c>
    </row>
    <row r="22" spans="1:19" s="21" customFormat="1" x14ac:dyDescent="0.25">
      <c r="A22" s="31"/>
      <c r="B22" s="18"/>
      <c r="C22" s="19"/>
      <c r="D22" s="18"/>
      <c r="E22" s="19"/>
      <c r="F22" s="18"/>
      <c r="G22" s="18"/>
      <c r="H22" s="70" t="e">
        <f t="shared" si="6"/>
        <v>#DIV/0!</v>
      </c>
      <c r="I22" s="71" t="e">
        <f t="shared" si="7"/>
        <v>#DIV/0!</v>
      </c>
      <c r="J22" s="18"/>
      <c r="K22" s="18"/>
      <c r="L22" s="18"/>
      <c r="M22" s="18"/>
      <c r="N22" s="72" t="e">
        <f t="shared" si="8"/>
        <v>#DIV/0!</v>
      </c>
      <c r="O22" s="73" t="e">
        <f t="shared" si="9"/>
        <v>#DIV/0!</v>
      </c>
      <c r="P22" s="74" t="e">
        <f t="shared" si="10"/>
        <v>#DIV/0!</v>
      </c>
      <c r="Q22" s="75" t="e">
        <f t="shared" si="11"/>
        <v>#DIV/0!</v>
      </c>
      <c r="S22"/>
    </row>
    <row r="23" spans="1:19" x14ac:dyDescent="0.25">
      <c r="A23" s="30"/>
      <c r="B23" s="22"/>
      <c r="C23" s="17"/>
      <c r="D23" s="22"/>
      <c r="E23" s="17"/>
      <c r="F23" s="22"/>
      <c r="G23" s="22"/>
      <c r="H23" s="70" t="e">
        <f t="shared" si="6"/>
        <v>#DIV/0!</v>
      </c>
      <c r="I23" s="71" t="e">
        <f t="shared" si="7"/>
        <v>#DIV/0!</v>
      </c>
      <c r="J23" s="22"/>
      <c r="K23" s="22"/>
      <c r="L23" s="22"/>
      <c r="M23" s="22"/>
      <c r="N23" s="72" t="e">
        <f t="shared" si="8"/>
        <v>#DIV/0!</v>
      </c>
      <c r="O23" s="73" t="e">
        <f t="shared" si="9"/>
        <v>#DIV/0!</v>
      </c>
      <c r="P23" s="74" t="e">
        <f t="shared" si="10"/>
        <v>#DIV/0!</v>
      </c>
      <c r="Q23" s="75" t="e">
        <f t="shared" si="11"/>
        <v>#DIV/0!</v>
      </c>
    </row>
    <row r="24" spans="1:19" s="21" customFormat="1" x14ac:dyDescent="0.25">
      <c r="A24" s="31"/>
      <c r="B24" s="18"/>
      <c r="C24" s="19"/>
      <c r="D24" s="36"/>
      <c r="E24" s="19"/>
      <c r="F24" s="19"/>
      <c r="G24" s="20"/>
      <c r="H24" s="70" t="e">
        <f t="shared" ref="H24" si="24">ROUND(((F24-G24)/D24)*100,2)</f>
        <v>#DIV/0!</v>
      </c>
      <c r="I24" s="71" t="e">
        <f t="shared" ref="I24" si="25">ROUND((1.8*(1.1-E24)*D24^(0.5))/(H24^(1/3)),2)</f>
        <v>#DIV/0!</v>
      </c>
      <c r="J24" s="18"/>
      <c r="K24" s="18"/>
      <c r="L24" s="18"/>
      <c r="M24" s="18"/>
      <c r="N24" s="72" t="e">
        <f t="shared" ref="N24" si="26">ROUND(((L24-M24)/J24)*100,2)</f>
        <v>#DIV/0!</v>
      </c>
      <c r="O24" s="73" t="e">
        <f t="shared" ref="O24" si="27">ROUND(3.281*K24*(N24^(0.5)),2)</f>
        <v>#DIV/0!</v>
      </c>
      <c r="P24" s="74" t="e">
        <f t="shared" ref="P24" si="28">ROUND(J24/(60*O24),2)</f>
        <v>#DIV/0!</v>
      </c>
      <c r="Q24" s="75" t="e">
        <f t="shared" ref="Q24" si="29">I24+P24</f>
        <v>#DIV/0!</v>
      </c>
      <c r="S24"/>
    </row>
    <row r="25" spans="1:19" s="4" customFormat="1" x14ac:dyDescent="0.25">
      <c r="A25" s="61"/>
      <c r="B25" s="22"/>
      <c r="C25" s="64"/>
      <c r="D25" s="65"/>
      <c r="E25" s="22"/>
      <c r="F25" s="17"/>
      <c r="G25" s="23"/>
      <c r="H25" s="70" t="e">
        <f t="shared" ref="H25:H26" si="30">ROUND(((F25-G25)/D25)*100,2)</f>
        <v>#DIV/0!</v>
      </c>
      <c r="I25" s="71" t="e">
        <f t="shared" ref="I25:I26" si="31">ROUND((1.8*(1.1-E25)*D25^(0.5))/(H25^(1/3)),2)</f>
        <v>#DIV/0!</v>
      </c>
      <c r="J25" s="57"/>
      <c r="K25" s="22"/>
      <c r="L25" s="22"/>
      <c r="M25" s="22"/>
      <c r="N25" s="72" t="e">
        <f t="shared" ref="N25:N26" si="32">ROUND(((L25-M25)/J25)*100,2)</f>
        <v>#DIV/0!</v>
      </c>
      <c r="O25" s="73" t="e">
        <f t="shared" ref="O25:O26" si="33">ROUND(3.281*K25*(N25^(0.5)),2)</f>
        <v>#DIV/0!</v>
      </c>
      <c r="P25" s="74" t="e">
        <f t="shared" ref="P25:P26" si="34">ROUND(J25/(60*O25),2)</f>
        <v>#DIV/0!</v>
      </c>
      <c r="Q25" s="75" t="e">
        <f t="shared" ref="Q25:Q26" si="35">I25+P25</f>
        <v>#DIV/0!</v>
      </c>
    </row>
    <row r="26" spans="1:19" s="41" customFormat="1" x14ac:dyDescent="0.25">
      <c r="A26" s="49"/>
      <c r="B26" s="52"/>
      <c r="C26" s="18"/>
      <c r="D26" s="18"/>
      <c r="E26" s="19"/>
      <c r="F26" s="18"/>
      <c r="G26" s="18"/>
      <c r="H26" s="70" t="e">
        <f t="shared" si="30"/>
        <v>#DIV/0!</v>
      </c>
      <c r="I26" s="71" t="e">
        <f t="shared" si="31"/>
        <v>#DIV/0!</v>
      </c>
      <c r="J26" s="18"/>
      <c r="K26" s="18"/>
      <c r="L26" s="18"/>
      <c r="M26" s="18"/>
      <c r="N26" s="72" t="e">
        <f t="shared" si="32"/>
        <v>#DIV/0!</v>
      </c>
      <c r="O26" s="73" t="e">
        <f t="shared" si="33"/>
        <v>#DIV/0!</v>
      </c>
      <c r="P26" s="74" t="e">
        <f t="shared" si="34"/>
        <v>#DIV/0!</v>
      </c>
      <c r="Q26" s="75" t="e">
        <f t="shared" si="35"/>
        <v>#DIV/0!</v>
      </c>
      <c r="S26" s="4"/>
    </row>
    <row r="27" spans="1:19" s="4" customFormat="1" x14ac:dyDescent="0.25">
      <c r="A27" s="61"/>
      <c r="B27" s="63"/>
      <c r="C27" s="22"/>
      <c r="D27" s="22"/>
      <c r="E27" s="17"/>
      <c r="F27" s="22"/>
      <c r="G27" s="22"/>
      <c r="H27" s="70" t="e">
        <f t="shared" ref="H27:H49" si="36">ROUND(((F27-G27)/D27)*100,2)</f>
        <v>#DIV/0!</v>
      </c>
      <c r="I27" s="71" t="e">
        <f t="shared" ref="I27:I49" si="37">ROUND((1.8*(1.1-E27)*D27^(0.5))/(H27^(1/3)),2)</f>
        <v>#DIV/0!</v>
      </c>
      <c r="J27" s="22"/>
      <c r="K27" s="22"/>
      <c r="L27" s="22"/>
      <c r="M27" s="22"/>
      <c r="N27" s="72" t="e">
        <f t="shared" ref="N27:N49" si="38">ROUND(((L27-M27)/J27)*100,2)</f>
        <v>#DIV/0!</v>
      </c>
      <c r="O27" s="73" t="e">
        <f t="shared" ref="O27:O49" si="39">ROUND(3.281*K27*(N27^(0.5)),2)</f>
        <v>#DIV/0!</v>
      </c>
      <c r="P27" s="74" t="e">
        <f t="shared" ref="P27:P49" si="40">ROUND(J27/(60*O27),2)</f>
        <v>#DIV/0!</v>
      </c>
      <c r="Q27" s="75" t="e">
        <f t="shared" ref="Q27:Q49" si="41">I27+P27</f>
        <v>#DIV/0!</v>
      </c>
    </row>
    <row r="28" spans="1:19" s="41" customFormat="1" x14ac:dyDescent="0.25">
      <c r="A28" s="49"/>
      <c r="B28" s="18"/>
      <c r="C28" s="18"/>
      <c r="D28" s="18"/>
      <c r="E28" s="19"/>
      <c r="F28" s="18"/>
      <c r="G28" s="18"/>
      <c r="H28" s="70" t="e">
        <f t="shared" si="36"/>
        <v>#DIV/0!</v>
      </c>
      <c r="I28" s="71" t="e">
        <f t="shared" si="37"/>
        <v>#DIV/0!</v>
      </c>
      <c r="J28" s="18"/>
      <c r="K28" s="18"/>
      <c r="L28" s="18"/>
      <c r="M28" s="18"/>
      <c r="N28" s="72" t="e">
        <f t="shared" si="38"/>
        <v>#DIV/0!</v>
      </c>
      <c r="O28" s="73" t="e">
        <f t="shared" si="39"/>
        <v>#DIV/0!</v>
      </c>
      <c r="P28" s="74" t="e">
        <f t="shared" si="40"/>
        <v>#DIV/0!</v>
      </c>
      <c r="Q28" s="75" t="e">
        <f t="shared" si="41"/>
        <v>#DIV/0!</v>
      </c>
      <c r="S28" s="4"/>
    </row>
    <row r="29" spans="1:19" s="4" customFormat="1" x14ac:dyDescent="0.25">
      <c r="A29" s="60"/>
      <c r="B29" s="22"/>
      <c r="C29" s="22"/>
      <c r="D29" s="22"/>
      <c r="E29" s="17"/>
      <c r="F29" s="22"/>
      <c r="G29" s="22"/>
      <c r="H29" s="70" t="e">
        <f t="shared" si="36"/>
        <v>#DIV/0!</v>
      </c>
      <c r="I29" s="71" t="e">
        <f t="shared" si="37"/>
        <v>#DIV/0!</v>
      </c>
      <c r="J29" s="22"/>
      <c r="K29" s="22"/>
      <c r="L29" s="22"/>
      <c r="M29" s="22"/>
      <c r="N29" s="72" t="e">
        <f t="shared" si="38"/>
        <v>#DIV/0!</v>
      </c>
      <c r="O29" s="73" t="e">
        <f t="shared" si="39"/>
        <v>#DIV/0!</v>
      </c>
      <c r="P29" s="74" t="e">
        <f t="shared" si="40"/>
        <v>#DIV/0!</v>
      </c>
      <c r="Q29" s="75" t="e">
        <f t="shared" si="41"/>
        <v>#DIV/0!</v>
      </c>
    </row>
    <row r="30" spans="1:19" s="41" customFormat="1" x14ac:dyDescent="0.25">
      <c r="A30" s="49"/>
      <c r="B30" s="18"/>
      <c r="C30" s="18"/>
      <c r="D30" s="18"/>
      <c r="E30" s="19"/>
      <c r="F30" s="18"/>
      <c r="G30" s="18"/>
      <c r="H30" s="70" t="e">
        <f t="shared" si="36"/>
        <v>#DIV/0!</v>
      </c>
      <c r="I30" s="71" t="e">
        <f t="shared" si="37"/>
        <v>#DIV/0!</v>
      </c>
      <c r="J30" s="18"/>
      <c r="K30" s="18"/>
      <c r="L30" s="18"/>
      <c r="M30" s="18"/>
      <c r="N30" s="72" t="e">
        <f t="shared" si="38"/>
        <v>#DIV/0!</v>
      </c>
      <c r="O30" s="73" t="e">
        <f t="shared" si="39"/>
        <v>#DIV/0!</v>
      </c>
      <c r="P30" s="74" t="e">
        <f t="shared" si="40"/>
        <v>#DIV/0!</v>
      </c>
      <c r="Q30" s="75" t="e">
        <f t="shared" si="41"/>
        <v>#DIV/0!</v>
      </c>
      <c r="S30" s="4"/>
    </row>
    <row r="31" spans="1:19" s="4" customFormat="1" x14ac:dyDescent="0.25">
      <c r="A31" s="61"/>
      <c r="B31" s="22"/>
      <c r="C31" s="22"/>
      <c r="D31" s="22"/>
      <c r="E31" s="17"/>
      <c r="F31" s="22"/>
      <c r="G31" s="22"/>
      <c r="H31" s="70" t="e">
        <f t="shared" si="36"/>
        <v>#DIV/0!</v>
      </c>
      <c r="I31" s="71" t="e">
        <f t="shared" si="37"/>
        <v>#DIV/0!</v>
      </c>
      <c r="J31" s="22"/>
      <c r="K31" s="22"/>
      <c r="L31" s="22"/>
      <c r="M31" s="22"/>
      <c r="N31" s="72" t="e">
        <f t="shared" si="38"/>
        <v>#DIV/0!</v>
      </c>
      <c r="O31" s="73" t="e">
        <f t="shared" si="39"/>
        <v>#DIV/0!</v>
      </c>
      <c r="P31" s="74" t="e">
        <f t="shared" si="40"/>
        <v>#DIV/0!</v>
      </c>
      <c r="Q31" s="75" t="e">
        <f t="shared" si="41"/>
        <v>#DIV/0!</v>
      </c>
    </row>
    <row r="32" spans="1:19" s="41" customFormat="1" x14ac:dyDescent="0.25">
      <c r="A32" s="31"/>
      <c r="B32" s="18"/>
      <c r="C32" s="18"/>
      <c r="D32" s="18"/>
      <c r="E32" s="18"/>
      <c r="F32" s="18"/>
      <c r="G32" s="18"/>
      <c r="H32" s="70" t="e">
        <f t="shared" si="36"/>
        <v>#DIV/0!</v>
      </c>
      <c r="I32" s="71" t="e">
        <f t="shared" si="37"/>
        <v>#DIV/0!</v>
      </c>
      <c r="J32" s="18"/>
      <c r="K32" s="18"/>
      <c r="L32" s="18"/>
      <c r="M32" s="18"/>
      <c r="N32" s="72" t="e">
        <f t="shared" si="38"/>
        <v>#DIV/0!</v>
      </c>
      <c r="O32" s="73" t="e">
        <f t="shared" si="39"/>
        <v>#DIV/0!</v>
      </c>
      <c r="P32" s="74" t="e">
        <f t="shared" si="40"/>
        <v>#DIV/0!</v>
      </c>
      <c r="Q32" s="75" t="e">
        <f t="shared" si="41"/>
        <v>#DIV/0!</v>
      </c>
      <c r="S32" s="4"/>
    </row>
    <row r="33" spans="1:19" s="4" customFormat="1" x14ac:dyDescent="0.25">
      <c r="A33" s="61"/>
      <c r="B33" s="22"/>
      <c r="C33" s="22"/>
      <c r="D33" s="22"/>
      <c r="E33" s="17"/>
      <c r="F33" s="22"/>
      <c r="G33" s="22"/>
      <c r="H33" s="70" t="e">
        <f t="shared" si="36"/>
        <v>#DIV/0!</v>
      </c>
      <c r="I33" s="71" t="e">
        <f t="shared" si="37"/>
        <v>#DIV/0!</v>
      </c>
      <c r="J33" s="22"/>
      <c r="K33" s="22"/>
      <c r="L33" s="22"/>
      <c r="M33" s="22"/>
      <c r="N33" s="72" t="e">
        <f t="shared" si="38"/>
        <v>#DIV/0!</v>
      </c>
      <c r="O33" s="73" t="e">
        <f t="shared" si="39"/>
        <v>#DIV/0!</v>
      </c>
      <c r="P33" s="74" t="e">
        <f t="shared" si="40"/>
        <v>#DIV/0!</v>
      </c>
      <c r="Q33" s="75" t="e">
        <f t="shared" si="41"/>
        <v>#DIV/0!</v>
      </c>
    </row>
    <row r="34" spans="1:19" s="41" customFormat="1" x14ac:dyDescent="0.25">
      <c r="A34" s="31"/>
      <c r="B34" s="18"/>
      <c r="C34" s="18"/>
      <c r="D34" s="18"/>
      <c r="E34" s="19"/>
      <c r="F34" s="18"/>
      <c r="G34" s="18"/>
      <c r="H34" s="70" t="e">
        <f t="shared" si="36"/>
        <v>#DIV/0!</v>
      </c>
      <c r="I34" s="71" t="e">
        <f t="shared" si="37"/>
        <v>#DIV/0!</v>
      </c>
      <c r="J34" s="18"/>
      <c r="K34" s="18"/>
      <c r="L34" s="18"/>
      <c r="M34" s="18"/>
      <c r="N34" s="72" t="e">
        <f t="shared" si="38"/>
        <v>#DIV/0!</v>
      </c>
      <c r="O34" s="73" t="e">
        <f t="shared" si="39"/>
        <v>#DIV/0!</v>
      </c>
      <c r="P34" s="74" t="e">
        <f t="shared" si="40"/>
        <v>#DIV/0!</v>
      </c>
      <c r="Q34" s="75" t="e">
        <f t="shared" si="41"/>
        <v>#DIV/0!</v>
      </c>
      <c r="S34" s="4"/>
    </row>
    <row r="35" spans="1:19" s="4" customFormat="1" x14ac:dyDescent="0.25">
      <c r="A35" s="30"/>
      <c r="B35" s="22"/>
      <c r="C35" s="22"/>
      <c r="D35" s="22"/>
      <c r="E35" s="17"/>
      <c r="F35" s="22"/>
      <c r="G35" s="22"/>
      <c r="H35" s="70" t="e">
        <f t="shared" si="36"/>
        <v>#DIV/0!</v>
      </c>
      <c r="I35" s="71" t="e">
        <f t="shared" si="37"/>
        <v>#DIV/0!</v>
      </c>
      <c r="J35" s="22"/>
      <c r="K35" s="22"/>
      <c r="L35" s="22"/>
      <c r="M35" s="22"/>
      <c r="N35" s="72" t="e">
        <f t="shared" si="38"/>
        <v>#DIV/0!</v>
      </c>
      <c r="O35" s="73" t="e">
        <f t="shared" si="39"/>
        <v>#DIV/0!</v>
      </c>
      <c r="P35" s="74" t="e">
        <f t="shared" si="40"/>
        <v>#DIV/0!</v>
      </c>
      <c r="Q35" s="75" t="e">
        <f t="shared" si="41"/>
        <v>#DIV/0!</v>
      </c>
    </row>
    <row r="36" spans="1:19" s="41" customFormat="1" x14ac:dyDescent="0.25">
      <c r="A36" s="31"/>
      <c r="B36" s="18"/>
      <c r="C36" s="18"/>
      <c r="D36" s="18"/>
      <c r="E36" s="19"/>
      <c r="F36" s="18"/>
      <c r="G36" s="18"/>
      <c r="H36" s="70" t="e">
        <f t="shared" si="36"/>
        <v>#DIV/0!</v>
      </c>
      <c r="I36" s="71" t="e">
        <f t="shared" si="37"/>
        <v>#DIV/0!</v>
      </c>
      <c r="J36" s="18"/>
      <c r="K36" s="18"/>
      <c r="L36" s="18"/>
      <c r="M36" s="18"/>
      <c r="N36" s="72" t="e">
        <f t="shared" si="38"/>
        <v>#DIV/0!</v>
      </c>
      <c r="O36" s="73" t="e">
        <f t="shared" si="39"/>
        <v>#DIV/0!</v>
      </c>
      <c r="P36" s="74" t="e">
        <f t="shared" si="40"/>
        <v>#DIV/0!</v>
      </c>
      <c r="Q36" s="75" t="e">
        <f t="shared" si="41"/>
        <v>#DIV/0!</v>
      </c>
      <c r="S36" s="4"/>
    </row>
    <row r="37" spans="1:19" s="4" customFormat="1" x14ac:dyDescent="0.25">
      <c r="A37" s="54"/>
      <c r="B37" s="22"/>
      <c r="C37" s="22"/>
      <c r="D37" s="22"/>
      <c r="E37" s="17"/>
      <c r="F37" s="22"/>
      <c r="G37" s="22"/>
      <c r="H37" s="70" t="e">
        <f t="shared" si="36"/>
        <v>#DIV/0!</v>
      </c>
      <c r="I37" s="71" t="e">
        <f t="shared" si="37"/>
        <v>#DIV/0!</v>
      </c>
      <c r="J37" s="22"/>
      <c r="K37" s="22"/>
      <c r="L37" s="22"/>
      <c r="M37" s="22"/>
      <c r="N37" s="72" t="e">
        <f t="shared" si="38"/>
        <v>#DIV/0!</v>
      </c>
      <c r="O37" s="73" t="e">
        <f t="shared" si="39"/>
        <v>#DIV/0!</v>
      </c>
      <c r="P37" s="74" t="e">
        <f t="shared" si="40"/>
        <v>#DIV/0!</v>
      </c>
      <c r="Q37" s="75" t="e">
        <f t="shared" si="41"/>
        <v>#DIV/0!</v>
      </c>
    </row>
    <row r="38" spans="1:19" s="21" customFormat="1" x14ac:dyDescent="0.25">
      <c r="A38" s="37"/>
      <c r="B38" s="18"/>
      <c r="C38" s="18"/>
      <c r="D38" s="18"/>
      <c r="E38" s="19"/>
      <c r="F38" s="18"/>
      <c r="G38" s="18"/>
      <c r="H38" s="70" t="e">
        <f t="shared" si="36"/>
        <v>#DIV/0!</v>
      </c>
      <c r="I38" s="71" t="e">
        <f t="shared" si="37"/>
        <v>#DIV/0!</v>
      </c>
      <c r="J38" s="18"/>
      <c r="K38" s="18"/>
      <c r="L38" s="18"/>
      <c r="M38" s="18"/>
      <c r="N38" s="72" t="e">
        <f t="shared" si="38"/>
        <v>#DIV/0!</v>
      </c>
      <c r="O38" s="73" t="e">
        <f t="shared" si="39"/>
        <v>#DIV/0!</v>
      </c>
      <c r="P38" s="74" t="e">
        <f t="shared" si="40"/>
        <v>#DIV/0!</v>
      </c>
      <c r="Q38" s="75" t="e">
        <f t="shared" si="41"/>
        <v>#DIV/0!</v>
      </c>
      <c r="S38"/>
    </row>
    <row r="39" spans="1:19" x14ac:dyDescent="0.25">
      <c r="A39" s="30"/>
      <c r="B39" s="22"/>
      <c r="C39" s="22"/>
      <c r="D39" s="22"/>
      <c r="E39" s="17"/>
      <c r="F39" s="22"/>
      <c r="G39" s="22"/>
      <c r="H39" s="70" t="e">
        <f t="shared" si="36"/>
        <v>#DIV/0!</v>
      </c>
      <c r="I39" s="71" t="e">
        <f t="shared" si="37"/>
        <v>#DIV/0!</v>
      </c>
      <c r="J39" s="22"/>
      <c r="K39" s="22"/>
      <c r="L39" s="22"/>
      <c r="M39" s="22"/>
      <c r="N39" s="72" t="e">
        <f t="shared" si="38"/>
        <v>#DIV/0!</v>
      </c>
      <c r="O39" s="73" t="e">
        <f t="shared" si="39"/>
        <v>#DIV/0!</v>
      </c>
      <c r="P39" s="74" t="e">
        <f t="shared" si="40"/>
        <v>#DIV/0!</v>
      </c>
      <c r="Q39" s="75" t="e">
        <f t="shared" si="41"/>
        <v>#DIV/0!</v>
      </c>
    </row>
    <row r="40" spans="1:19" s="21" customFormat="1" x14ac:dyDescent="0.25">
      <c r="A40" s="62"/>
      <c r="B40" s="18"/>
      <c r="C40" s="18"/>
      <c r="D40" s="18"/>
      <c r="E40" s="19"/>
      <c r="F40" s="18"/>
      <c r="G40" s="18"/>
      <c r="H40" s="70" t="e">
        <f t="shared" si="36"/>
        <v>#DIV/0!</v>
      </c>
      <c r="I40" s="71" t="e">
        <f t="shared" si="37"/>
        <v>#DIV/0!</v>
      </c>
      <c r="J40" s="18"/>
      <c r="K40" s="18"/>
      <c r="L40" s="18"/>
      <c r="M40" s="18"/>
      <c r="N40" s="72" t="e">
        <f t="shared" si="38"/>
        <v>#DIV/0!</v>
      </c>
      <c r="O40" s="73" t="e">
        <f t="shared" si="39"/>
        <v>#DIV/0!</v>
      </c>
      <c r="P40" s="74" t="e">
        <f t="shared" si="40"/>
        <v>#DIV/0!</v>
      </c>
      <c r="Q40" s="75" t="e">
        <f t="shared" si="41"/>
        <v>#DIV/0!</v>
      </c>
      <c r="S40"/>
    </row>
    <row r="41" spans="1:19" x14ac:dyDescent="0.25">
      <c r="A41" s="30"/>
      <c r="B41" s="22"/>
      <c r="C41" s="22"/>
      <c r="D41" s="22"/>
      <c r="E41" s="17"/>
      <c r="F41" s="22"/>
      <c r="G41" s="22"/>
      <c r="H41" s="70" t="e">
        <f t="shared" si="36"/>
        <v>#DIV/0!</v>
      </c>
      <c r="I41" s="71" t="e">
        <f t="shared" si="37"/>
        <v>#DIV/0!</v>
      </c>
      <c r="J41" s="22"/>
      <c r="K41" s="22"/>
      <c r="L41" s="22"/>
      <c r="M41" s="22"/>
      <c r="N41" s="72" t="e">
        <f t="shared" si="38"/>
        <v>#DIV/0!</v>
      </c>
      <c r="O41" s="73" t="e">
        <f t="shared" si="39"/>
        <v>#DIV/0!</v>
      </c>
      <c r="P41" s="74" t="e">
        <f t="shared" si="40"/>
        <v>#DIV/0!</v>
      </c>
      <c r="Q41" s="75" t="e">
        <f t="shared" si="41"/>
        <v>#DIV/0!</v>
      </c>
    </row>
    <row r="42" spans="1:19" s="21" customFormat="1" x14ac:dyDescent="0.25">
      <c r="A42" s="31"/>
      <c r="B42" s="18"/>
      <c r="C42" s="18"/>
      <c r="D42" s="18"/>
      <c r="E42" s="19"/>
      <c r="F42" s="18"/>
      <c r="G42" s="18"/>
      <c r="H42" s="70" t="e">
        <f t="shared" si="36"/>
        <v>#DIV/0!</v>
      </c>
      <c r="I42" s="71" t="e">
        <f t="shared" si="37"/>
        <v>#DIV/0!</v>
      </c>
      <c r="J42" s="18"/>
      <c r="K42" s="18"/>
      <c r="L42" s="18"/>
      <c r="M42" s="18"/>
      <c r="N42" s="72" t="e">
        <f t="shared" si="38"/>
        <v>#DIV/0!</v>
      </c>
      <c r="O42" s="73" t="e">
        <f t="shared" si="39"/>
        <v>#DIV/0!</v>
      </c>
      <c r="P42" s="74" t="e">
        <f t="shared" si="40"/>
        <v>#DIV/0!</v>
      </c>
      <c r="Q42" s="75" t="e">
        <f t="shared" si="41"/>
        <v>#DIV/0!</v>
      </c>
      <c r="S42"/>
    </row>
    <row r="43" spans="1:19" x14ac:dyDescent="0.25">
      <c r="A43" s="30"/>
      <c r="B43" s="22"/>
      <c r="C43" s="22"/>
      <c r="D43" s="22"/>
      <c r="E43" s="17"/>
      <c r="F43" s="22"/>
      <c r="G43" s="22"/>
      <c r="H43" s="70" t="e">
        <f t="shared" si="36"/>
        <v>#DIV/0!</v>
      </c>
      <c r="I43" s="71" t="e">
        <f t="shared" si="37"/>
        <v>#DIV/0!</v>
      </c>
      <c r="J43" s="22"/>
      <c r="K43" s="22"/>
      <c r="L43" s="22"/>
      <c r="M43" s="22"/>
      <c r="N43" s="72" t="e">
        <f t="shared" si="38"/>
        <v>#DIV/0!</v>
      </c>
      <c r="O43" s="73" t="e">
        <f t="shared" si="39"/>
        <v>#DIV/0!</v>
      </c>
      <c r="P43" s="74" t="e">
        <f t="shared" si="40"/>
        <v>#DIV/0!</v>
      </c>
      <c r="Q43" s="75" t="e">
        <f t="shared" si="41"/>
        <v>#DIV/0!</v>
      </c>
    </row>
    <row r="44" spans="1:19" s="21" customFormat="1" x14ac:dyDescent="0.25">
      <c r="A44" s="31"/>
      <c r="B44" s="18"/>
      <c r="C44" s="18"/>
      <c r="D44" s="18"/>
      <c r="E44" s="19"/>
      <c r="F44" s="18"/>
      <c r="G44" s="18"/>
      <c r="H44" s="70" t="e">
        <f t="shared" si="36"/>
        <v>#DIV/0!</v>
      </c>
      <c r="I44" s="71" t="e">
        <f t="shared" si="37"/>
        <v>#DIV/0!</v>
      </c>
      <c r="J44" s="18"/>
      <c r="K44" s="18"/>
      <c r="L44" s="18"/>
      <c r="M44" s="18"/>
      <c r="N44" s="72" t="e">
        <f t="shared" si="38"/>
        <v>#DIV/0!</v>
      </c>
      <c r="O44" s="73" t="e">
        <f t="shared" si="39"/>
        <v>#DIV/0!</v>
      </c>
      <c r="P44" s="74" t="e">
        <f t="shared" si="40"/>
        <v>#DIV/0!</v>
      </c>
      <c r="Q44" s="75" t="e">
        <f t="shared" si="41"/>
        <v>#DIV/0!</v>
      </c>
      <c r="S44"/>
    </row>
    <row r="45" spans="1:19" x14ac:dyDescent="0.25">
      <c r="A45" s="61"/>
      <c r="B45" s="63"/>
      <c r="C45" s="22"/>
      <c r="D45" s="22"/>
      <c r="E45" s="17"/>
      <c r="F45" s="22"/>
      <c r="G45" s="22"/>
      <c r="H45" s="70" t="e">
        <f t="shared" si="36"/>
        <v>#DIV/0!</v>
      </c>
      <c r="I45" s="71" t="e">
        <f t="shared" si="37"/>
        <v>#DIV/0!</v>
      </c>
      <c r="J45" s="22"/>
      <c r="K45" s="22"/>
      <c r="L45" s="22"/>
      <c r="M45" s="22"/>
      <c r="N45" s="72" t="e">
        <f t="shared" si="38"/>
        <v>#DIV/0!</v>
      </c>
      <c r="O45" s="73" t="e">
        <f t="shared" si="39"/>
        <v>#DIV/0!</v>
      </c>
      <c r="P45" s="74" t="e">
        <f t="shared" si="40"/>
        <v>#DIV/0!</v>
      </c>
      <c r="Q45" s="75" t="e">
        <f t="shared" si="41"/>
        <v>#DIV/0!</v>
      </c>
    </row>
    <row r="46" spans="1:19" s="21" customFormat="1" x14ac:dyDescent="0.25">
      <c r="A46" s="49"/>
      <c r="B46" s="18"/>
      <c r="C46" s="18"/>
      <c r="D46" s="18"/>
      <c r="E46" s="19"/>
      <c r="F46" s="18"/>
      <c r="G46" s="18"/>
      <c r="H46" s="70" t="e">
        <f t="shared" si="36"/>
        <v>#DIV/0!</v>
      </c>
      <c r="I46" s="71" t="e">
        <f t="shared" si="37"/>
        <v>#DIV/0!</v>
      </c>
      <c r="J46" s="18"/>
      <c r="K46" s="18"/>
      <c r="L46" s="18"/>
      <c r="M46" s="18"/>
      <c r="N46" s="72" t="e">
        <f t="shared" si="38"/>
        <v>#DIV/0!</v>
      </c>
      <c r="O46" s="73" t="e">
        <f t="shared" si="39"/>
        <v>#DIV/0!</v>
      </c>
      <c r="P46" s="74" t="e">
        <f t="shared" si="40"/>
        <v>#DIV/0!</v>
      </c>
      <c r="Q46" s="75" t="e">
        <f t="shared" si="41"/>
        <v>#DIV/0!</v>
      </c>
      <c r="S46"/>
    </row>
    <row r="47" spans="1:19" x14ac:dyDescent="0.25">
      <c r="A47" s="61"/>
      <c r="B47" s="22"/>
      <c r="C47" s="22"/>
      <c r="D47" s="22"/>
      <c r="E47" s="22"/>
      <c r="F47" s="22"/>
      <c r="G47" s="22"/>
      <c r="H47" s="70" t="e">
        <f t="shared" si="36"/>
        <v>#DIV/0!</v>
      </c>
      <c r="I47" s="71" t="e">
        <f t="shared" si="37"/>
        <v>#DIV/0!</v>
      </c>
      <c r="J47" s="22"/>
      <c r="K47" s="22"/>
      <c r="L47" s="22"/>
      <c r="M47" s="22"/>
      <c r="N47" s="72" t="e">
        <f t="shared" si="38"/>
        <v>#DIV/0!</v>
      </c>
      <c r="O47" s="73" t="e">
        <f t="shared" si="39"/>
        <v>#DIV/0!</v>
      </c>
      <c r="P47" s="74" t="e">
        <f t="shared" si="40"/>
        <v>#DIV/0!</v>
      </c>
      <c r="Q47" s="75" t="e">
        <f t="shared" si="41"/>
        <v>#DIV/0!</v>
      </c>
    </row>
    <row r="48" spans="1:19" s="21" customFormat="1" x14ac:dyDescent="0.25">
      <c r="A48" s="49"/>
      <c r="B48" s="18"/>
      <c r="C48" s="18"/>
      <c r="D48" s="18"/>
      <c r="E48" s="18"/>
      <c r="F48" s="18"/>
      <c r="G48" s="18"/>
      <c r="H48" s="70" t="e">
        <f t="shared" si="36"/>
        <v>#DIV/0!</v>
      </c>
      <c r="I48" s="71" t="e">
        <f t="shared" si="37"/>
        <v>#DIV/0!</v>
      </c>
      <c r="J48" s="18"/>
      <c r="K48" s="18"/>
      <c r="L48" s="18"/>
      <c r="M48" s="18"/>
      <c r="N48" s="72" t="e">
        <f t="shared" si="38"/>
        <v>#DIV/0!</v>
      </c>
      <c r="O48" s="73" t="e">
        <f t="shared" si="39"/>
        <v>#DIV/0!</v>
      </c>
      <c r="P48" s="74" t="e">
        <f t="shared" si="40"/>
        <v>#DIV/0!</v>
      </c>
      <c r="Q48" s="75" t="e">
        <f t="shared" si="41"/>
        <v>#DIV/0!</v>
      </c>
      <c r="S48"/>
    </row>
    <row r="49" spans="1:17" x14ac:dyDescent="0.25">
      <c r="A49" s="34"/>
      <c r="B49" s="32"/>
      <c r="C49" s="32"/>
      <c r="D49" s="32"/>
      <c r="E49" s="32"/>
      <c r="F49" s="32"/>
      <c r="G49" s="32"/>
      <c r="H49" s="70" t="e">
        <f t="shared" si="36"/>
        <v>#DIV/0!</v>
      </c>
      <c r="I49" s="71" t="e">
        <f t="shared" si="37"/>
        <v>#DIV/0!</v>
      </c>
      <c r="J49" s="32"/>
      <c r="K49" s="32"/>
      <c r="L49" s="22"/>
      <c r="M49" s="32"/>
      <c r="N49" s="72" t="e">
        <f t="shared" si="38"/>
        <v>#DIV/0!</v>
      </c>
      <c r="O49" s="73" t="e">
        <f t="shared" si="39"/>
        <v>#DIV/0!</v>
      </c>
      <c r="P49" s="74" t="e">
        <f t="shared" si="40"/>
        <v>#DIV/0!</v>
      </c>
      <c r="Q49" s="75" t="e">
        <f t="shared" si="41"/>
        <v>#DIV/0!</v>
      </c>
    </row>
  </sheetData>
  <mergeCells count="3">
    <mergeCell ref="N2:P2"/>
    <mergeCell ref="D8:I8"/>
    <mergeCell ref="J8:P8"/>
  </mergeCells>
  <pageMargins left="0.7" right="0.7" top="0.75" bottom="0.75" header="0.3" footer="0.3"/>
  <pageSetup scale="6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BD7E-0CAC-4FC0-886F-A95A65011E4D}">
  <sheetPr>
    <pageSetUpPr fitToPage="1"/>
  </sheetPr>
  <dimension ref="A2:J54"/>
  <sheetViews>
    <sheetView view="pageBreakPreview" zoomScale="99" zoomScaleNormal="100" zoomScaleSheetLayoutView="99" workbookViewId="0">
      <selection activeCell="F14" sqref="F14"/>
    </sheetView>
  </sheetViews>
  <sheetFormatPr defaultRowHeight="15" x14ac:dyDescent="0.25"/>
  <cols>
    <col min="1" max="1" width="8.7109375" customWidth="1"/>
    <col min="2" max="2" width="10.7109375" customWidth="1"/>
    <col min="3" max="3" width="4" bestFit="1" customWidth="1"/>
    <col min="4" max="5" width="9.7109375" customWidth="1"/>
    <col min="6" max="6" width="10.85546875" customWidth="1"/>
    <col min="7" max="7" width="12.7109375" customWidth="1"/>
    <col min="8" max="8" width="10.85546875" customWidth="1"/>
    <col min="9" max="9" width="6.7109375" bestFit="1" customWidth="1"/>
    <col min="10" max="10" width="11.42578125" bestFit="1" customWidth="1"/>
  </cols>
  <sheetData>
    <row r="2" spans="1:10" x14ac:dyDescent="0.25">
      <c r="F2" s="1"/>
      <c r="G2" s="1" t="s">
        <v>0</v>
      </c>
      <c r="H2" s="136"/>
      <c r="I2" s="136"/>
      <c r="J2" s="136"/>
    </row>
    <row r="3" spans="1:10" x14ac:dyDescent="0.25">
      <c r="G3" s="2" t="s">
        <v>1</v>
      </c>
      <c r="H3" s="3"/>
      <c r="I3" s="4" t="s">
        <v>2</v>
      </c>
      <c r="J3" s="5"/>
    </row>
    <row r="4" spans="1:10" x14ac:dyDescent="0.25">
      <c r="G4" s="1" t="s">
        <v>3</v>
      </c>
      <c r="H4" s="6"/>
      <c r="I4" s="7" t="s">
        <v>4</v>
      </c>
      <c r="J4" s="8"/>
    </row>
    <row r="5" spans="1:10" x14ac:dyDescent="0.25">
      <c r="G5" s="1" t="s">
        <v>5</v>
      </c>
      <c r="H5" s="6"/>
      <c r="I5" s="7" t="s">
        <v>4</v>
      </c>
      <c r="J5" s="8"/>
    </row>
    <row r="6" spans="1:10" x14ac:dyDescent="0.25">
      <c r="F6" s="1"/>
      <c r="G6" s="9"/>
      <c r="H6" s="9"/>
      <c r="I6" s="10"/>
    </row>
    <row r="7" spans="1:10" ht="15.75" x14ac:dyDescent="0.25">
      <c r="A7" s="28" t="s">
        <v>6</v>
      </c>
      <c r="B7" s="11"/>
      <c r="C7" s="12"/>
      <c r="D7" s="12"/>
      <c r="E7" s="12"/>
      <c r="F7" s="12"/>
      <c r="G7" s="12"/>
      <c r="H7" s="12"/>
      <c r="I7" s="12"/>
      <c r="J7" s="12"/>
    </row>
    <row r="8" spans="1:10" ht="15.75" thickBot="1" x14ac:dyDescent="0.3">
      <c r="A8" s="11"/>
      <c r="B8" s="11"/>
      <c r="C8" s="12"/>
      <c r="D8" s="12"/>
      <c r="E8" s="12"/>
      <c r="F8" s="7" t="s">
        <v>7</v>
      </c>
      <c r="G8" s="12"/>
      <c r="H8" s="7" t="s">
        <v>7</v>
      </c>
      <c r="I8" s="12"/>
      <c r="J8" s="12"/>
    </row>
    <row r="9" spans="1:10" ht="30.75" customHeight="1" thickBot="1" x14ac:dyDescent="0.3">
      <c r="A9" s="47" t="s">
        <v>8</v>
      </c>
      <c r="B9" s="46" t="s">
        <v>9</v>
      </c>
      <c r="C9" s="13" t="s">
        <v>10</v>
      </c>
      <c r="D9" s="45" t="s">
        <v>11</v>
      </c>
      <c r="E9" s="45" t="s">
        <v>12</v>
      </c>
      <c r="F9" s="14" t="s">
        <v>13</v>
      </c>
      <c r="G9" s="45" t="s">
        <v>14</v>
      </c>
      <c r="H9" s="14" t="s">
        <v>13</v>
      </c>
      <c r="I9" s="14" t="s">
        <v>15</v>
      </c>
      <c r="J9" s="15" t="s">
        <v>16</v>
      </c>
    </row>
    <row r="10" spans="1:10" x14ac:dyDescent="0.25">
      <c r="A10" s="66"/>
      <c r="B10" s="44"/>
      <c r="C10" s="44"/>
      <c r="D10" s="58"/>
      <c r="E10" s="58"/>
      <c r="F10" s="16"/>
      <c r="G10" s="69">
        <f t="shared" ref="G10:G54" si="0">D10-E10</f>
        <v>0</v>
      </c>
      <c r="H10" s="16"/>
      <c r="I10" s="67">
        <f>ROUND((E10*F10)+(G10*H10),2)</f>
        <v>0</v>
      </c>
      <c r="J10" s="68" t="e">
        <f t="shared" ref="J10:J54" si="1">I10/D10</f>
        <v>#DIV/0!</v>
      </c>
    </row>
    <row r="11" spans="1:10" s="21" customFormat="1" x14ac:dyDescent="0.25">
      <c r="A11" s="42"/>
      <c r="B11" s="18"/>
      <c r="C11" s="18"/>
      <c r="D11" s="50"/>
      <c r="E11" s="50"/>
      <c r="F11" s="19"/>
      <c r="G11" s="69">
        <f t="shared" si="0"/>
        <v>0</v>
      </c>
      <c r="H11" s="19"/>
      <c r="I11" s="67">
        <f t="shared" ref="I11:I54" si="2">ROUND((E11*F11)+(G11*H11),2)</f>
        <v>0</v>
      </c>
      <c r="J11" s="68" t="e">
        <f t="shared" si="1"/>
        <v>#DIV/0!</v>
      </c>
    </row>
    <row r="12" spans="1:10" x14ac:dyDescent="0.25">
      <c r="A12" s="30"/>
      <c r="B12" s="22"/>
      <c r="C12" s="22"/>
      <c r="D12" s="51"/>
      <c r="E12" s="51"/>
      <c r="F12" s="17"/>
      <c r="G12" s="69">
        <f t="shared" si="0"/>
        <v>0</v>
      </c>
      <c r="H12" s="17"/>
      <c r="I12" s="67">
        <f t="shared" si="2"/>
        <v>0</v>
      </c>
      <c r="J12" s="68" t="e">
        <f t="shared" si="1"/>
        <v>#DIV/0!</v>
      </c>
    </row>
    <row r="13" spans="1:10" s="41" customFormat="1" x14ac:dyDescent="0.25">
      <c r="A13" s="42"/>
      <c r="B13" s="18"/>
      <c r="C13" s="18"/>
      <c r="D13" s="50"/>
      <c r="E13" s="50"/>
      <c r="F13" s="19"/>
      <c r="G13" s="69">
        <f t="shared" si="0"/>
        <v>0</v>
      </c>
      <c r="H13" s="19"/>
      <c r="I13" s="67">
        <f t="shared" si="2"/>
        <v>0</v>
      </c>
      <c r="J13" s="68" t="e">
        <f t="shared" si="1"/>
        <v>#DIV/0!</v>
      </c>
    </row>
    <row r="14" spans="1:10" s="4" customFormat="1" x14ac:dyDescent="0.25">
      <c r="A14" s="30"/>
      <c r="B14" s="22"/>
      <c r="C14" s="22"/>
      <c r="D14" s="51"/>
      <c r="E14" s="51"/>
      <c r="F14" s="17"/>
      <c r="G14" s="69">
        <f t="shared" si="0"/>
        <v>0</v>
      </c>
      <c r="H14" s="17"/>
      <c r="I14" s="67">
        <f t="shared" si="2"/>
        <v>0</v>
      </c>
      <c r="J14" s="68" t="e">
        <f t="shared" si="1"/>
        <v>#DIV/0!</v>
      </c>
    </row>
    <row r="15" spans="1:10" s="41" customFormat="1" x14ac:dyDescent="0.25">
      <c r="A15" s="42"/>
      <c r="B15" s="18"/>
      <c r="C15" s="18"/>
      <c r="D15" s="50"/>
      <c r="E15" s="50"/>
      <c r="F15" s="19"/>
      <c r="G15" s="69">
        <f t="shared" si="0"/>
        <v>0</v>
      </c>
      <c r="H15" s="19"/>
      <c r="I15" s="67">
        <f t="shared" si="2"/>
        <v>0</v>
      </c>
      <c r="J15" s="68" t="e">
        <f t="shared" si="1"/>
        <v>#DIV/0!</v>
      </c>
    </row>
    <row r="16" spans="1:10" s="4" customFormat="1" x14ac:dyDescent="0.25">
      <c r="A16" s="55"/>
      <c r="B16" s="22"/>
      <c r="C16" s="22"/>
      <c r="D16" s="51"/>
      <c r="E16" s="51"/>
      <c r="F16" s="17"/>
      <c r="G16" s="69">
        <f t="shared" si="0"/>
        <v>0</v>
      </c>
      <c r="H16" s="17"/>
      <c r="I16" s="67">
        <f t="shared" si="2"/>
        <v>0</v>
      </c>
      <c r="J16" s="68" t="e">
        <f t="shared" si="1"/>
        <v>#DIV/0!</v>
      </c>
    </row>
    <row r="17" spans="1:10" s="41" customFormat="1" x14ac:dyDescent="0.25">
      <c r="A17" s="42"/>
      <c r="B17" s="18"/>
      <c r="C17" s="18"/>
      <c r="D17" s="50"/>
      <c r="E17" s="50"/>
      <c r="F17" s="19"/>
      <c r="G17" s="69">
        <f t="shared" si="0"/>
        <v>0</v>
      </c>
      <c r="H17" s="19"/>
      <c r="I17" s="67">
        <f t="shared" si="2"/>
        <v>0</v>
      </c>
      <c r="J17" s="68" t="e">
        <f t="shared" si="1"/>
        <v>#DIV/0!</v>
      </c>
    </row>
    <row r="18" spans="1:10" s="4" customFormat="1" x14ac:dyDescent="0.25">
      <c r="A18" s="30"/>
      <c r="B18" s="22"/>
      <c r="C18" s="22"/>
      <c r="D18" s="51"/>
      <c r="E18" s="51"/>
      <c r="F18" s="17"/>
      <c r="G18" s="69">
        <f t="shared" si="0"/>
        <v>0</v>
      </c>
      <c r="H18" s="17"/>
      <c r="I18" s="67">
        <f t="shared" si="2"/>
        <v>0</v>
      </c>
      <c r="J18" s="68" t="e">
        <f t="shared" si="1"/>
        <v>#DIV/0!</v>
      </c>
    </row>
    <row r="19" spans="1:10" s="41" customFormat="1" x14ac:dyDescent="0.25">
      <c r="A19" s="42"/>
      <c r="B19" s="18"/>
      <c r="C19" s="18"/>
      <c r="D19" s="50"/>
      <c r="E19" s="50"/>
      <c r="F19" s="19"/>
      <c r="G19" s="69">
        <f t="shared" si="0"/>
        <v>0</v>
      </c>
      <c r="H19" s="19"/>
      <c r="I19" s="67">
        <f t="shared" si="2"/>
        <v>0</v>
      </c>
      <c r="J19" s="68" t="e">
        <f t="shared" si="1"/>
        <v>#DIV/0!</v>
      </c>
    </row>
    <row r="20" spans="1:10" s="4" customFormat="1" x14ac:dyDescent="0.25">
      <c r="A20" s="55"/>
      <c r="B20" s="22"/>
      <c r="C20" s="22"/>
      <c r="D20" s="51"/>
      <c r="E20" s="51"/>
      <c r="F20" s="17"/>
      <c r="G20" s="69">
        <f t="shared" si="0"/>
        <v>0</v>
      </c>
      <c r="H20" s="17"/>
      <c r="I20" s="67">
        <f t="shared" si="2"/>
        <v>0</v>
      </c>
      <c r="J20" s="68" t="e">
        <f t="shared" si="1"/>
        <v>#DIV/0!</v>
      </c>
    </row>
    <row r="21" spans="1:10" s="21" customFormat="1" x14ac:dyDescent="0.25">
      <c r="A21" s="42"/>
      <c r="B21" s="18"/>
      <c r="C21" s="18"/>
      <c r="D21" s="50"/>
      <c r="E21" s="50"/>
      <c r="F21" s="19"/>
      <c r="G21" s="69">
        <f t="shared" si="0"/>
        <v>0</v>
      </c>
      <c r="H21" s="19"/>
      <c r="I21" s="67">
        <f t="shared" si="2"/>
        <v>0</v>
      </c>
      <c r="J21" s="68" t="e">
        <f t="shared" si="1"/>
        <v>#DIV/0!</v>
      </c>
    </row>
    <row r="22" spans="1:10" x14ac:dyDescent="0.25">
      <c r="A22" s="55"/>
      <c r="B22" s="22"/>
      <c r="C22" s="22"/>
      <c r="D22" s="51"/>
      <c r="E22" s="51"/>
      <c r="F22" s="17"/>
      <c r="G22" s="69">
        <f t="shared" si="0"/>
        <v>0</v>
      </c>
      <c r="H22" s="17"/>
      <c r="I22" s="67">
        <f t="shared" si="2"/>
        <v>0</v>
      </c>
      <c r="J22" s="68" t="e">
        <f t="shared" si="1"/>
        <v>#DIV/0!</v>
      </c>
    </row>
    <row r="23" spans="1:10" s="21" customFormat="1" x14ac:dyDescent="0.25">
      <c r="A23" s="42"/>
      <c r="B23" s="18"/>
      <c r="C23" s="18"/>
      <c r="D23" s="50"/>
      <c r="E23" s="50"/>
      <c r="F23" s="19"/>
      <c r="G23" s="69">
        <f t="shared" si="0"/>
        <v>0</v>
      </c>
      <c r="H23" s="19"/>
      <c r="I23" s="67">
        <f t="shared" si="2"/>
        <v>0</v>
      </c>
      <c r="J23" s="68" t="e">
        <f t="shared" si="1"/>
        <v>#DIV/0!</v>
      </c>
    </row>
    <row r="24" spans="1:10" x14ac:dyDescent="0.25">
      <c r="A24" s="55"/>
      <c r="B24" s="22"/>
      <c r="C24" s="22"/>
      <c r="D24" s="51"/>
      <c r="E24" s="51"/>
      <c r="F24" s="17"/>
      <c r="G24" s="69">
        <f t="shared" si="0"/>
        <v>0</v>
      </c>
      <c r="H24" s="17"/>
      <c r="I24" s="67">
        <f t="shared" si="2"/>
        <v>0</v>
      </c>
      <c r="J24" s="68" t="e">
        <f t="shared" si="1"/>
        <v>#DIV/0!</v>
      </c>
    </row>
    <row r="25" spans="1:10" s="21" customFormat="1" x14ac:dyDescent="0.25">
      <c r="A25" s="42"/>
      <c r="B25" s="18"/>
      <c r="C25" s="18"/>
      <c r="D25" s="50"/>
      <c r="E25" s="50"/>
      <c r="F25" s="19"/>
      <c r="G25" s="69">
        <f t="shared" si="0"/>
        <v>0</v>
      </c>
      <c r="H25" s="19"/>
      <c r="I25" s="67">
        <f t="shared" si="2"/>
        <v>0</v>
      </c>
      <c r="J25" s="68" t="e">
        <f t="shared" si="1"/>
        <v>#DIV/0!</v>
      </c>
    </row>
    <row r="26" spans="1:10" x14ac:dyDescent="0.25">
      <c r="A26" s="30"/>
      <c r="B26" s="22"/>
      <c r="C26" s="22"/>
      <c r="D26" s="51"/>
      <c r="E26" s="51"/>
      <c r="F26" s="17"/>
      <c r="G26" s="69">
        <f t="shared" si="0"/>
        <v>0</v>
      </c>
      <c r="H26" s="17"/>
      <c r="I26" s="67">
        <f t="shared" si="2"/>
        <v>0</v>
      </c>
      <c r="J26" s="68" t="e">
        <f t="shared" si="1"/>
        <v>#DIV/0!</v>
      </c>
    </row>
    <row r="27" spans="1:10" s="21" customFormat="1" x14ac:dyDescent="0.25">
      <c r="A27" s="31"/>
      <c r="B27" s="18"/>
      <c r="C27" s="18"/>
      <c r="D27" s="50"/>
      <c r="E27" s="50"/>
      <c r="F27" s="19"/>
      <c r="G27" s="69">
        <f t="shared" si="0"/>
        <v>0</v>
      </c>
      <c r="H27" s="19"/>
      <c r="I27" s="67">
        <f t="shared" si="2"/>
        <v>0</v>
      </c>
      <c r="J27" s="68" t="e">
        <f t="shared" si="1"/>
        <v>#DIV/0!</v>
      </c>
    </row>
    <row r="28" spans="1:10" x14ac:dyDescent="0.25">
      <c r="A28" s="30"/>
      <c r="B28" s="22"/>
      <c r="C28" s="22"/>
      <c r="D28" s="51"/>
      <c r="E28" s="51"/>
      <c r="F28" s="17"/>
      <c r="G28" s="69">
        <f t="shared" si="0"/>
        <v>0</v>
      </c>
      <c r="H28" s="17"/>
      <c r="I28" s="67">
        <f t="shared" si="2"/>
        <v>0</v>
      </c>
      <c r="J28" s="68" t="e">
        <f t="shared" si="1"/>
        <v>#DIV/0!</v>
      </c>
    </row>
    <row r="29" spans="1:10" s="21" customFormat="1" x14ac:dyDescent="0.25">
      <c r="A29" s="31"/>
      <c r="B29" s="18"/>
      <c r="C29" s="18"/>
      <c r="D29" s="50"/>
      <c r="E29" s="50"/>
      <c r="F29" s="19"/>
      <c r="G29" s="69">
        <f t="shared" si="0"/>
        <v>0</v>
      </c>
      <c r="H29" s="19"/>
      <c r="I29" s="67">
        <f t="shared" si="2"/>
        <v>0</v>
      </c>
      <c r="J29" s="68" t="e">
        <f t="shared" si="1"/>
        <v>#DIV/0!</v>
      </c>
    </row>
    <row r="30" spans="1:10" x14ac:dyDescent="0.25">
      <c r="A30" s="30"/>
      <c r="B30" s="22"/>
      <c r="C30" s="22"/>
      <c r="D30" s="51"/>
      <c r="E30" s="51"/>
      <c r="F30" s="22"/>
      <c r="G30" s="69">
        <f t="shared" si="0"/>
        <v>0</v>
      </c>
      <c r="H30" s="22"/>
      <c r="I30" s="67">
        <f t="shared" si="2"/>
        <v>0</v>
      </c>
      <c r="J30" s="68" t="e">
        <f t="shared" si="1"/>
        <v>#DIV/0!</v>
      </c>
    </row>
    <row r="31" spans="1:10" s="21" customFormat="1" x14ac:dyDescent="0.25">
      <c r="A31" s="31"/>
      <c r="B31" s="18"/>
      <c r="C31" s="18"/>
      <c r="D31" s="50"/>
      <c r="E31" s="50"/>
      <c r="F31" s="18"/>
      <c r="G31" s="69">
        <f t="shared" si="0"/>
        <v>0</v>
      </c>
      <c r="H31" s="19"/>
      <c r="I31" s="67">
        <f t="shared" si="2"/>
        <v>0</v>
      </c>
      <c r="J31" s="68" t="e">
        <f t="shared" si="1"/>
        <v>#DIV/0!</v>
      </c>
    </row>
    <row r="32" spans="1:10" x14ac:dyDescent="0.25">
      <c r="A32" s="30"/>
      <c r="B32" s="22"/>
      <c r="C32" s="22"/>
      <c r="D32" s="51"/>
      <c r="E32" s="51"/>
      <c r="F32" s="17"/>
      <c r="G32" s="69">
        <f t="shared" si="0"/>
        <v>0</v>
      </c>
      <c r="H32" s="17"/>
      <c r="I32" s="67">
        <f t="shared" si="2"/>
        <v>0</v>
      </c>
      <c r="J32" s="68" t="e">
        <f t="shared" si="1"/>
        <v>#DIV/0!</v>
      </c>
    </row>
    <row r="33" spans="1:10" s="21" customFormat="1" x14ac:dyDescent="0.25">
      <c r="A33" s="31"/>
      <c r="B33" s="18"/>
      <c r="C33" s="18"/>
      <c r="D33" s="50"/>
      <c r="E33" s="50"/>
      <c r="F33" s="19"/>
      <c r="G33" s="69">
        <f t="shared" si="0"/>
        <v>0</v>
      </c>
      <c r="H33" s="19"/>
      <c r="I33" s="67">
        <f t="shared" si="2"/>
        <v>0</v>
      </c>
      <c r="J33" s="68" t="e">
        <f t="shared" si="1"/>
        <v>#DIV/0!</v>
      </c>
    </row>
    <row r="34" spans="1:10" x14ac:dyDescent="0.25">
      <c r="A34" s="30"/>
      <c r="B34" s="22"/>
      <c r="C34" s="22"/>
      <c r="D34" s="51"/>
      <c r="E34" s="51"/>
      <c r="F34" s="22"/>
      <c r="G34" s="69">
        <f t="shared" si="0"/>
        <v>0</v>
      </c>
      <c r="H34" s="22"/>
      <c r="I34" s="67">
        <f t="shared" si="2"/>
        <v>0</v>
      </c>
      <c r="J34" s="68" t="e">
        <f t="shared" si="1"/>
        <v>#DIV/0!</v>
      </c>
    </row>
    <row r="35" spans="1:10" s="21" customFormat="1" x14ac:dyDescent="0.25">
      <c r="A35" s="31"/>
      <c r="B35" s="18"/>
      <c r="C35" s="18"/>
      <c r="D35" s="50"/>
      <c r="E35" s="50"/>
      <c r="F35" s="19"/>
      <c r="G35" s="69">
        <f t="shared" si="0"/>
        <v>0</v>
      </c>
      <c r="H35" s="19"/>
      <c r="I35" s="67">
        <f t="shared" si="2"/>
        <v>0</v>
      </c>
      <c r="J35" s="68" t="e">
        <f t="shared" si="1"/>
        <v>#DIV/0!</v>
      </c>
    </row>
    <row r="36" spans="1:10" x14ac:dyDescent="0.25">
      <c r="A36" s="30"/>
      <c r="B36" s="22"/>
      <c r="C36" s="22"/>
      <c r="D36" s="51"/>
      <c r="E36" s="51"/>
      <c r="F36" s="22"/>
      <c r="G36" s="69">
        <f t="shared" si="0"/>
        <v>0</v>
      </c>
      <c r="H36" s="22"/>
      <c r="I36" s="67">
        <f t="shared" si="2"/>
        <v>0</v>
      </c>
      <c r="J36" s="68" t="e">
        <f t="shared" si="1"/>
        <v>#DIV/0!</v>
      </c>
    </row>
    <row r="37" spans="1:10" s="21" customFormat="1" x14ac:dyDescent="0.25">
      <c r="A37" s="37"/>
      <c r="B37" s="18"/>
      <c r="C37" s="18"/>
      <c r="D37" s="50"/>
      <c r="E37" s="50"/>
      <c r="F37" s="19"/>
      <c r="G37" s="69">
        <f t="shared" si="0"/>
        <v>0</v>
      </c>
      <c r="H37" s="19"/>
      <c r="I37" s="67">
        <f t="shared" si="2"/>
        <v>0</v>
      </c>
      <c r="J37" s="68" t="e">
        <f t="shared" si="1"/>
        <v>#DIV/0!</v>
      </c>
    </row>
    <row r="38" spans="1:10" x14ac:dyDescent="0.25">
      <c r="A38" s="54"/>
      <c r="B38" s="22"/>
      <c r="C38" s="22"/>
      <c r="D38" s="51"/>
      <c r="E38" s="51"/>
      <c r="F38" s="22"/>
      <c r="G38" s="69">
        <f t="shared" si="0"/>
        <v>0</v>
      </c>
      <c r="H38" s="22"/>
      <c r="I38" s="67">
        <f t="shared" si="2"/>
        <v>0</v>
      </c>
      <c r="J38" s="68" t="e">
        <f t="shared" si="1"/>
        <v>#DIV/0!</v>
      </c>
    </row>
    <row r="39" spans="1:10" s="53" customFormat="1" x14ac:dyDescent="0.25">
      <c r="A39" s="31"/>
      <c r="B39" s="18"/>
      <c r="C39" s="18"/>
      <c r="D39" s="50"/>
      <c r="E39" s="50"/>
      <c r="F39" s="19"/>
      <c r="G39" s="69">
        <f t="shared" si="0"/>
        <v>0</v>
      </c>
      <c r="H39" s="19"/>
      <c r="I39" s="67">
        <f t="shared" si="2"/>
        <v>0</v>
      </c>
      <c r="J39" s="68" t="e">
        <f t="shared" si="1"/>
        <v>#DIV/0!</v>
      </c>
    </row>
    <row r="40" spans="1:10" x14ac:dyDescent="0.25">
      <c r="A40" s="30"/>
      <c r="B40" s="22"/>
      <c r="C40" s="22"/>
      <c r="D40" s="51"/>
      <c r="E40" s="51"/>
      <c r="F40" s="22"/>
      <c r="G40" s="69">
        <f t="shared" si="0"/>
        <v>0</v>
      </c>
      <c r="H40" s="22"/>
      <c r="I40" s="67">
        <f t="shared" si="2"/>
        <v>0</v>
      </c>
      <c r="J40" s="68" t="e">
        <f t="shared" si="1"/>
        <v>#DIV/0!</v>
      </c>
    </row>
    <row r="41" spans="1:10" s="21" customFormat="1" x14ac:dyDescent="0.25">
      <c r="A41" s="31"/>
      <c r="B41" s="18"/>
      <c r="C41" s="18"/>
      <c r="D41" s="50"/>
      <c r="E41" s="50"/>
      <c r="F41" s="19"/>
      <c r="G41" s="69">
        <f t="shared" si="0"/>
        <v>0</v>
      </c>
      <c r="H41" s="19"/>
      <c r="I41" s="67">
        <f t="shared" si="2"/>
        <v>0</v>
      </c>
      <c r="J41" s="68" t="e">
        <f t="shared" si="1"/>
        <v>#DIV/0!</v>
      </c>
    </row>
    <row r="42" spans="1:10" x14ac:dyDescent="0.25">
      <c r="A42" s="34"/>
      <c r="B42" s="22"/>
      <c r="C42" s="22"/>
      <c r="D42" s="22"/>
      <c r="E42" s="22"/>
      <c r="F42" s="22"/>
      <c r="G42" s="69">
        <f t="shared" si="0"/>
        <v>0</v>
      </c>
      <c r="H42" s="17"/>
      <c r="I42" s="67">
        <f t="shared" si="2"/>
        <v>0</v>
      </c>
      <c r="J42" s="68" t="e">
        <f t="shared" si="1"/>
        <v>#DIV/0!</v>
      </c>
    </row>
    <row r="43" spans="1:10" s="21" customFormat="1" x14ac:dyDescent="0.25">
      <c r="A43" s="31"/>
      <c r="B43" s="18"/>
      <c r="C43" s="18"/>
      <c r="D43" s="18"/>
      <c r="E43" s="18"/>
      <c r="F43" s="19"/>
      <c r="G43" s="69">
        <f t="shared" si="0"/>
        <v>0</v>
      </c>
      <c r="H43" s="19"/>
      <c r="I43" s="67">
        <f t="shared" si="2"/>
        <v>0</v>
      </c>
      <c r="J43" s="68" t="e">
        <f t="shared" si="1"/>
        <v>#DIV/0!</v>
      </c>
    </row>
    <row r="44" spans="1:10" x14ac:dyDescent="0.25">
      <c r="A44" s="54"/>
      <c r="B44" s="22"/>
      <c r="C44" s="22"/>
      <c r="D44" s="22"/>
      <c r="E44" s="22"/>
      <c r="F44" s="17"/>
      <c r="G44" s="69">
        <f t="shared" si="0"/>
        <v>0</v>
      </c>
      <c r="H44" s="17"/>
      <c r="I44" s="67">
        <f t="shared" si="2"/>
        <v>0</v>
      </c>
      <c r="J44" s="68" t="e">
        <f t="shared" si="1"/>
        <v>#DIV/0!</v>
      </c>
    </row>
    <row r="45" spans="1:10" s="21" customFormat="1" x14ac:dyDescent="0.25">
      <c r="A45" s="31"/>
      <c r="B45" s="18"/>
      <c r="C45" s="18"/>
      <c r="D45" s="18"/>
      <c r="E45" s="18"/>
      <c r="F45" s="19"/>
      <c r="G45" s="69">
        <f t="shared" si="0"/>
        <v>0</v>
      </c>
      <c r="H45" s="19"/>
      <c r="I45" s="67">
        <f t="shared" si="2"/>
        <v>0</v>
      </c>
      <c r="J45" s="68" t="e">
        <f t="shared" si="1"/>
        <v>#DIV/0!</v>
      </c>
    </row>
    <row r="46" spans="1:10" x14ac:dyDescent="0.25">
      <c r="A46" s="30"/>
      <c r="B46" s="22"/>
      <c r="C46" s="22"/>
      <c r="D46" s="22"/>
      <c r="E46" s="22"/>
      <c r="F46" s="17"/>
      <c r="G46" s="69">
        <f t="shared" si="0"/>
        <v>0</v>
      </c>
      <c r="H46" s="17"/>
      <c r="I46" s="67">
        <f t="shared" si="2"/>
        <v>0</v>
      </c>
      <c r="J46" s="68" t="e">
        <f t="shared" si="1"/>
        <v>#DIV/0!</v>
      </c>
    </row>
    <row r="47" spans="1:10" s="21" customFormat="1" x14ac:dyDescent="0.25">
      <c r="A47" s="31"/>
      <c r="B47" s="18"/>
      <c r="C47" s="18"/>
      <c r="D47" s="18"/>
      <c r="E47" s="18"/>
      <c r="F47" s="19"/>
      <c r="G47" s="69">
        <f t="shared" si="0"/>
        <v>0</v>
      </c>
      <c r="H47" s="19"/>
      <c r="I47" s="67">
        <f t="shared" si="2"/>
        <v>0</v>
      </c>
      <c r="J47" s="68" t="e">
        <f t="shared" si="1"/>
        <v>#DIV/0!</v>
      </c>
    </row>
    <row r="48" spans="1:10" x14ac:dyDescent="0.25">
      <c r="A48" s="30"/>
      <c r="B48" s="22"/>
      <c r="C48" s="22"/>
      <c r="D48" s="22"/>
      <c r="E48" s="22"/>
      <c r="F48" s="22"/>
      <c r="G48" s="69">
        <f t="shared" si="0"/>
        <v>0</v>
      </c>
      <c r="H48" s="22"/>
      <c r="I48" s="67">
        <f t="shared" si="2"/>
        <v>0</v>
      </c>
      <c r="J48" s="68" t="e">
        <f t="shared" si="1"/>
        <v>#DIV/0!</v>
      </c>
    </row>
    <row r="49" spans="1:10" s="21" customFormat="1" x14ac:dyDescent="0.25">
      <c r="A49" s="31"/>
      <c r="B49" s="18"/>
      <c r="C49" s="18"/>
      <c r="D49" s="18"/>
      <c r="E49" s="18"/>
      <c r="F49" s="19"/>
      <c r="G49" s="69">
        <f t="shared" si="0"/>
        <v>0</v>
      </c>
      <c r="H49" s="19"/>
      <c r="I49" s="67">
        <f t="shared" si="2"/>
        <v>0</v>
      </c>
      <c r="J49" s="68" t="e">
        <f t="shared" si="1"/>
        <v>#DIV/0!</v>
      </c>
    </row>
    <row r="50" spans="1:10" x14ac:dyDescent="0.25">
      <c r="A50" s="30"/>
      <c r="B50" s="22"/>
      <c r="C50" s="22"/>
      <c r="D50" s="22"/>
      <c r="E50" s="22"/>
      <c r="F50" s="22"/>
      <c r="G50" s="69">
        <f t="shared" si="0"/>
        <v>0</v>
      </c>
      <c r="H50" s="22"/>
      <c r="I50" s="67">
        <f t="shared" si="2"/>
        <v>0</v>
      </c>
      <c r="J50" s="68" t="e">
        <f t="shared" si="1"/>
        <v>#DIV/0!</v>
      </c>
    </row>
    <row r="51" spans="1:10" s="21" customFormat="1" x14ac:dyDescent="0.25">
      <c r="A51" s="31"/>
      <c r="B51" s="18"/>
      <c r="C51" s="18"/>
      <c r="D51" s="18"/>
      <c r="E51" s="18"/>
      <c r="F51" s="18"/>
      <c r="G51" s="69">
        <f t="shared" si="0"/>
        <v>0</v>
      </c>
      <c r="H51" s="18"/>
      <c r="I51" s="67">
        <f t="shared" si="2"/>
        <v>0</v>
      </c>
      <c r="J51" s="68" t="e">
        <f t="shared" si="1"/>
        <v>#DIV/0!</v>
      </c>
    </row>
    <row r="52" spans="1:10" s="4" customFormat="1" x14ac:dyDescent="0.25">
      <c r="A52" s="30"/>
      <c r="B52" s="22"/>
      <c r="C52" s="22"/>
      <c r="D52" s="22"/>
      <c r="E52" s="22"/>
      <c r="F52" s="22"/>
      <c r="G52" s="69">
        <f t="shared" si="0"/>
        <v>0</v>
      </c>
      <c r="H52" s="22"/>
      <c r="I52" s="67">
        <f t="shared" si="2"/>
        <v>0</v>
      </c>
      <c r="J52" s="68" t="e">
        <f t="shared" si="1"/>
        <v>#DIV/0!</v>
      </c>
    </row>
    <row r="53" spans="1:10" s="21" customFormat="1" x14ac:dyDescent="0.25">
      <c r="A53" s="35"/>
      <c r="B53" s="33"/>
      <c r="C53" s="33"/>
      <c r="D53" s="33"/>
      <c r="E53" s="33"/>
      <c r="F53" s="33"/>
      <c r="G53" s="69">
        <f t="shared" si="0"/>
        <v>0</v>
      </c>
      <c r="H53" s="33"/>
      <c r="I53" s="67">
        <f t="shared" si="2"/>
        <v>0</v>
      </c>
      <c r="J53" s="68" t="e">
        <f t="shared" si="1"/>
        <v>#DIV/0!</v>
      </c>
    </row>
    <row r="54" spans="1:10" x14ac:dyDescent="0.25">
      <c r="A54" s="34"/>
      <c r="B54" s="32"/>
      <c r="C54" s="32"/>
      <c r="D54" s="32"/>
      <c r="E54" s="32"/>
      <c r="F54" s="32"/>
      <c r="G54" s="69">
        <f t="shared" si="0"/>
        <v>0</v>
      </c>
      <c r="H54" s="32"/>
      <c r="I54" s="67">
        <f t="shared" si="2"/>
        <v>0</v>
      </c>
      <c r="J54" s="68" t="e">
        <f t="shared" si="1"/>
        <v>#DIV/0!</v>
      </c>
    </row>
  </sheetData>
  <mergeCells count="1">
    <mergeCell ref="H2:J2"/>
  </mergeCells>
  <pageMargins left="0.7" right="0.7" top="0.75" bottom="0.75" header="0.3" footer="0.3"/>
  <pageSetup scale="86" orientation="portrait" horizontalDpi="300" verticalDpi="300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0894-6FBA-41EE-8D1B-03A0E54F4465}">
  <dimension ref="A2:B2"/>
  <sheetViews>
    <sheetView workbookViewId="0">
      <selection activeCell="I20" sqref="I20"/>
    </sheetView>
  </sheetViews>
  <sheetFormatPr defaultRowHeight="15" x14ac:dyDescent="0.25"/>
  <cols>
    <col min="1" max="1" width="22.5703125" customWidth="1"/>
  </cols>
  <sheetData>
    <row r="2" spans="1:2" x14ac:dyDescent="0.25">
      <c r="A2" t="s">
        <v>32</v>
      </c>
      <c r="B2" s="29">
        <v>43647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Weighted Runoff Coefficient</vt:lpstr>
      <vt:lpstr>Time of Concentration</vt:lpstr>
      <vt:lpstr>Rational Method</vt:lpstr>
      <vt:lpstr>Tables</vt:lpstr>
      <vt:lpstr>'Rational Method'!Print_Area</vt:lpstr>
      <vt:lpstr>'Time of Concentration'!Print_Area</vt:lpstr>
      <vt:lpstr>'Weighted Runoff Coefficient'!Print_Area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Hillegass</dc:creator>
  <cp:keywords/>
  <dc:description/>
  <cp:lastModifiedBy>Kayla Hillegass</cp:lastModifiedBy>
  <cp:revision/>
  <dcterms:created xsi:type="dcterms:W3CDTF">2019-07-23T22:31:00Z</dcterms:created>
  <dcterms:modified xsi:type="dcterms:W3CDTF">2025-10-17T20:24:49Z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