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465264\"/>
    </mc:Choice>
  </mc:AlternateContent>
  <xr:revisionPtr revIDLastSave="0" documentId="13_ncr:1_{FD299B94-A309-4737-B6D2-9156213F9D4F}" xr6:coauthVersionLast="47" xr6:coauthVersionMax="47" xr10:uidLastSave="{00000000-0000-0000-0000-000000000000}"/>
  <bookViews>
    <workbookView xWindow="-28920" yWindow="1680" windowWidth="29040" windowHeight="15720" tabRatio="809" activeTab="6" xr2:uid="{00000000-000D-0000-FFFF-FFFF00000000}"/>
  </bookViews>
  <sheets>
    <sheet name="SUP Pavement Part 1" sheetId="4" r:id="rId1"/>
    <sheet name="SUP Pavement Part 2" sheetId="7" r:id="rId2"/>
    <sheet name="US 6-Perkins Pavement 1" sheetId="10" r:id="rId3"/>
    <sheet name="US 6-Perkins Pavement 2" sheetId="12" r:id="rId4"/>
    <sheet name="US 6-Camp Pavement 1" sheetId="11" r:id="rId5"/>
    <sheet name="US 6-Camp Pavement 2" sheetId="13" r:id="rId6"/>
    <sheet name="Pavement SubSummary" sheetId="6" r:id="rId7"/>
    <sheet name="Example" sheetId="8" r:id="rId8"/>
    <sheet name="PAVEMENT CALCS EXAMPLE" sheetId="1" r:id="rId9"/>
  </sheets>
  <externalReferences>
    <externalReference r:id="rId10"/>
  </externalReferences>
  <definedNames>
    <definedName name="_xlnm._FilterDatabase" localSheetId="7" hidden="1">Example!$H$28:$AB$121</definedName>
    <definedName name="_xlnm._FilterDatabase" localSheetId="8" hidden="1">'PAVEMENT CALCS EXAMPLE'!$H$28:$X$78</definedName>
    <definedName name="_xlnm._FilterDatabase" localSheetId="6" hidden="1">'Pavement SubSummary'!$G$28:$AA$78</definedName>
    <definedName name="_xlnm._FilterDatabase" localSheetId="0" hidden="1">'SUP Pavement Part 1'!$H$28:$AC$86</definedName>
    <definedName name="_xlnm._FilterDatabase" localSheetId="1" hidden="1">'SUP Pavement Part 2'!$H$28:$AC$72</definedName>
    <definedName name="_xlnm._FilterDatabase" localSheetId="4" hidden="1">'US 6-Camp Pavement 1'!$H$28:$AA$87</definedName>
    <definedName name="_xlnm._FilterDatabase" localSheetId="5" hidden="1">'US 6-Camp Pavement 2'!$H$28:$AA$87</definedName>
    <definedName name="_xlnm._FilterDatabase" localSheetId="2" hidden="1">'US 6-Perkins Pavement 1'!$H$28:$AA$82</definedName>
    <definedName name="_xlnm._FilterDatabase" localSheetId="3" hidden="1">'US 6-Perkins Pavement 2'!$H$28:$AA$83</definedName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2" i="6" l="1"/>
  <c r="H133" i="6"/>
  <c r="H128" i="6"/>
  <c r="H129" i="6"/>
  <c r="H120" i="6"/>
  <c r="H121" i="6"/>
  <c r="AA116" i="6"/>
  <c r="AA117" i="6"/>
  <c r="AA112" i="6"/>
  <c r="AA113" i="6"/>
  <c r="F132" i="6"/>
  <c r="L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F133" i="6"/>
  <c r="L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F128" i="6"/>
  <c r="L128" i="6"/>
  <c r="N128" i="6"/>
  <c r="O128" i="6"/>
  <c r="P128" i="6"/>
  <c r="Q128" i="6"/>
  <c r="R128" i="6"/>
  <c r="S128" i="6"/>
  <c r="T128" i="6"/>
  <c r="U128" i="6"/>
  <c r="V128" i="6"/>
  <c r="W128" i="6"/>
  <c r="X128" i="6"/>
  <c r="Z128" i="6"/>
  <c r="AA128" i="6"/>
  <c r="F129" i="6"/>
  <c r="L129" i="6"/>
  <c r="N129" i="6"/>
  <c r="O129" i="6"/>
  <c r="P129" i="6"/>
  <c r="Q129" i="6"/>
  <c r="R129" i="6"/>
  <c r="S129" i="6"/>
  <c r="T129" i="6"/>
  <c r="U129" i="6"/>
  <c r="V129" i="6"/>
  <c r="W129" i="6"/>
  <c r="X129" i="6"/>
  <c r="Z129" i="6"/>
  <c r="AA129" i="6"/>
  <c r="L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L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F124" i="6"/>
  <c r="H124" i="6"/>
  <c r="F125" i="6"/>
  <c r="H125" i="6"/>
  <c r="F120" i="6"/>
  <c r="L120" i="6"/>
  <c r="N120" i="6"/>
  <c r="O120" i="6"/>
  <c r="P120" i="6"/>
  <c r="Q120" i="6"/>
  <c r="R120" i="6"/>
  <c r="S120" i="6"/>
  <c r="T120" i="6"/>
  <c r="U120" i="6"/>
  <c r="V120" i="6"/>
  <c r="W120" i="6"/>
  <c r="X120" i="6"/>
  <c r="Z120" i="6"/>
  <c r="F121" i="6"/>
  <c r="L121" i="6"/>
  <c r="N121" i="6"/>
  <c r="O121" i="6"/>
  <c r="P121" i="6"/>
  <c r="Q121" i="6"/>
  <c r="R121" i="6"/>
  <c r="S121" i="6"/>
  <c r="T121" i="6"/>
  <c r="U121" i="6"/>
  <c r="V121" i="6"/>
  <c r="W121" i="6"/>
  <c r="X121" i="6"/>
  <c r="Z121" i="6"/>
  <c r="Z116" i="6"/>
  <c r="Z117" i="6"/>
  <c r="X116" i="6"/>
  <c r="X117" i="6"/>
  <c r="F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F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F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Z112" i="6"/>
  <c r="F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Z113" i="6"/>
  <c r="M97" i="13"/>
  <c r="N97" i="13"/>
  <c r="O97" i="13"/>
  <c r="P97" i="13"/>
  <c r="Q97" i="13"/>
  <c r="R97" i="13"/>
  <c r="S97" i="13"/>
  <c r="T97" i="13"/>
  <c r="U97" i="13"/>
  <c r="V97" i="13"/>
  <c r="W97" i="13"/>
  <c r="X97" i="13"/>
  <c r="X99" i="13" s="1"/>
  <c r="Y97" i="13"/>
  <c r="Z97" i="13"/>
  <c r="AA97" i="13"/>
  <c r="AB97" i="13"/>
  <c r="AC97" i="13"/>
  <c r="M98" i="13"/>
  <c r="M99" i="13" s="1"/>
  <c r="N98" i="13"/>
  <c r="O98" i="13"/>
  <c r="O99" i="13" s="1"/>
  <c r="P98" i="13"/>
  <c r="Q98" i="13"/>
  <c r="R98" i="13"/>
  <c r="S98" i="13"/>
  <c r="S99" i="13" s="1"/>
  <c r="T98" i="13"/>
  <c r="U98" i="13"/>
  <c r="U99" i="13" s="1"/>
  <c r="V98" i="13"/>
  <c r="W98" i="13"/>
  <c r="W99" i="13" s="1"/>
  <c r="X98" i="13"/>
  <c r="Y98" i="13"/>
  <c r="Y99" i="13" s="1"/>
  <c r="Z98" i="13"/>
  <c r="AA98" i="13"/>
  <c r="AA99" i="13" s="1"/>
  <c r="AB98" i="13"/>
  <c r="AC98" i="13"/>
  <c r="N99" i="13"/>
  <c r="P99" i="13"/>
  <c r="Q99" i="13"/>
  <c r="R99" i="13"/>
  <c r="T99" i="13"/>
  <c r="V99" i="13"/>
  <c r="Z99" i="13"/>
  <c r="AB99" i="13"/>
  <c r="AC99" i="13"/>
  <c r="L98" i="13"/>
  <c r="L97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38" i="13"/>
  <c r="K39" i="13"/>
  <c r="K40" i="13"/>
  <c r="K31" i="13"/>
  <c r="K32" i="13"/>
  <c r="K33" i="13"/>
  <c r="K34" i="13"/>
  <c r="K35" i="13"/>
  <c r="K36" i="13"/>
  <c r="K37" i="13"/>
  <c r="K30" i="13"/>
  <c r="R103" i="11"/>
  <c r="R102" i="11"/>
  <c r="Q95" i="11"/>
  <c r="R95" i="11"/>
  <c r="S95" i="11"/>
  <c r="T95" i="11"/>
  <c r="U95" i="11"/>
  <c r="V95" i="11"/>
  <c r="W95" i="11"/>
  <c r="X95" i="11"/>
  <c r="Y95" i="11"/>
  <c r="Z95" i="11"/>
  <c r="AA95" i="11"/>
  <c r="AB95" i="11"/>
  <c r="AB97" i="11" s="1"/>
  <c r="AC95" i="11"/>
  <c r="Q96" i="11"/>
  <c r="R96" i="11"/>
  <c r="S96" i="11"/>
  <c r="S97" i="11" s="1"/>
  <c r="T96" i="11"/>
  <c r="U96" i="11"/>
  <c r="U97" i="11" s="1"/>
  <c r="V96" i="11"/>
  <c r="W96" i="11"/>
  <c r="X96" i="11"/>
  <c r="X97" i="11" s="1"/>
  <c r="Y96" i="11"/>
  <c r="Z96" i="11"/>
  <c r="AA96" i="11"/>
  <c r="AA97" i="11" s="1"/>
  <c r="AB96" i="11"/>
  <c r="AC96" i="11"/>
  <c r="AC97" i="11" s="1"/>
  <c r="Q97" i="11"/>
  <c r="R97" i="11"/>
  <c r="T97" i="11"/>
  <c r="V97" i="11"/>
  <c r="W97" i="11"/>
  <c r="Y97" i="11"/>
  <c r="Z97" i="11"/>
  <c r="M97" i="11"/>
  <c r="L97" i="11"/>
  <c r="L96" i="11"/>
  <c r="L95" i="11"/>
  <c r="N95" i="11"/>
  <c r="N97" i="11" s="1"/>
  <c r="O95" i="11"/>
  <c r="O97" i="11" s="1"/>
  <c r="P95" i="11"/>
  <c r="P97" i="11" s="1"/>
  <c r="N96" i="11"/>
  <c r="O96" i="11"/>
  <c r="P96" i="11"/>
  <c r="M96" i="11"/>
  <c r="M95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31" i="11"/>
  <c r="K32" i="11"/>
  <c r="K33" i="11"/>
  <c r="K30" i="11"/>
  <c r="M99" i="6" l="1"/>
  <c r="Y99" i="6"/>
  <c r="R100" i="6"/>
  <c r="R91" i="6" s="1"/>
  <c r="H100" i="6"/>
  <c r="H91" i="6" s="1"/>
  <c r="N99" i="6"/>
  <c r="Z99" i="6"/>
  <c r="S100" i="6"/>
  <c r="S91" i="6" s="1"/>
  <c r="P100" i="6"/>
  <c r="P91" i="6" s="1"/>
  <c r="X99" i="6"/>
  <c r="O99" i="6"/>
  <c r="AA99" i="6"/>
  <c r="T100" i="6"/>
  <c r="T91" i="6" s="1"/>
  <c r="K99" i="6"/>
  <c r="H99" i="6"/>
  <c r="P99" i="6"/>
  <c r="I100" i="6"/>
  <c r="I91" i="6" s="1"/>
  <c r="U100" i="6"/>
  <c r="U91" i="6" s="1"/>
  <c r="L99" i="6"/>
  <c r="Q99" i="6"/>
  <c r="J100" i="6"/>
  <c r="J91" i="6" s="1"/>
  <c r="V100" i="6"/>
  <c r="V91" i="6" s="1"/>
  <c r="Q100" i="6"/>
  <c r="Q91" i="6" s="1"/>
  <c r="R99" i="6"/>
  <c r="K100" i="6"/>
  <c r="K91" i="6" s="1"/>
  <c r="W100" i="6"/>
  <c r="W91" i="6" s="1"/>
  <c r="W99" i="6"/>
  <c r="S99" i="6"/>
  <c r="L100" i="6"/>
  <c r="L91" i="6" s="1"/>
  <c r="X100" i="6"/>
  <c r="X91" i="6" s="1"/>
  <c r="T99" i="6"/>
  <c r="M100" i="6"/>
  <c r="M91" i="6" s="1"/>
  <c r="Y100" i="6"/>
  <c r="Y91" i="6" s="1"/>
  <c r="I99" i="6"/>
  <c r="U99" i="6"/>
  <c r="N100" i="6"/>
  <c r="N91" i="6" s="1"/>
  <c r="Z100" i="6"/>
  <c r="Z91" i="6" s="1"/>
  <c r="J99" i="6"/>
  <c r="V99" i="6"/>
  <c r="O100" i="6"/>
  <c r="O91" i="6" s="1"/>
  <c r="AA100" i="6"/>
  <c r="AA91" i="6" s="1"/>
  <c r="L99" i="13"/>
  <c r="L102" i="6" l="1"/>
  <c r="R90" i="6"/>
  <c r="R102" i="6"/>
  <c r="AA90" i="6"/>
  <c r="AA102" i="6"/>
  <c r="O90" i="6"/>
  <c r="O102" i="6"/>
  <c r="I102" i="6"/>
  <c r="I90" i="6"/>
  <c r="X102" i="6"/>
  <c r="X90" i="6"/>
  <c r="Q90" i="6"/>
  <c r="Q102" i="6"/>
  <c r="T90" i="6"/>
  <c r="T102" i="6"/>
  <c r="L90" i="6"/>
  <c r="Z90" i="6"/>
  <c r="Z102" i="6"/>
  <c r="N90" i="6"/>
  <c r="N102" i="6"/>
  <c r="S102" i="6"/>
  <c r="S90" i="6"/>
  <c r="P90" i="6"/>
  <c r="P102" i="6"/>
  <c r="U102" i="6"/>
  <c r="U90" i="6"/>
  <c r="V102" i="6"/>
  <c r="V90" i="6"/>
  <c r="W102" i="6"/>
  <c r="W90" i="6"/>
  <c r="H102" i="6"/>
  <c r="H90" i="6"/>
  <c r="Y90" i="6"/>
  <c r="Y102" i="6"/>
  <c r="J102" i="6"/>
  <c r="J90" i="6"/>
  <c r="K102" i="6"/>
  <c r="K90" i="6"/>
  <c r="M90" i="6"/>
  <c r="M102" i="6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L9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31" i="12"/>
  <c r="K32" i="12"/>
  <c r="K33" i="12"/>
  <c r="K34" i="12"/>
  <c r="K35" i="12"/>
  <c r="K36" i="12"/>
  <c r="K30" i="12"/>
  <c r="Q95" i="10"/>
  <c r="R95" i="10"/>
  <c r="T95" i="10"/>
  <c r="U95" i="10"/>
  <c r="V95" i="10"/>
  <c r="W95" i="10"/>
  <c r="X95" i="10"/>
  <c r="Z95" i="10"/>
  <c r="AA95" i="10"/>
  <c r="AB95" i="10"/>
  <c r="AC95" i="10"/>
  <c r="L95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30" i="10"/>
  <c r="K31" i="10"/>
  <c r="K32" i="10"/>
  <c r="K33" i="10"/>
  <c r="K34" i="10"/>
  <c r="K35" i="10"/>
  <c r="K36" i="10"/>
  <c r="K37" i="10"/>
  <c r="M94" i="12" l="1"/>
  <c r="N94" i="12"/>
  <c r="O94" i="12"/>
  <c r="P94" i="12"/>
  <c r="Q94" i="12"/>
  <c r="R94" i="12"/>
  <c r="S94" i="12"/>
  <c r="T94" i="12"/>
  <c r="U94" i="12"/>
  <c r="V94" i="12"/>
  <c r="W94" i="12"/>
  <c r="X94" i="12"/>
  <c r="Y94" i="12"/>
  <c r="Z94" i="12"/>
  <c r="AA94" i="12"/>
  <c r="AB94" i="12"/>
  <c r="AC94" i="12"/>
  <c r="M95" i="12"/>
  <c r="N95" i="12"/>
  <c r="O95" i="12"/>
  <c r="P95" i="12"/>
  <c r="Q95" i="12"/>
  <c r="R95" i="12"/>
  <c r="S95" i="12"/>
  <c r="T95" i="12"/>
  <c r="U95" i="12"/>
  <c r="V95" i="12"/>
  <c r="W95" i="12"/>
  <c r="X95" i="12"/>
  <c r="Y95" i="12"/>
  <c r="Z95" i="12"/>
  <c r="AA95" i="12"/>
  <c r="AB95" i="12"/>
  <c r="AC95" i="12"/>
  <c r="L95" i="12"/>
  <c r="L94" i="12"/>
  <c r="Q93" i="10"/>
  <c r="R93" i="10"/>
  <c r="T93" i="10"/>
  <c r="U93" i="10"/>
  <c r="V93" i="10"/>
  <c r="W93" i="10"/>
  <c r="X93" i="10"/>
  <c r="Z93" i="10"/>
  <c r="AA93" i="10"/>
  <c r="AB93" i="10"/>
  <c r="AC93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L94" i="10"/>
  <c r="L93" i="10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L94" i="7"/>
  <c r="L93" i="7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L96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L97" i="4"/>
  <c r="K31" i="7"/>
  <c r="K33" i="7"/>
  <c r="K34" i="7"/>
  <c r="K36" i="7"/>
  <c r="K37" i="7"/>
  <c r="K39" i="7"/>
  <c r="K42" i="7"/>
  <c r="K43" i="7"/>
  <c r="K45" i="7"/>
  <c r="K48" i="7"/>
  <c r="K49" i="7"/>
  <c r="K51" i="7"/>
  <c r="K52" i="7"/>
  <c r="K54" i="7"/>
  <c r="K57" i="7"/>
  <c r="K60" i="7"/>
  <c r="K61" i="7"/>
  <c r="K63" i="7"/>
  <c r="K64" i="7"/>
  <c r="K66" i="7"/>
  <c r="K67" i="7"/>
  <c r="K30" i="7"/>
  <c r="K34" i="4"/>
  <c r="K36" i="4"/>
  <c r="K37" i="4"/>
  <c r="K39" i="4"/>
  <c r="K40" i="4"/>
  <c r="K42" i="4"/>
  <c r="K45" i="4"/>
  <c r="K46" i="4"/>
  <c r="K48" i="4"/>
  <c r="K49" i="4"/>
  <c r="K51" i="4"/>
  <c r="K54" i="4"/>
  <c r="K55" i="4"/>
  <c r="K57" i="4"/>
  <c r="K58" i="4"/>
  <c r="K60" i="4"/>
  <c r="K61" i="4"/>
  <c r="K63" i="4"/>
  <c r="K64" i="4"/>
  <c r="K66" i="4"/>
  <c r="K67" i="4"/>
  <c r="K69" i="4"/>
  <c r="K70" i="4"/>
  <c r="K72" i="4"/>
  <c r="K73" i="4"/>
  <c r="K75" i="4"/>
  <c r="K76" i="4"/>
  <c r="K78" i="4"/>
  <c r="K79" i="4"/>
  <c r="K33" i="4"/>
  <c r="K30" i="4"/>
  <c r="J31" i="6"/>
  <c r="K31" i="6"/>
  <c r="L31" i="6"/>
  <c r="M31" i="6"/>
  <c r="Q31" i="6"/>
  <c r="S31" i="6"/>
  <c r="T31" i="6"/>
  <c r="U31" i="6"/>
  <c r="V31" i="6"/>
  <c r="Y31" i="6"/>
  <c r="Z31" i="6"/>
  <c r="AA31" i="6"/>
  <c r="H79" i="4"/>
  <c r="U79" i="4" s="1"/>
  <c r="AA78" i="4"/>
  <c r="Z78" i="4"/>
  <c r="U78" i="4"/>
  <c r="S78" i="4"/>
  <c r="R78" i="4"/>
  <c r="Q78" i="4"/>
  <c r="H78" i="4"/>
  <c r="P49" i="10"/>
  <c r="P43" i="10"/>
  <c r="P36" i="10"/>
  <c r="S79" i="4" l="1"/>
  <c r="S81" i="11"/>
  <c r="P81" i="11"/>
  <c r="M81" i="11"/>
  <c r="M68" i="11"/>
  <c r="M66" i="11"/>
  <c r="R34" i="12"/>
  <c r="P34" i="12"/>
  <c r="M34" i="12"/>
  <c r="M36" i="10"/>
  <c r="Y89" i="13"/>
  <c r="Y37" i="6" s="1"/>
  <c r="Y35" i="6"/>
  <c r="Y27" i="6"/>
  <c r="Y15" i="6"/>
  <c r="Y14" i="6"/>
  <c r="S64" i="13"/>
  <c r="P64" i="13"/>
  <c r="M64" i="13"/>
  <c r="Y44" i="13"/>
  <c r="Y27" i="13"/>
  <c r="Y14" i="13"/>
  <c r="Y15" i="13"/>
  <c r="M47" i="13"/>
  <c r="P47" i="13"/>
  <c r="N47" i="13" s="1"/>
  <c r="S47" i="13"/>
  <c r="R42" i="13"/>
  <c r="R37" i="13"/>
  <c r="F37" i="13"/>
  <c r="E37" i="13"/>
  <c r="X36" i="13"/>
  <c r="W36" i="13"/>
  <c r="R36" i="13"/>
  <c r="P36" i="13"/>
  <c r="O36" i="13" s="1"/>
  <c r="N36" i="13"/>
  <c r="H36" i="13"/>
  <c r="H37" i="13" s="1"/>
  <c r="F35" i="13"/>
  <c r="E35" i="13"/>
  <c r="X34" i="13"/>
  <c r="W34" i="13"/>
  <c r="R34" i="13"/>
  <c r="P34" i="13"/>
  <c r="N34" i="13" s="1"/>
  <c r="O34" i="13"/>
  <c r="H34" i="13"/>
  <c r="H35" i="13" s="1"/>
  <c r="R35" i="13" s="1"/>
  <c r="F33" i="13"/>
  <c r="E33" i="13"/>
  <c r="X32" i="13"/>
  <c r="W32" i="13"/>
  <c r="R32" i="13"/>
  <c r="P32" i="13"/>
  <c r="O32" i="13"/>
  <c r="N32" i="13"/>
  <c r="H32" i="13"/>
  <c r="H33" i="13" s="1"/>
  <c r="R33" i="13" s="1"/>
  <c r="F31" i="13"/>
  <c r="E31" i="13"/>
  <c r="V30" i="13"/>
  <c r="U30" i="13"/>
  <c r="T30" i="13"/>
  <c r="Q30" i="13"/>
  <c r="R30" i="13" s="1"/>
  <c r="P30" i="13"/>
  <c r="O30" i="13"/>
  <c r="N30" i="13"/>
  <c r="M30" i="13"/>
  <c r="H30" i="13"/>
  <c r="I30" i="13" s="1"/>
  <c r="H41" i="13"/>
  <c r="I41" i="13"/>
  <c r="M41" i="13"/>
  <c r="P41" i="13"/>
  <c r="N41" i="13" s="1"/>
  <c r="Q41" i="13"/>
  <c r="R41" i="13" s="1"/>
  <c r="T41" i="13"/>
  <c r="U41" i="13"/>
  <c r="V41" i="13"/>
  <c r="E42" i="13"/>
  <c r="F42" i="13"/>
  <c r="M42" i="13"/>
  <c r="P42" i="13"/>
  <c r="O42" i="13" s="1"/>
  <c r="M43" i="13"/>
  <c r="P43" i="13"/>
  <c r="O43" i="13" s="1"/>
  <c r="R43" i="13"/>
  <c r="H44" i="13"/>
  <c r="M44" i="13" s="1"/>
  <c r="P44" i="13"/>
  <c r="O44" i="13" s="1"/>
  <c r="R44" i="13"/>
  <c r="H45" i="13"/>
  <c r="M45" i="13" s="1"/>
  <c r="H46" i="13"/>
  <c r="R46" i="13" s="1"/>
  <c r="M46" i="13"/>
  <c r="P46" i="13"/>
  <c r="O46" i="13" s="1"/>
  <c r="H47" i="13"/>
  <c r="I47" i="13"/>
  <c r="H51" i="13"/>
  <c r="I51" i="13"/>
  <c r="M51" i="13"/>
  <c r="P51" i="13"/>
  <c r="N51" i="13" s="1"/>
  <c r="Q51" i="13"/>
  <c r="R51" i="13"/>
  <c r="T51" i="13"/>
  <c r="U51" i="13"/>
  <c r="V51" i="13"/>
  <c r="E52" i="13"/>
  <c r="F52" i="13"/>
  <c r="H52" i="13"/>
  <c r="P52" i="13" s="1"/>
  <c r="H54" i="13"/>
  <c r="I54" i="13"/>
  <c r="M54" i="13"/>
  <c r="P54" i="13"/>
  <c r="O54" i="13" s="1"/>
  <c r="Q54" i="13"/>
  <c r="R54" i="13"/>
  <c r="T54" i="13"/>
  <c r="U54" i="13"/>
  <c r="V54" i="13"/>
  <c r="E55" i="13"/>
  <c r="F55" i="13"/>
  <c r="H55" i="13" s="1"/>
  <c r="E56" i="13"/>
  <c r="F56" i="13"/>
  <c r="H59" i="13"/>
  <c r="I59" i="13" s="1"/>
  <c r="M59" i="13"/>
  <c r="P59" i="13"/>
  <c r="N59" i="13" s="1"/>
  <c r="Q59" i="13"/>
  <c r="R59" i="13" s="1"/>
  <c r="T59" i="13"/>
  <c r="U59" i="13"/>
  <c r="V59" i="13"/>
  <c r="E60" i="13"/>
  <c r="F60" i="13"/>
  <c r="H60" i="13"/>
  <c r="M60" i="13"/>
  <c r="P60" i="13"/>
  <c r="O60" i="13" s="1"/>
  <c r="R60" i="13"/>
  <c r="M61" i="13"/>
  <c r="P61" i="13"/>
  <c r="N61" i="13" s="1"/>
  <c r="R61" i="13"/>
  <c r="H64" i="13"/>
  <c r="I64" i="13"/>
  <c r="O64" i="13"/>
  <c r="F78" i="11"/>
  <c r="E78" i="11"/>
  <c r="X77" i="11"/>
  <c r="W77" i="11"/>
  <c r="R77" i="11"/>
  <c r="P77" i="11"/>
  <c r="O77" i="11"/>
  <c r="N77" i="11"/>
  <c r="H77" i="11"/>
  <c r="I77" i="11" s="1"/>
  <c r="F76" i="11"/>
  <c r="E76" i="11"/>
  <c r="X75" i="11"/>
  <c r="W75" i="11"/>
  <c r="R75" i="11"/>
  <c r="P75" i="11"/>
  <c r="N75" i="11" s="1"/>
  <c r="O75" i="11"/>
  <c r="H75" i="11"/>
  <c r="H76" i="11" s="1"/>
  <c r="P66" i="11"/>
  <c r="Y66" i="11" s="1"/>
  <c r="S66" i="11"/>
  <c r="S68" i="11"/>
  <c r="P68" i="11"/>
  <c r="Y68" i="11" s="1"/>
  <c r="H68" i="11"/>
  <c r="I68" i="11" s="1"/>
  <c r="F43" i="11"/>
  <c r="E43" i="11"/>
  <c r="X42" i="11"/>
  <c r="W42" i="11"/>
  <c r="R42" i="11"/>
  <c r="P42" i="11"/>
  <c r="O42" i="11"/>
  <c r="N42" i="11"/>
  <c r="H42" i="11"/>
  <c r="H43" i="11" s="1"/>
  <c r="F41" i="11"/>
  <c r="E41" i="11"/>
  <c r="X40" i="11"/>
  <c r="W40" i="11"/>
  <c r="R40" i="11"/>
  <c r="P40" i="11"/>
  <c r="N40" i="11" s="1"/>
  <c r="O40" i="11"/>
  <c r="H40" i="11"/>
  <c r="H41" i="11" s="1"/>
  <c r="H32" i="11"/>
  <c r="Y45" i="7"/>
  <c r="X45" i="7"/>
  <c r="W45" i="7"/>
  <c r="U45" i="7"/>
  <c r="T45" i="7"/>
  <c r="O45" i="7"/>
  <c r="M45" i="7"/>
  <c r="N45" i="7" s="1"/>
  <c r="L45" i="7"/>
  <c r="P45" i="7" s="1"/>
  <c r="H45" i="7"/>
  <c r="I45" i="7" s="1"/>
  <c r="F37" i="7"/>
  <c r="E37" i="7"/>
  <c r="AA36" i="7"/>
  <c r="Z36" i="7"/>
  <c r="U36" i="7"/>
  <c r="S36" i="7"/>
  <c r="R36" i="7"/>
  <c r="Q36" i="7"/>
  <c r="H36" i="7"/>
  <c r="U54" i="7"/>
  <c r="Y39" i="7"/>
  <c r="W39" i="7"/>
  <c r="W54" i="7"/>
  <c r="L39" i="7"/>
  <c r="U39" i="7"/>
  <c r="F65" i="10"/>
  <c r="E65" i="10"/>
  <c r="X64" i="10"/>
  <c r="W64" i="10"/>
  <c r="R64" i="10"/>
  <c r="P64" i="10"/>
  <c r="O64" i="10"/>
  <c r="N64" i="10"/>
  <c r="H64" i="10"/>
  <c r="H65" i="10" s="1"/>
  <c r="S67" i="10"/>
  <c r="S93" i="10" s="1"/>
  <c r="S95" i="10" s="1"/>
  <c r="S77" i="10"/>
  <c r="S52" i="12"/>
  <c r="P52" i="12"/>
  <c r="M52" i="12"/>
  <c r="R48" i="12"/>
  <c r="P48" i="12"/>
  <c r="N48" i="12"/>
  <c r="M48" i="12"/>
  <c r="W41" i="12"/>
  <c r="F44" i="12"/>
  <c r="E44" i="12"/>
  <c r="X43" i="12"/>
  <c r="W43" i="12"/>
  <c r="R43" i="12"/>
  <c r="P43" i="12"/>
  <c r="N43" i="12" s="1"/>
  <c r="H43" i="12"/>
  <c r="H44" i="12" s="1"/>
  <c r="Y33" i="12"/>
  <c r="Y89" i="12" s="1"/>
  <c r="Y27" i="12"/>
  <c r="Y15" i="12"/>
  <c r="Y14" i="12"/>
  <c r="M31" i="12"/>
  <c r="F75" i="10"/>
  <c r="E75" i="10"/>
  <c r="X74" i="10"/>
  <c r="W74" i="10"/>
  <c r="R74" i="10"/>
  <c r="P74" i="10"/>
  <c r="O74" i="10"/>
  <c r="N74" i="10"/>
  <c r="H74" i="10"/>
  <c r="H75" i="10" s="1"/>
  <c r="P77" i="10"/>
  <c r="N77" i="10" s="1"/>
  <c r="M77" i="10"/>
  <c r="Y67" i="10"/>
  <c r="Y93" i="10" s="1"/>
  <c r="Y95" i="10" s="1"/>
  <c r="P67" i="10"/>
  <c r="M67" i="10"/>
  <c r="M93" i="10" s="1"/>
  <c r="M95" i="10" s="1"/>
  <c r="F63" i="10"/>
  <c r="E63" i="10"/>
  <c r="X62" i="10"/>
  <c r="W62" i="10"/>
  <c r="R62" i="10"/>
  <c r="P62" i="10"/>
  <c r="O62" i="10" s="1"/>
  <c r="H62" i="10"/>
  <c r="H63" i="10" s="1"/>
  <c r="F55" i="10"/>
  <c r="E55" i="10"/>
  <c r="X54" i="10"/>
  <c r="W54" i="10"/>
  <c r="R54" i="10"/>
  <c r="P54" i="10"/>
  <c r="O54" i="10"/>
  <c r="N54" i="10"/>
  <c r="H54" i="10"/>
  <c r="H55" i="10" s="1"/>
  <c r="F53" i="10"/>
  <c r="E53" i="10"/>
  <c r="X52" i="10"/>
  <c r="W52" i="10"/>
  <c r="R52" i="10"/>
  <c r="P52" i="10"/>
  <c r="O52" i="10" s="1"/>
  <c r="H52" i="10"/>
  <c r="H53" i="10" s="1"/>
  <c r="M30" i="10"/>
  <c r="O42" i="4"/>
  <c r="O51" i="4"/>
  <c r="O30" i="4"/>
  <c r="AC89" i="7"/>
  <c r="AB89" i="7"/>
  <c r="V89" i="7"/>
  <c r="U54" i="4"/>
  <c r="AA30" i="7"/>
  <c r="AA36" i="4"/>
  <c r="AA39" i="4"/>
  <c r="AA45" i="4"/>
  <c r="AA48" i="4"/>
  <c r="AA54" i="4"/>
  <c r="AA57" i="4"/>
  <c r="AA60" i="4"/>
  <c r="AA63" i="4"/>
  <c r="AA66" i="4"/>
  <c r="AA69" i="4"/>
  <c r="AA72" i="4"/>
  <c r="AA75" i="4"/>
  <c r="AA33" i="4"/>
  <c r="AA89" i="11"/>
  <c r="AB89" i="11"/>
  <c r="AC89" i="11"/>
  <c r="O57" i="7"/>
  <c r="M57" i="7"/>
  <c r="N57" i="7" s="1"/>
  <c r="L57" i="7"/>
  <c r="P57" i="7" s="1"/>
  <c r="O54" i="7"/>
  <c r="M54" i="7"/>
  <c r="N54" i="7" s="1"/>
  <c r="L54" i="7"/>
  <c r="P54" i="7" s="1"/>
  <c r="O39" i="7"/>
  <c r="M39" i="7"/>
  <c r="M51" i="4"/>
  <c r="N51" i="4" s="1"/>
  <c r="L51" i="4"/>
  <c r="P51" i="4" s="1"/>
  <c r="M42" i="4"/>
  <c r="N42" i="4" s="1"/>
  <c r="L42" i="4"/>
  <c r="P42" i="4" s="1"/>
  <c r="L30" i="4"/>
  <c r="M27" i="6"/>
  <c r="M14" i="6"/>
  <c r="M15" i="6"/>
  <c r="I14" i="6"/>
  <c r="J14" i="6"/>
  <c r="K14" i="6"/>
  <c r="I27" i="6"/>
  <c r="J27" i="6"/>
  <c r="K27" i="6"/>
  <c r="I15" i="6"/>
  <c r="J15" i="6"/>
  <c r="K15" i="6"/>
  <c r="P14" i="7"/>
  <c r="P27" i="7"/>
  <c r="P15" i="7"/>
  <c r="M14" i="7"/>
  <c r="N14" i="7"/>
  <c r="M27" i="7"/>
  <c r="N27" i="7"/>
  <c r="M15" i="7"/>
  <c r="N15" i="7"/>
  <c r="M30" i="4"/>
  <c r="P14" i="4"/>
  <c r="P27" i="4"/>
  <c r="Q27" i="4"/>
  <c r="P15" i="4"/>
  <c r="N27" i="4"/>
  <c r="N14" i="4"/>
  <c r="N15" i="4"/>
  <c r="M14" i="4"/>
  <c r="M27" i="4"/>
  <c r="M15" i="4"/>
  <c r="AC89" i="13"/>
  <c r="AC89" i="12"/>
  <c r="L89" i="10"/>
  <c r="H33" i="6" s="1"/>
  <c r="AC89" i="10"/>
  <c r="L14" i="4"/>
  <c r="L27" i="4"/>
  <c r="L15" i="4"/>
  <c r="L14" i="7"/>
  <c r="L27" i="7"/>
  <c r="L15" i="7"/>
  <c r="L14" i="10"/>
  <c r="L27" i="10"/>
  <c r="L15" i="10"/>
  <c r="L14" i="12"/>
  <c r="L27" i="12"/>
  <c r="L15" i="12"/>
  <c r="L89" i="13"/>
  <c r="H39" i="6" s="1"/>
  <c r="L89" i="11"/>
  <c r="H37" i="6" s="1"/>
  <c r="L14" i="11"/>
  <c r="L27" i="11"/>
  <c r="L15" i="11"/>
  <c r="L14" i="13"/>
  <c r="L27" i="13"/>
  <c r="L15" i="13"/>
  <c r="H14" i="6"/>
  <c r="H27" i="6"/>
  <c r="H15" i="6"/>
  <c r="L59" i="12"/>
  <c r="L57" i="12"/>
  <c r="L89" i="12" s="1"/>
  <c r="H35" i="6" s="1"/>
  <c r="AA59" i="12"/>
  <c r="H59" i="12"/>
  <c r="I59" i="12" s="1"/>
  <c r="AA57" i="12"/>
  <c r="H57" i="12"/>
  <c r="I57" i="12" s="1"/>
  <c r="K89" i="12"/>
  <c r="G14" i="6"/>
  <c r="G27" i="6"/>
  <c r="G15" i="6"/>
  <c r="N67" i="10" l="1"/>
  <c r="N93" i="10" s="1"/>
  <c r="N95" i="10" s="1"/>
  <c r="P93" i="10"/>
  <c r="P95" i="10" s="1"/>
  <c r="Y89" i="6"/>
  <c r="Y104" i="6" s="1"/>
  <c r="R79" i="4"/>
  <c r="Q79" i="4"/>
  <c r="Z47" i="13"/>
  <c r="H56" i="13"/>
  <c r="R56" i="13" s="1"/>
  <c r="I32" i="13"/>
  <c r="R52" i="13"/>
  <c r="Q52" i="13"/>
  <c r="P37" i="13"/>
  <c r="I36" i="13"/>
  <c r="P35" i="13"/>
  <c r="I34" i="13"/>
  <c r="P56" i="13"/>
  <c r="M56" i="13"/>
  <c r="M52" i="13"/>
  <c r="R45" i="13"/>
  <c r="O59" i="13"/>
  <c r="N64" i="13"/>
  <c r="H31" i="13"/>
  <c r="M31" i="13" s="1"/>
  <c r="O51" i="13"/>
  <c r="N42" i="13"/>
  <c r="P33" i="13"/>
  <c r="R31" i="13"/>
  <c r="Q31" i="13"/>
  <c r="P31" i="13"/>
  <c r="N52" i="13"/>
  <c r="O52" i="13"/>
  <c r="N56" i="13"/>
  <c r="O56" i="13"/>
  <c r="M55" i="13"/>
  <c r="P55" i="13"/>
  <c r="Q55" i="13"/>
  <c r="R55" i="13"/>
  <c r="N54" i="13"/>
  <c r="N43" i="13"/>
  <c r="O47" i="13"/>
  <c r="O61" i="13"/>
  <c r="N60" i="13"/>
  <c r="N46" i="13"/>
  <c r="P45" i="13"/>
  <c r="O41" i="13"/>
  <c r="Z64" i="13"/>
  <c r="N44" i="13"/>
  <c r="H78" i="11"/>
  <c r="R76" i="11"/>
  <c r="P76" i="11"/>
  <c r="I75" i="11"/>
  <c r="N68" i="11"/>
  <c r="O68" i="11"/>
  <c r="R43" i="11"/>
  <c r="P43" i="11"/>
  <c r="I42" i="11"/>
  <c r="R41" i="11"/>
  <c r="P41" i="11"/>
  <c r="I40" i="11"/>
  <c r="H37" i="7"/>
  <c r="S37" i="7" s="1"/>
  <c r="M89" i="7"/>
  <c r="K89" i="7"/>
  <c r="H31" i="6" s="1"/>
  <c r="H89" i="6" s="1"/>
  <c r="H104" i="6" s="1"/>
  <c r="O89" i="7"/>
  <c r="L89" i="7"/>
  <c r="I31" i="6" s="1"/>
  <c r="P39" i="7"/>
  <c r="P89" i="7" s="1"/>
  <c r="I64" i="10"/>
  <c r="R65" i="10"/>
  <c r="P65" i="10"/>
  <c r="O43" i="12"/>
  <c r="R44" i="12"/>
  <c r="P44" i="12"/>
  <c r="R75" i="10"/>
  <c r="P75" i="10"/>
  <c r="I74" i="10"/>
  <c r="N62" i="10"/>
  <c r="R63" i="10"/>
  <c r="P63" i="10"/>
  <c r="I62" i="10"/>
  <c r="R55" i="10"/>
  <c r="P55" i="10"/>
  <c r="N52" i="10"/>
  <c r="P53" i="10"/>
  <c r="R53" i="10"/>
  <c r="K89" i="4"/>
  <c r="L89" i="4"/>
  <c r="I29" i="6" s="1"/>
  <c r="O89" i="4"/>
  <c r="M89" i="4"/>
  <c r="J29" i="6" s="1"/>
  <c r="P30" i="4"/>
  <c r="N30" i="4"/>
  <c r="N89" i="4" s="1"/>
  <c r="K29" i="6" s="1"/>
  <c r="N39" i="7"/>
  <c r="N89" i="7" s="1"/>
  <c r="P89" i="4"/>
  <c r="M29" i="6" s="1"/>
  <c r="K89" i="13"/>
  <c r="K89" i="11"/>
  <c r="K89" i="10"/>
  <c r="W37" i="10"/>
  <c r="X54" i="7"/>
  <c r="Y54" i="7"/>
  <c r="Z60" i="7"/>
  <c r="AA60" i="7"/>
  <c r="Z63" i="7"/>
  <c r="AA63" i="7"/>
  <c r="Z66" i="7"/>
  <c r="AA66" i="7"/>
  <c r="X39" i="7"/>
  <c r="Z30" i="7"/>
  <c r="AA14" i="4"/>
  <c r="AA27" i="4"/>
  <c r="AA15" i="4"/>
  <c r="X27" i="6"/>
  <c r="X15" i="6"/>
  <c r="X14" i="6"/>
  <c r="R72" i="11"/>
  <c r="P72" i="11"/>
  <c r="O72" i="11" s="1"/>
  <c r="M72" i="11"/>
  <c r="H52" i="11"/>
  <c r="I52" i="11"/>
  <c r="M52" i="11"/>
  <c r="P52" i="11"/>
  <c r="N52" i="11" s="1"/>
  <c r="Q52" i="11"/>
  <c r="R52" i="11" s="1"/>
  <c r="T52" i="11"/>
  <c r="U52" i="11"/>
  <c r="V52" i="11"/>
  <c r="E53" i="11"/>
  <c r="F53" i="11"/>
  <c r="E54" i="11"/>
  <c r="F54" i="11"/>
  <c r="AB89" i="13"/>
  <c r="H88" i="13"/>
  <c r="H28" i="13"/>
  <c r="AC27" i="13"/>
  <c r="AB27" i="13"/>
  <c r="AA27" i="13"/>
  <c r="Z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AC15" i="13"/>
  <c r="AB15" i="13"/>
  <c r="AA15" i="13"/>
  <c r="Z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AC14" i="13"/>
  <c r="AB14" i="13"/>
  <c r="AA14" i="13"/>
  <c r="Z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E9" i="13"/>
  <c r="Y81" i="11"/>
  <c r="H81" i="11"/>
  <c r="I81" i="11" s="1"/>
  <c r="F74" i="11"/>
  <c r="E74" i="11"/>
  <c r="X73" i="11"/>
  <c r="W73" i="11"/>
  <c r="R73" i="11"/>
  <c r="P73" i="11"/>
  <c r="O73" i="11" s="1"/>
  <c r="H74" i="11"/>
  <c r="F71" i="11"/>
  <c r="E71" i="11"/>
  <c r="V70" i="11"/>
  <c r="U70" i="11"/>
  <c r="T70" i="11"/>
  <c r="Q70" i="11"/>
  <c r="R70" i="11" s="1"/>
  <c r="P70" i="11"/>
  <c r="O70" i="11" s="1"/>
  <c r="M70" i="11"/>
  <c r="H70" i="11"/>
  <c r="I70" i="11" s="1"/>
  <c r="H66" i="11"/>
  <c r="I66" i="11" s="1"/>
  <c r="F63" i="11"/>
  <c r="E63" i="11"/>
  <c r="X62" i="11"/>
  <c r="W62" i="11"/>
  <c r="R62" i="11"/>
  <c r="P62" i="11"/>
  <c r="O62" i="11" s="1"/>
  <c r="I62" i="11"/>
  <c r="P61" i="11"/>
  <c r="O61" i="11" s="1"/>
  <c r="H61" i="11"/>
  <c r="R61" i="11" s="1"/>
  <c r="F60" i="11"/>
  <c r="E60" i="11"/>
  <c r="V59" i="11"/>
  <c r="U59" i="11"/>
  <c r="T59" i="11"/>
  <c r="Q59" i="11"/>
  <c r="R59" i="11" s="1"/>
  <c r="P59" i="11"/>
  <c r="O59" i="11" s="1"/>
  <c r="M59" i="11"/>
  <c r="H59" i="11"/>
  <c r="I59" i="11" s="1"/>
  <c r="F56" i="11"/>
  <c r="E56" i="11"/>
  <c r="X55" i="11"/>
  <c r="W55" i="11"/>
  <c r="R55" i="11"/>
  <c r="P55" i="11"/>
  <c r="O55" i="11" s="1"/>
  <c r="H55" i="11"/>
  <c r="H56" i="11" s="1"/>
  <c r="R56" i="11" s="1"/>
  <c r="H59" i="10"/>
  <c r="R59" i="10" s="1"/>
  <c r="P59" i="10"/>
  <c r="N59" i="10" s="1"/>
  <c r="F49" i="11"/>
  <c r="E49" i="11"/>
  <c r="X48" i="11"/>
  <c r="W48" i="11"/>
  <c r="R48" i="11"/>
  <c r="P48" i="11"/>
  <c r="O48" i="11" s="1"/>
  <c r="H48" i="11"/>
  <c r="H49" i="11" s="1"/>
  <c r="R49" i="11" s="1"/>
  <c r="F47" i="11"/>
  <c r="E47" i="11"/>
  <c r="V46" i="11"/>
  <c r="U46" i="11"/>
  <c r="T46" i="11"/>
  <c r="Q46" i="11"/>
  <c r="R46" i="11" s="1"/>
  <c r="P46" i="11"/>
  <c r="O46" i="11" s="1"/>
  <c r="M46" i="11"/>
  <c r="H46" i="11"/>
  <c r="I46" i="11" s="1"/>
  <c r="F39" i="11"/>
  <c r="E39" i="11"/>
  <c r="X38" i="11"/>
  <c r="W38" i="11"/>
  <c r="R38" i="11"/>
  <c r="P38" i="11"/>
  <c r="N38" i="11" s="1"/>
  <c r="H38" i="11"/>
  <c r="H39" i="11" s="1"/>
  <c r="P39" i="11" s="1"/>
  <c r="F37" i="11"/>
  <c r="E37" i="11"/>
  <c r="V36" i="11"/>
  <c r="U36" i="11"/>
  <c r="T36" i="11"/>
  <c r="Q36" i="11"/>
  <c r="R36" i="11" s="1"/>
  <c r="P36" i="11"/>
  <c r="N36" i="11" s="1"/>
  <c r="M36" i="11"/>
  <c r="H36" i="11"/>
  <c r="I36" i="11" s="1"/>
  <c r="F33" i="11"/>
  <c r="E33" i="11"/>
  <c r="X32" i="11"/>
  <c r="W32" i="11"/>
  <c r="R32" i="11"/>
  <c r="P32" i="11"/>
  <c r="N32" i="11" s="1"/>
  <c r="H33" i="11"/>
  <c r="F31" i="11"/>
  <c r="E31" i="11"/>
  <c r="V30" i="11"/>
  <c r="U30" i="11"/>
  <c r="T30" i="11"/>
  <c r="Q30" i="11"/>
  <c r="R30" i="11" s="1"/>
  <c r="P30" i="11"/>
  <c r="O30" i="11" s="1"/>
  <c r="M30" i="11"/>
  <c r="H30" i="11"/>
  <c r="I30" i="11" s="1"/>
  <c r="F67" i="7"/>
  <c r="E67" i="7"/>
  <c r="U66" i="7"/>
  <c r="S66" i="7"/>
  <c r="Q66" i="7" s="1"/>
  <c r="H66" i="7"/>
  <c r="F64" i="7"/>
  <c r="E64" i="7"/>
  <c r="U63" i="7"/>
  <c r="S63" i="7"/>
  <c r="Q63" i="7" s="1"/>
  <c r="H63" i="7"/>
  <c r="F61" i="7"/>
  <c r="E61" i="7"/>
  <c r="U60" i="7"/>
  <c r="S60" i="7"/>
  <c r="R60" i="7" s="1"/>
  <c r="H60" i="7"/>
  <c r="H54" i="7"/>
  <c r="I54" i="7" s="1"/>
  <c r="T54" i="7"/>
  <c r="F52" i="7"/>
  <c r="E52" i="7"/>
  <c r="AA51" i="7"/>
  <c r="Z51" i="7"/>
  <c r="U51" i="7"/>
  <c r="S51" i="7"/>
  <c r="R51" i="7" s="1"/>
  <c r="H51" i="7"/>
  <c r="F49" i="7"/>
  <c r="E49" i="7"/>
  <c r="AA48" i="7"/>
  <c r="Z48" i="7"/>
  <c r="U48" i="7"/>
  <c r="S48" i="7"/>
  <c r="Q48" i="7" s="1"/>
  <c r="H48" i="7"/>
  <c r="F43" i="7"/>
  <c r="E43" i="7"/>
  <c r="AA42" i="7"/>
  <c r="Z42" i="7"/>
  <c r="U42" i="7"/>
  <c r="S42" i="7"/>
  <c r="R42" i="7" s="1"/>
  <c r="H42" i="7"/>
  <c r="F34" i="7"/>
  <c r="E34" i="7"/>
  <c r="T39" i="7"/>
  <c r="H39" i="7"/>
  <c r="I39" i="7" s="1"/>
  <c r="F31" i="7"/>
  <c r="E31" i="7"/>
  <c r="U30" i="7"/>
  <c r="S30" i="7"/>
  <c r="H30" i="7"/>
  <c r="P71" i="10"/>
  <c r="P46" i="12"/>
  <c r="O46" i="12" s="1"/>
  <c r="P41" i="12"/>
  <c r="O41" i="12" s="1"/>
  <c r="P39" i="12"/>
  <c r="O39" i="12" s="1"/>
  <c r="R41" i="12"/>
  <c r="Q39" i="12"/>
  <c r="R39" i="12" s="1"/>
  <c r="S89" i="12"/>
  <c r="S35" i="6" s="1"/>
  <c r="Z52" i="12"/>
  <c r="AB89" i="12" s="1"/>
  <c r="H52" i="12"/>
  <c r="I52" i="12" s="1"/>
  <c r="F50" i="12"/>
  <c r="E50" i="12"/>
  <c r="X49" i="12"/>
  <c r="W49" i="12"/>
  <c r="R49" i="12"/>
  <c r="P49" i="12"/>
  <c r="O49" i="12" s="1"/>
  <c r="I49" i="12"/>
  <c r="H48" i="12"/>
  <c r="F47" i="12"/>
  <c r="E47" i="12"/>
  <c r="V46" i="12"/>
  <c r="U46" i="12"/>
  <c r="T46" i="12"/>
  <c r="Q46" i="12"/>
  <c r="R46" i="12" s="1"/>
  <c r="M46" i="12"/>
  <c r="H46" i="12"/>
  <c r="I46" i="12" s="1"/>
  <c r="F42" i="12"/>
  <c r="E42" i="12"/>
  <c r="X41" i="12"/>
  <c r="H41" i="12"/>
  <c r="H42" i="12" s="1"/>
  <c r="R42" i="12" s="1"/>
  <c r="F40" i="12"/>
  <c r="E40" i="12"/>
  <c r="V39" i="12"/>
  <c r="U39" i="12"/>
  <c r="T39" i="12"/>
  <c r="M39" i="12"/>
  <c r="H39" i="12"/>
  <c r="I39" i="12" s="1"/>
  <c r="R36" i="12"/>
  <c r="P36" i="12"/>
  <c r="O36" i="12" s="1"/>
  <c r="F36" i="12"/>
  <c r="E36" i="12"/>
  <c r="X35" i="12"/>
  <c r="W35" i="12"/>
  <c r="R35" i="12"/>
  <c r="P35" i="12"/>
  <c r="N35" i="12" s="1"/>
  <c r="H35" i="12"/>
  <c r="I35" i="12" s="1"/>
  <c r="H34" i="12"/>
  <c r="R33" i="12"/>
  <c r="P33" i="12"/>
  <c r="O33" i="12" s="1"/>
  <c r="H33" i="12"/>
  <c r="M33" i="12" s="1"/>
  <c r="R32" i="12"/>
  <c r="P32" i="12"/>
  <c r="O32" i="12" s="1"/>
  <c r="M32" i="12"/>
  <c r="R31" i="12"/>
  <c r="P31" i="12"/>
  <c r="O31" i="12" s="1"/>
  <c r="F31" i="12"/>
  <c r="E31" i="12"/>
  <c r="V30" i="12"/>
  <c r="U30" i="12"/>
  <c r="T30" i="12"/>
  <c r="Q30" i="12"/>
  <c r="R30" i="12" s="1"/>
  <c r="P30" i="12"/>
  <c r="N30" i="12" s="1"/>
  <c r="M30" i="12"/>
  <c r="H30" i="12"/>
  <c r="I30" i="12" s="1"/>
  <c r="H88" i="12"/>
  <c r="H87" i="12"/>
  <c r="H86" i="12"/>
  <c r="H28" i="12"/>
  <c r="AC27" i="12"/>
  <c r="AB27" i="12"/>
  <c r="AA27" i="12"/>
  <c r="Z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AC15" i="12"/>
  <c r="AB15" i="12"/>
  <c r="AA15" i="12"/>
  <c r="Z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AC14" i="12"/>
  <c r="AB14" i="12"/>
  <c r="AA14" i="12"/>
  <c r="Z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E9" i="12"/>
  <c r="H81" i="10"/>
  <c r="H82" i="10" s="1"/>
  <c r="H79" i="10"/>
  <c r="I79" i="10" s="1"/>
  <c r="F80" i="10"/>
  <c r="E80" i="10"/>
  <c r="F82" i="10"/>
  <c r="E82" i="10"/>
  <c r="X81" i="10"/>
  <c r="W81" i="10"/>
  <c r="R81" i="10"/>
  <c r="P81" i="10"/>
  <c r="O81" i="10" s="1"/>
  <c r="V79" i="10"/>
  <c r="U79" i="10"/>
  <c r="T79" i="10"/>
  <c r="Q79" i="10"/>
  <c r="R79" i="10" s="1"/>
  <c r="P79" i="10"/>
  <c r="N79" i="10" s="1"/>
  <c r="M79" i="10"/>
  <c r="O77" i="10"/>
  <c r="H77" i="10"/>
  <c r="I77" i="10" s="1"/>
  <c r="F73" i="10"/>
  <c r="E73" i="10"/>
  <c r="X72" i="10"/>
  <c r="W72" i="10"/>
  <c r="R72" i="10"/>
  <c r="P72" i="10"/>
  <c r="O72" i="10" s="1"/>
  <c r="H72" i="10"/>
  <c r="H73" i="10" s="1"/>
  <c r="H71" i="10"/>
  <c r="R71" i="10" s="1"/>
  <c r="F70" i="10"/>
  <c r="E70" i="10"/>
  <c r="V69" i="10"/>
  <c r="U69" i="10"/>
  <c r="T69" i="10"/>
  <c r="Q69" i="10"/>
  <c r="R69" i="10" s="1"/>
  <c r="P69" i="10"/>
  <c r="N69" i="10" s="1"/>
  <c r="O69" i="10"/>
  <c r="M69" i="10"/>
  <c r="H69" i="10"/>
  <c r="I69" i="10" s="1"/>
  <c r="H86" i="10"/>
  <c r="H87" i="10"/>
  <c r="H88" i="10"/>
  <c r="P57" i="10"/>
  <c r="O57" i="10" s="1"/>
  <c r="F58" i="10"/>
  <c r="H67" i="10"/>
  <c r="I67" i="10" s="1"/>
  <c r="F61" i="10"/>
  <c r="E61" i="10"/>
  <c r="X60" i="10"/>
  <c r="W60" i="10"/>
  <c r="R60" i="10"/>
  <c r="P60" i="10"/>
  <c r="O60" i="10" s="1"/>
  <c r="H60" i="10"/>
  <c r="H61" i="10" s="1"/>
  <c r="E58" i="10"/>
  <c r="V57" i="10"/>
  <c r="U57" i="10"/>
  <c r="T57" i="10"/>
  <c r="Q57" i="10"/>
  <c r="R57" i="10" s="1"/>
  <c r="M57" i="10"/>
  <c r="H57" i="10"/>
  <c r="I57" i="10" s="1"/>
  <c r="E51" i="10"/>
  <c r="X50" i="10"/>
  <c r="W50" i="10"/>
  <c r="R50" i="10"/>
  <c r="P50" i="10"/>
  <c r="O50" i="10" s="1"/>
  <c r="H50" i="10"/>
  <c r="H51" i="10" s="1"/>
  <c r="H49" i="10"/>
  <c r="H48" i="10"/>
  <c r="M48" i="10" s="1"/>
  <c r="V47" i="10"/>
  <c r="U47" i="10"/>
  <c r="T47" i="10"/>
  <c r="Q47" i="10"/>
  <c r="R47" i="10" s="1"/>
  <c r="P47" i="10"/>
  <c r="O47" i="10" s="1"/>
  <c r="M47" i="10"/>
  <c r="H47" i="10"/>
  <c r="I47" i="10" s="1"/>
  <c r="F45" i="10"/>
  <c r="E45" i="10"/>
  <c r="X44" i="10"/>
  <c r="W44" i="10"/>
  <c r="R44" i="10"/>
  <c r="P44" i="10"/>
  <c r="O44" i="10" s="1"/>
  <c r="H44" i="10"/>
  <c r="H45" i="10" s="1"/>
  <c r="P45" i="10" s="1"/>
  <c r="H43" i="10"/>
  <c r="V41" i="10"/>
  <c r="U41" i="10"/>
  <c r="T41" i="10"/>
  <c r="Q41" i="10"/>
  <c r="R41" i="10" s="1"/>
  <c r="P41" i="10"/>
  <c r="O41" i="10" s="1"/>
  <c r="M41" i="10"/>
  <c r="H41" i="10"/>
  <c r="I41" i="10" s="1"/>
  <c r="F35" i="10"/>
  <c r="E35" i="10"/>
  <c r="F38" i="10"/>
  <c r="E38" i="10"/>
  <c r="X37" i="10"/>
  <c r="R37" i="10"/>
  <c r="P37" i="10"/>
  <c r="N37" i="10" s="1"/>
  <c r="H37" i="10"/>
  <c r="H38" i="10" s="1"/>
  <c r="H36" i="10"/>
  <c r="V34" i="10"/>
  <c r="U34" i="10"/>
  <c r="T34" i="10"/>
  <c r="Q34" i="10"/>
  <c r="R34" i="10" s="1"/>
  <c r="P34" i="10"/>
  <c r="O34" i="10" s="1"/>
  <c r="M34" i="10"/>
  <c r="H34" i="10"/>
  <c r="I34" i="10" s="1"/>
  <c r="F31" i="10"/>
  <c r="E31" i="10"/>
  <c r="V30" i="10"/>
  <c r="U30" i="10"/>
  <c r="T30" i="10"/>
  <c r="Q30" i="10"/>
  <c r="R30" i="10" s="1"/>
  <c r="P30" i="10"/>
  <c r="N30" i="10" s="1"/>
  <c r="H30" i="10"/>
  <c r="I30" i="10" s="1"/>
  <c r="W30" i="4"/>
  <c r="H76" i="4"/>
  <c r="U76" i="4" s="1"/>
  <c r="Z75" i="4"/>
  <c r="U75" i="4"/>
  <c r="S75" i="4"/>
  <c r="R75" i="4" s="1"/>
  <c r="H75" i="4"/>
  <c r="H73" i="4"/>
  <c r="U73" i="4" s="1"/>
  <c r="Z72" i="4"/>
  <c r="U72" i="4"/>
  <c r="S72" i="4"/>
  <c r="R72" i="4" s="1"/>
  <c r="H72" i="4"/>
  <c r="H70" i="4"/>
  <c r="U70" i="4" s="1"/>
  <c r="Z69" i="4"/>
  <c r="U69" i="4"/>
  <c r="S69" i="4"/>
  <c r="R69" i="4" s="1"/>
  <c r="H69" i="4"/>
  <c r="H67" i="4"/>
  <c r="U67" i="4" s="1"/>
  <c r="Z66" i="4"/>
  <c r="U66" i="4"/>
  <c r="S66" i="4"/>
  <c r="R66" i="4" s="1"/>
  <c r="H66" i="4"/>
  <c r="H64" i="4"/>
  <c r="U64" i="4" s="1"/>
  <c r="Z63" i="4"/>
  <c r="U63" i="4"/>
  <c r="S63" i="4"/>
  <c r="R63" i="4" s="1"/>
  <c r="H63" i="4"/>
  <c r="H61" i="4"/>
  <c r="U61" i="4" s="1"/>
  <c r="Z60" i="4"/>
  <c r="U60" i="4"/>
  <c r="S60" i="4"/>
  <c r="Q60" i="4" s="1"/>
  <c r="H60" i="4"/>
  <c r="H58" i="4"/>
  <c r="S58" i="4" s="1"/>
  <c r="Q58" i="4" s="1"/>
  <c r="Z57" i="4"/>
  <c r="U57" i="4"/>
  <c r="S57" i="4"/>
  <c r="Q57" i="4" s="1"/>
  <c r="H57" i="4"/>
  <c r="H55" i="4"/>
  <c r="U55" i="4" s="1"/>
  <c r="Z54" i="4"/>
  <c r="S54" i="4"/>
  <c r="R54" i="4" s="1"/>
  <c r="H54" i="4"/>
  <c r="Y51" i="4"/>
  <c r="X51" i="4"/>
  <c r="W51" i="4"/>
  <c r="T51" i="4"/>
  <c r="U51" i="4" s="1"/>
  <c r="H51" i="4"/>
  <c r="I51" i="4" s="1"/>
  <c r="H49" i="4"/>
  <c r="S49" i="4" s="1"/>
  <c r="Q49" i="4" s="1"/>
  <c r="Z48" i="4"/>
  <c r="U48" i="4"/>
  <c r="S48" i="4"/>
  <c r="R48" i="4" s="1"/>
  <c r="H48" i="4"/>
  <c r="H46" i="4"/>
  <c r="U46" i="4" s="1"/>
  <c r="Z45" i="4"/>
  <c r="U45" i="4"/>
  <c r="S45" i="4"/>
  <c r="R45" i="4" s="1"/>
  <c r="H45" i="4"/>
  <c r="H36" i="4"/>
  <c r="S36" i="4"/>
  <c r="Q36" i="4" s="1"/>
  <c r="U36" i="4"/>
  <c r="Z36" i="4"/>
  <c r="H37" i="4"/>
  <c r="U37" i="4" s="1"/>
  <c r="Y42" i="4"/>
  <c r="X42" i="4"/>
  <c r="W42" i="4"/>
  <c r="T42" i="4"/>
  <c r="U42" i="4" s="1"/>
  <c r="H42" i="4"/>
  <c r="I42" i="4" s="1"/>
  <c r="P38" i="10" l="1"/>
  <c r="R38" i="10"/>
  <c r="J89" i="6"/>
  <c r="J104" i="6" s="1"/>
  <c r="I89" i="6"/>
  <c r="I104" i="6" s="1"/>
  <c r="N37" i="13"/>
  <c r="O37" i="13"/>
  <c r="O35" i="13"/>
  <c r="N35" i="13"/>
  <c r="O31" i="13"/>
  <c r="N31" i="13"/>
  <c r="O33" i="13"/>
  <c r="N33" i="13"/>
  <c r="N45" i="13"/>
  <c r="O45" i="13"/>
  <c r="N55" i="13"/>
  <c r="O55" i="13"/>
  <c r="R78" i="11"/>
  <c r="P78" i="11"/>
  <c r="O76" i="11"/>
  <c r="N76" i="11"/>
  <c r="N43" i="11"/>
  <c r="O43" i="11"/>
  <c r="O41" i="11"/>
  <c r="N41" i="11"/>
  <c r="N59" i="11"/>
  <c r="R48" i="7"/>
  <c r="U37" i="7"/>
  <c r="M89" i="6"/>
  <c r="M104" i="6" s="1"/>
  <c r="Q37" i="7"/>
  <c r="R37" i="7"/>
  <c r="Q51" i="7"/>
  <c r="R30" i="7"/>
  <c r="K89" i="6"/>
  <c r="K104" i="6" s="1"/>
  <c r="O65" i="10"/>
  <c r="N65" i="10"/>
  <c r="P82" i="10"/>
  <c r="R82" i="10"/>
  <c r="O44" i="12"/>
  <c r="N44" i="12"/>
  <c r="N75" i="10"/>
  <c r="O75" i="10"/>
  <c r="O63" i="10"/>
  <c r="N63" i="10"/>
  <c r="O55" i="10"/>
  <c r="N55" i="10"/>
  <c r="O53" i="10"/>
  <c r="N53" i="10"/>
  <c r="N38" i="10"/>
  <c r="R43" i="10"/>
  <c r="R36" i="10"/>
  <c r="Q36" i="10"/>
  <c r="R61" i="10"/>
  <c r="P61" i="10"/>
  <c r="R49" i="10"/>
  <c r="P51" i="10"/>
  <c r="R51" i="10"/>
  <c r="S89" i="10"/>
  <c r="S33" i="6" s="1"/>
  <c r="N72" i="10"/>
  <c r="V89" i="12"/>
  <c r="V35" i="6" s="1"/>
  <c r="H53" i="11"/>
  <c r="M53" i="11" s="1"/>
  <c r="S89" i="11"/>
  <c r="S37" i="6" s="1"/>
  <c r="Q60" i="7"/>
  <c r="R66" i="7"/>
  <c r="Q42" i="7"/>
  <c r="O30" i="10"/>
  <c r="M59" i="10"/>
  <c r="R60" i="4"/>
  <c r="Q66" i="4"/>
  <c r="S89" i="13"/>
  <c r="S39" i="6" s="1"/>
  <c r="V89" i="13"/>
  <c r="V39" i="6" s="1"/>
  <c r="H54" i="11"/>
  <c r="R54" i="11" s="1"/>
  <c r="O35" i="12"/>
  <c r="X89" i="12"/>
  <c r="X35" i="6" s="1"/>
  <c r="Q75" i="4"/>
  <c r="Q72" i="4"/>
  <c r="Q69" i="4"/>
  <c r="Q54" i="4"/>
  <c r="Q63" i="4"/>
  <c r="Q48" i="4"/>
  <c r="Q45" i="4"/>
  <c r="O30" i="12"/>
  <c r="N46" i="12"/>
  <c r="N39" i="12"/>
  <c r="P42" i="12"/>
  <c r="N31" i="12"/>
  <c r="R63" i="7"/>
  <c r="O32" i="11"/>
  <c r="H71" i="11"/>
  <c r="R71" i="11" s="1"/>
  <c r="N73" i="11"/>
  <c r="O67" i="10"/>
  <c r="O93" i="10" s="1"/>
  <c r="O95" i="10" s="1"/>
  <c r="N41" i="10"/>
  <c r="O79" i="10"/>
  <c r="H67" i="7"/>
  <c r="H49" i="7"/>
  <c r="U49" i="7" s="1"/>
  <c r="R57" i="4"/>
  <c r="N72" i="11"/>
  <c r="AA89" i="13"/>
  <c r="AA39" i="6" s="1"/>
  <c r="X89" i="13"/>
  <c r="X39" i="6" s="1"/>
  <c r="Z89" i="13"/>
  <c r="Z39" i="6" s="1"/>
  <c r="O52" i="11"/>
  <c r="N81" i="11"/>
  <c r="O81" i="11"/>
  <c r="R74" i="11"/>
  <c r="P74" i="11"/>
  <c r="I73" i="11"/>
  <c r="N70" i="11"/>
  <c r="O66" i="11"/>
  <c r="N66" i="11"/>
  <c r="O38" i="11"/>
  <c r="N61" i="11"/>
  <c r="R63" i="11"/>
  <c r="H60" i="11"/>
  <c r="M61" i="11"/>
  <c r="N62" i="11"/>
  <c r="N30" i="11"/>
  <c r="N55" i="11"/>
  <c r="N48" i="11"/>
  <c r="I55" i="11"/>
  <c r="O59" i="10"/>
  <c r="N50" i="10"/>
  <c r="N44" i="10"/>
  <c r="P56" i="11"/>
  <c r="P48" i="10"/>
  <c r="O36" i="11"/>
  <c r="I48" i="11"/>
  <c r="H47" i="11"/>
  <c r="P49" i="11"/>
  <c r="N46" i="11"/>
  <c r="H37" i="11"/>
  <c r="M37" i="11" s="1"/>
  <c r="R39" i="11"/>
  <c r="I38" i="11"/>
  <c r="H31" i="11"/>
  <c r="R33" i="11"/>
  <c r="P33" i="11"/>
  <c r="I32" i="11"/>
  <c r="H64" i="7"/>
  <c r="U64" i="7" s="1"/>
  <c r="H61" i="7"/>
  <c r="U61" i="7" s="1"/>
  <c r="H52" i="7"/>
  <c r="U52" i="7" s="1"/>
  <c r="S52" i="7"/>
  <c r="H43" i="7"/>
  <c r="S43" i="7" s="1"/>
  <c r="U43" i="7"/>
  <c r="Q30" i="7"/>
  <c r="H31" i="7"/>
  <c r="S31" i="7" s="1"/>
  <c r="Q31" i="7" s="1"/>
  <c r="N33" i="12"/>
  <c r="H47" i="12"/>
  <c r="P47" i="12" s="1"/>
  <c r="N41" i="12"/>
  <c r="H50" i="12"/>
  <c r="R50" i="12" s="1"/>
  <c r="N52" i="12"/>
  <c r="O52" i="12"/>
  <c r="H40" i="12"/>
  <c r="N49" i="12"/>
  <c r="AA89" i="12"/>
  <c r="AA35" i="6" s="1"/>
  <c r="N32" i="12"/>
  <c r="N36" i="12"/>
  <c r="N81" i="10"/>
  <c r="O37" i="10"/>
  <c r="N60" i="10"/>
  <c r="H80" i="10"/>
  <c r="I81" i="10"/>
  <c r="N57" i="10"/>
  <c r="H70" i="10"/>
  <c r="P70" i="10" s="1"/>
  <c r="R73" i="10"/>
  <c r="P73" i="10"/>
  <c r="M71" i="10"/>
  <c r="Y77" i="10"/>
  <c r="I72" i="10"/>
  <c r="I60" i="10"/>
  <c r="H58" i="10"/>
  <c r="P58" i="10" s="1"/>
  <c r="R48" i="10"/>
  <c r="N47" i="10"/>
  <c r="Q48" i="10"/>
  <c r="H42" i="10"/>
  <c r="P42" i="10" s="1"/>
  <c r="H35" i="10"/>
  <c r="R35" i="10" s="1"/>
  <c r="R45" i="10"/>
  <c r="I44" i="10"/>
  <c r="H31" i="10"/>
  <c r="N34" i="10"/>
  <c r="S76" i="4"/>
  <c r="S73" i="4"/>
  <c r="Q73" i="4" s="1"/>
  <c r="S70" i="4"/>
  <c r="Q70" i="4" s="1"/>
  <c r="S67" i="4"/>
  <c r="Q67" i="4" s="1"/>
  <c r="S64" i="4"/>
  <c r="Q64" i="4" s="1"/>
  <c r="S61" i="4"/>
  <c r="Q61" i="4" s="1"/>
  <c r="U58" i="4"/>
  <c r="R58" i="4"/>
  <c r="S55" i="4"/>
  <c r="Q55" i="4" s="1"/>
  <c r="U49" i="4"/>
  <c r="R49" i="4"/>
  <c r="S37" i="4"/>
  <c r="Q37" i="4" s="1"/>
  <c r="S46" i="4"/>
  <c r="Q46" i="4" s="1"/>
  <c r="R36" i="4"/>
  <c r="O78" i="11" l="1"/>
  <c r="N78" i="11"/>
  <c r="P53" i="11"/>
  <c r="O53" i="11" s="1"/>
  <c r="Q53" i="11"/>
  <c r="R60" i="11"/>
  <c r="P60" i="11"/>
  <c r="N60" i="11" s="1"/>
  <c r="M60" i="11"/>
  <c r="M47" i="11"/>
  <c r="R47" i="11"/>
  <c r="Q47" i="11"/>
  <c r="R53" i="11"/>
  <c r="R31" i="11"/>
  <c r="Q31" i="11"/>
  <c r="U67" i="7"/>
  <c r="R80" i="10"/>
  <c r="Q80" i="10"/>
  <c r="R40" i="12"/>
  <c r="Q40" i="12"/>
  <c r="M70" i="10"/>
  <c r="R31" i="10"/>
  <c r="M31" i="10"/>
  <c r="P31" i="10"/>
  <c r="N31" i="10" s="1"/>
  <c r="Q31" i="10"/>
  <c r="Q89" i="13"/>
  <c r="Q39" i="6" s="1"/>
  <c r="M54" i="11"/>
  <c r="P54" i="11"/>
  <c r="O54" i="11" s="1"/>
  <c r="R70" i="10"/>
  <c r="N53" i="11"/>
  <c r="P63" i="11"/>
  <c r="N63" i="11" s="1"/>
  <c r="S64" i="7"/>
  <c r="Q64" i="7" s="1"/>
  <c r="S49" i="7"/>
  <c r="R49" i="7" s="1"/>
  <c r="R76" i="4"/>
  <c r="Q76" i="4"/>
  <c r="R37" i="4"/>
  <c r="U89" i="13"/>
  <c r="U39" i="6" s="1"/>
  <c r="S61" i="7"/>
  <c r="Q61" i="7" s="1"/>
  <c r="U31" i="7"/>
  <c r="R31" i="7"/>
  <c r="M71" i="11"/>
  <c r="P47" i="11"/>
  <c r="O47" i="11" s="1"/>
  <c r="P71" i="11"/>
  <c r="N71" i="11" s="1"/>
  <c r="P40" i="12"/>
  <c r="N40" i="12" s="1"/>
  <c r="Q89" i="12"/>
  <c r="Q35" i="6" s="1"/>
  <c r="S67" i="7"/>
  <c r="R67" i="7" s="1"/>
  <c r="O74" i="11"/>
  <c r="N74" i="11"/>
  <c r="R37" i="11"/>
  <c r="P37" i="11"/>
  <c r="O37" i="11" s="1"/>
  <c r="O56" i="11"/>
  <c r="N56" i="11"/>
  <c r="O49" i="11"/>
  <c r="N49" i="11"/>
  <c r="Q37" i="11"/>
  <c r="O39" i="11"/>
  <c r="N39" i="11"/>
  <c r="P31" i="11"/>
  <c r="N31" i="11" s="1"/>
  <c r="M31" i="11"/>
  <c r="O33" i="11"/>
  <c r="N33" i="11"/>
  <c r="R52" i="7"/>
  <c r="Q52" i="7"/>
  <c r="Q43" i="7"/>
  <c r="R43" i="7"/>
  <c r="P50" i="12"/>
  <c r="M47" i="12"/>
  <c r="R47" i="12"/>
  <c r="W89" i="12" s="1"/>
  <c r="W35" i="6" s="1"/>
  <c r="M40" i="12"/>
  <c r="M89" i="12" s="1"/>
  <c r="L35" i="6" s="1"/>
  <c r="U89" i="12"/>
  <c r="U35" i="6" s="1"/>
  <c r="O50" i="12"/>
  <c r="N50" i="12"/>
  <c r="O48" i="12"/>
  <c r="N47" i="12"/>
  <c r="O47" i="12"/>
  <c r="N42" i="12"/>
  <c r="O42" i="12"/>
  <c r="O34" i="12"/>
  <c r="N34" i="12"/>
  <c r="P80" i="10"/>
  <c r="M80" i="10"/>
  <c r="O82" i="10"/>
  <c r="N82" i="10"/>
  <c r="M58" i="10"/>
  <c r="R58" i="10"/>
  <c r="O71" i="10"/>
  <c r="N71" i="10"/>
  <c r="O73" i="10"/>
  <c r="N73" i="10"/>
  <c r="O70" i="10"/>
  <c r="N70" i="10"/>
  <c r="T36" i="10"/>
  <c r="M35" i="10"/>
  <c r="P35" i="10"/>
  <c r="O35" i="10" s="1"/>
  <c r="O61" i="10"/>
  <c r="N61" i="10"/>
  <c r="O58" i="10"/>
  <c r="N58" i="10"/>
  <c r="T49" i="10"/>
  <c r="N49" i="10"/>
  <c r="O49" i="10"/>
  <c r="M49" i="10"/>
  <c r="O48" i="10"/>
  <c r="N48" i="10"/>
  <c r="N51" i="10"/>
  <c r="O51" i="10"/>
  <c r="Q42" i="10"/>
  <c r="R42" i="10"/>
  <c r="M42" i="10"/>
  <c r="Q35" i="10"/>
  <c r="T43" i="10"/>
  <c r="O43" i="10"/>
  <c r="N43" i="10"/>
  <c r="M43" i="10"/>
  <c r="O42" i="10"/>
  <c r="N42" i="10"/>
  <c r="O45" i="10"/>
  <c r="N45" i="10"/>
  <c r="O36" i="10"/>
  <c r="N36" i="10"/>
  <c r="O38" i="10"/>
  <c r="R73" i="4"/>
  <c r="R70" i="4"/>
  <c r="R67" i="4"/>
  <c r="R64" i="4"/>
  <c r="R61" i="4"/>
  <c r="R55" i="4"/>
  <c r="R46" i="4"/>
  <c r="O60" i="11" l="1"/>
  <c r="N54" i="11"/>
  <c r="O63" i="11"/>
  <c r="Q89" i="10"/>
  <c r="Q33" i="6" s="1"/>
  <c r="M89" i="10"/>
  <c r="L33" i="6" s="1"/>
  <c r="N47" i="11"/>
  <c r="Q49" i="7"/>
  <c r="R64" i="7"/>
  <c r="R89" i="11"/>
  <c r="R37" i="6" s="1"/>
  <c r="R89" i="12"/>
  <c r="R35" i="6" s="1"/>
  <c r="N89" i="13"/>
  <c r="N39" i="6" s="1"/>
  <c r="P89" i="13"/>
  <c r="P39" i="6" s="1"/>
  <c r="W89" i="13"/>
  <c r="W39" i="6" s="1"/>
  <c r="R89" i="13"/>
  <c r="R39" i="6" s="1"/>
  <c r="M89" i="13"/>
  <c r="L39" i="6" s="1"/>
  <c r="Q89" i="11"/>
  <c r="Q37" i="6" s="1"/>
  <c r="M89" i="11"/>
  <c r="L37" i="6" s="1"/>
  <c r="R89" i="10"/>
  <c r="R33" i="6" s="1"/>
  <c r="R61" i="7"/>
  <c r="N89" i="12"/>
  <c r="N35" i="6" s="1"/>
  <c r="O71" i="11"/>
  <c r="Q67" i="7"/>
  <c r="T89" i="13"/>
  <c r="T39" i="6" s="1"/>
  <c r="N37" i="11"/>
  <c r="O31" i="11"/>
  <c r="P89" i="11" s="1"/>
  <c r="P37" i="6" s="1"/>
  <c r="T89" i="12"/>
  <c r="T35" i="6" s="1"/>
  <c r="O40" i="12"/>
  <c r="P89" i="12" s="1"/>
  <c r="P35" i="6" s="1"/>
  <c r="Z89" i="12"/>
  <c r="Z35" i="6" s="1"/>
  <c r="O80" i="10"/>
  <c r="N80" i="10"/>
  <c r="O31" i="10"/>
  <c r="P89" i="10" s="1"/>
  <c r="P33" i="6" s="1"/>
  <c r="N35" i="10"/>
  <c r="H40" i="4"/>
  <c r="S40" i="4" s="1"/>
  <c r="Q40" i="4" s="1"/>
  <c r="Z39" i="4"/>
  <c r="U39" i="4"/>
  <c r="S39" i="4"/>
  <c r="H39" i="4"/>
  <c r="U33" i="4"/>
  <c r="V89" i="11"/>
  <c r="V37" i="6" s="1"/>
  <c r="H88" i="11"/>
  <c r="H28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E9" i="11"/>
  <c r="V89" i="10"/>
  <c r="V33" i="6" s="1"/>
  <c r="H28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E9" i="10"/>
  <c r="S33" i="7"/>
  <c r="Y57" i="7"/>
  <c r="Y89" i="7" s="1"/>
  <c r="X57" i="7"/>
  <c r="X89" i="7" s="1"/>
  <c r="W57" i="7"/>
  <c r="W89" i="7" s="1"/>
  <c r="T57" i="7"/>
  <c r="H57" i="7"/>
  <c r="I57" i="7" s="1"/>
  <c r="AE131" i="8"/>
  <c r="AD131" i="8"/>
  <c r="X131" i="8"/>
  <c r="U131" i="8"/>
  <c r="H130" i="8"/>
  <c r="H129" i="8"/>
  <c r="H128" i="8"/>
  <c r="W89" i="8"/>
  <c r="T89" i="8"/>
  <c r="O89" i="8"/>
  <c r="N89" i="8"/>
  <c r="L89" i="8"/>
  <c r="M89" i="8" s="1"/>
  <c r="H89" i="8"/>
  <c r="AA88" i="8"/>
  <c r="Z88" i="8"/>
  <c r="Y88" i="8"/>
  <c r="W88" i="8"/>
  <c r="T88" i="8"/>
  <c r="O88" i="8"/>
  <c r="N88" i="8"/>
  <c r="L88" i="8"/>
  <c r="M88" i="8" s="1"/>
  <c r="K88" i="8"/>
  <c r="H88" i="8"/>
  <c r="I88" i="8" s="1"/>
  <c r="W86" i="8"/>
  <c r="H86" i="8"/>
  <c r="R86" i="8" s="1"/>
  <c r="AC85" i="8"/>
  <c r="AB85" i="8"/>
  <c r="W85" i="8"/>
  <c r="R85" i="8"/>
  <c r="H85" i="8"/>
  <c r="T83" i="8"/>
  <c r="H83" i="8"/>
  <c r="N83" i="8" s="1"/>
  <c r="AA82" i="8"/>
  <c r="Z82" i="8"/>
  <c r="Y82" i="8"/>
  <c r="W82" i="8"/>
  <c r="T82" i="8"/>
  <c r="R82" i="8"/>
  <c r="Q82" i="8"/>
  <c r="P82" i="8"/>
  <c r="N82" i="8"/>
  <c r="H82" i="8"/>
  <c r="I82" i="8" s="1"/>
  <c r="H80" i="8"/>
  <c r="R83" i="8" s="1"/>
  <c r="AC79" i="8"/>
  <c r="AB79" i="8"/>
  <c r="W79" i="8"/>
  <c r="R79" i="8"/>
  <c r="H79" i="8"/>
  <c r="M77" i="8"/>
  <c r="L77" i="8"/>
  <c r="H77" i="8"/>
  <c r="W77" i="8" s="1"/>
  <c r="AA76" i="8"/>
  <c r="Z76" i="8"/>
  <c r="Y76" i="8"/>
  <c r="W76" i="8"/>
  <c r="T76" i="8"/>
  <c r="O76" i="8"/>
  <c r="N76" i="8"/>
  <c r="M76" i="8"/>
  <c r="L76" i="8"/>
  <c r="K76" i="8"/>
  <c r="H76" i="8"/>
  <c r="I76" i="8" s="1"/>
  <c r="AA74" i="8"/>
  <c r="Z74" i="8"/>
  <c r="V74" i="8"/>
  <c r="S74" i="8"/>
  <c r="I74" i="8"/>
  <c r="H74" i="8"/>
  <c r="AA72" i="8"/>
  <c r="Z72" i="8"/>
  <c r="V72" i="8"/>
  <c r="S72" i="8"/>
  <c r="I72" i="8"/>
  <c r="H72" i="8"/>
  <c r="AA70" i="8"/>
  <c r="Z70" i="8"/>
  <c r="V70" i="8"/>
  <c r="S70" i="8"/>
  <c r="H70" i="8"/>
  <c r="I70" i="8" s="1"/>
  <c r="H68" i="8"/>
  <c r="W68" i="8" s="1"/>
  <c r="AC67" i="8"/>
  <c r="AB67" i="8"/>
  <c r="W67" i="8"/>
  <c r="R67" i="8"/>
  <c r="H67" i="8"/>
  <c r="AA66" i="8"/>
  <c r="Z66" i="8"/>
  <c r="Y66" i="8"/>
  <c r="W66" i="8"/>
  <c r="T66" i="8"/>
  <c r="R66" i="8"/>
  <c r="Q66" i="8"/>
  <c r="P66" i="8"/>
  <c r="N66" i="8"/>
  <c r="H66" i="8"/>
  <c r="I66" i="8" s="1"/>
  <c r="AA64" i="8"/>
  <c r="Z64" i="8"/>
  <c r="V64" i="8"/>
  <c r="S64" i="8"/>
  <c r="H64" i="8"/>
  <c r="I64" i="8" s="1"/>
  <c r="W62" i="8"/>
  <c r="H62" i="8"/>
  <c r="R62" i="8" s="1"/>
  <c r="AC61" i="8"/>
  <c r="AB61" i="8"/>
  <c r="W61" i="8"/>
  <c r="R61" i="8"/>
  <c r="H61" i="8"/>
  <c r="T59" i="8"/>
  <c r="H59" i="8"/>
  <c r="O59" i="8" s="1"/>
  <c r="W58" i="8"/>
  <c r="N58" i="8"/>
  <c r="K58" i="8"/>
  <c r="H58" i="8"/>
  <c r="O58" i="8" s="1"/>
  <c r="AA57" i="8"/>
  <c r="Z57" i="8"/>
  <c r="Y57" i="8"/>
  <c r="Y131" i="8" s="1"/>
  <c r="W57" i="8"/>
  <c r="T57" i="8"/>
  <c r="N57" i="8"/>
  <c r="L57" i="8"/>
  <c r="M57" i="8" s="1"/>
  <c r="K57" i="8"/>
  <c r="O57" i="8" s="1"/>
  <c r="I57" i="8"/>
  <c r="H57" i="8"/>
  <c r="N55" i="8"/>
  <c r="H55" i="8"/>
  <c r="W55" i="8" s="1"/>
  <c r="AA54" i="8"/>
  <c r="Z54" i="8"/>
  <c r="Y54" i="8"/>
  <c r="W54" i="8"/>
  <c r="T54" i="8"/>
  <c r="R54" i="8"/>
  <c r="P54" i="8" s="1"/>
  <c r="Q54" i="8"/>
  <c r="N54" i="8"/>
  <c r="I54" i="8"/>
  <c r="H54" i="8"/>
  <c r="H52" i="8"/>
  <c r="R55" i="8" s="1"/>
  <c r="W51" i="8"/>
  <c r="R51" i="8"/>
  <c r="W50" i="8"/>
  <c r="R50" i="8"/>
  <c r="R49" i="8"/>
  <c r="H49" i="8"/>
  <c r="W49" i="8" s="1"/>
  <c r="W48" i="8"/>
  <c r="R48" i="8"/>
  <c r="W47" i="8"/>
  <c r="R47" i="8"/>
  <c r="W46" i="8"/>
  <c r="H46" i="8"/>
  <c r="R46" i="8" s="1"/>
  <c r="AC45" i="8"/>
  <c r="AB45" i="8"/>
  <c r="W45" i="8"/>
  <c r="R45" i="8"/>
  <c r="H45" i="8"/>
  <c r="R44" i="8"/>
  <c r="Q44" i="8"/>
  <c r="P44" i="8"/>
  <c r="N44" i="8"/>
  <c r="H44" i="8"/>
  <c r="W44" i="8" s="1"/>
  <c r="AA43" i="8"/>
  <c r="Z43" i="8"/>
  <c r="Y43" i="8"/>
  <c r="T43" i="8"/>
  <c r="W43" i="8" s="1"/>
  <c r="R43" i="8"/>
  <c r="Q43" i="8"/>
  <c r="P43" i="8"/>
  <c r="N43" i="8"/>
  <c r="I43" i="8"/>
  <c r="H43" i="8"/>
  <c r="R41" i="8"/>
  <c r="Q41" i="8" s="1"/>
  <c r="P41" i="8"/>
  <c r="N41" i="8"/>
  <c r="H41" i="8"/>
  <c r="W41" i="8" s="1"/>
  <c r="N40" i="8"/>
  <c r="H40" i="8"/>
  <c r="W40" i="8" s="1"/>
  <c r="AA39" i="8"/>
  <c r="Z39" i="8"/>
  <c r="Y39" i="8"/>
  <c r="T39" i="8"/>
  <c r="W39" i="8" s="1"/>
  <c r="R39" i="8"/>
  <c r="Q39" i="8"/>
  <c r="P39" i="8"/>
  <c r="N39" i="8"/>
  <c r="H39" i="8"/>
  <c r="I39" i="8" s="1"/>
  <c r="H37" i="8"/>
  <c r="R40" i="8" s="1"/>
  <c r="AC36" i="8"/>
  <c r="AC131" i="8" s="1"/>
  <c r="AB36" i="8"/>
  <c r="AB131" i="8" s="1"/>
  <c r="W36" i="8"/>
  <c r="R36" i="8"/>
  <c r="H36" i="8"/>
  <c r="O34" i="8"/>
  <c r="N34" i="8"/>
  <c r="L34" i="8"/>
  <c r="M34" i="8" s="1"/>
  <c r="K34" i="8"/>
  <c r="H34" i="8"/>
  <c r="W34" i="8" s="1"/>
  <c r="M33" i="8"/>
  <c r="L33" i="8"/>
  <c r="H33" i="8"/>
  <c r="W33" i="8" s="1"/>
  <c r="AA32" i="8"/>
  <c r="AA131" i="8" s="1"/>
  <c r="Z32" i="8"/>
  <c r="Y32" i="8"/>
  <c r="W32" i="8"/>
  <c r="T32" i="8"/>
  <c r="O32" i="8"/>
  <c r="N32" i="8"/>
  <c r="M32" i="8"/>
  <c r="L32" i="8"/>
  <c r="K32" i="8"/>
  <c r="H32" i="8"/>
  <c r="I32" i="8" s="1"/>
  <c r="AA30" i="8"/>
  <c r="Z30" i="8"/>
  <c r="Z131" i="8" s="1"/>
  <c r="V30" i="8"/>
  <c r="V131" i="8" s="1"/>
  <c r="S30" i="8"/>
  <c r="I30" i="8"/>
  <c r="H30" i="8"/>
  <c r="H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E9" i="8"/>
  <c r="H88" i="7"/>
  <c r="H87" i="7"/>
  <c r="H86" i="7"/>
  <c r="H34" i="7"/>
  <c r="AA33" i="7"/>
  <c r="AA89" i="7" s="1"/>
  <c r="X31" i="6" s="1"/>
  <c r="Z33" i="7"/>
  <c r="Z89" i="7" s="1"/>
  <c r="W31" i="6" s="1"/>
  <c r="U33" i="7"/>
  <c r="H33" i="7"/>
  <c r="H28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O27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O15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O14" i="7"/>
  <c r="E9" i="7"/>
  <c r="X30" i="4"/>
  <c r="T30" i="4"/>
  <c r="U30" i="4" s="1"/>
  <c r="N89" i="11" l="1"/>
  <c r="N37" i="6" s="1"/>
  <c r="U57" i="7"/>
  <c r="T89" i="7"/>
  <c r="Q33" i="7"/>
  <c r="O89" i="13"/>
  <c r="O39" i="6" s="1"/>
  <c r="R39" i="4"/>
  <c r="Q39" i="4"/>
  <c r="O89" i="11"/>
  <c r="O37" i="6" s="1"/>
  <c r="O89" i="12"/>
  <c r="O35" i="6" s="1"/>
  <c r="O89" i="10"/>
  <c r="O33" i="6" s="1"/>
  <c r="U34" i="7"/>
  <c r="S34" i="7"/>
  <c r="R34" i="7" s="1"/>
  <c r="R33" i="7"/>
  <c r="U40" i="4"/>
  <c r="R40" i="4"/>
  <c r="U89" i="11"/>
  <c r="U37" i="6" s="1"/>
  <c r="X89" i="11"/>
  <c r="X37" i="6" s="1"/>
  <c r="Z89" i="11"/>
  <c r="AA37" i="6" s="1"/>
  <c r="X89" i="10"/>
  <c r="X33" i="6" s="1"/>
  <c r="N89" i="10"/>
  <c r="N33" i="6" s="1"/>
  <c r="AA89" i="10"/>
  <c r="N131" i="8"/>
  <c r="Q83" i="8"/>
  <c r="P83" i="8"/>
  <c r="Q40" i="8"/>
  <c r="P40" i="8"/>
  <c r="Q55" i="8"/>
  <c r="P55" i="8"/>
  <c r="W59" i="8"/>
  <c r="R68" i="8"/>
  <c r="W83" i="8"/>
  <c r="N33" i="8"/>
  <c r="R52" i="8"/>
  <c r="R131" i="8" s="1"/>
  <c r="N77" i="8"/>
  <c r="O33" i="8"/>
  <c r="O131" i="8" s="1"/>
  <c r="R37" i="8"/>
  <c r="W52" i="8"/>
  <c r="O77" i="8"/>
  <c r="T33" i="8"/>
  <c r="T131" i="8" s="1"/>
  <c r="W37" i="8"/>
  <c r="W131" i="8" s="1"/>
  <c r="T55" i="8"/>
  <c r="L58" i="8"/>
  <c r="T77" i="8"/>
  <c r="T40" i="8"/>
  <c r="L59" i="8"/>
  <c r="M59" i="8" s="1"/>
  <c r="N59" i="8"/>
  <c r="R80" i="8"/>
  <c r="W80" i="8"/>
  <c r="R89" i="7" l="1"/>
  <c r="O31" i="6" s="1"/>
  <c r="S89" i="7"/>
  <c r="P31" i="6" s="1"/>
  <c r="U89" i="7"/>
  <c r="R31" i="6" s="1"/>
  <c r="Q34" i="7"/>
  <c r="Q89" i="7" s="1"/>
  <c r="N31" i="6" s="1"/>
  <c r="Y89" i="10"/>
  <c r="Z33" i="6" s="1"/>
  <c r="W89" i="11"/>
  <c r="W37" i="6" s="1"/>
  <c r="Y89" i="11"/>
  <c r="Z37" i="6" s="1"/>
  <c r="Z89" i="10"/>
  <c r="AA33" i="6" s="1"/>
  <c r="AB89" i="10"/>
  <c r="U89" i="10"/>
  <c r="U33" i="6" s="1"/>
  <c r="M58" i="8"/>
  <c r="L131" i="8"/>
  <c r="T89" i="11" l="1"/>
  <c r="T37" i="6" s="1"/>
  <c r="T89" i="10"/>
  <c r="T33" i="6" s="1"/>
  <c r="W89" i="10"/>
  <c r="W33" i="6" s="1"/>
  <c r="Z33" i="4" l="1"/>
  <c r="S33" i="4"/>
  <c r="Q33" i="4" s="1"/>
  <c r="Z89" i="4" l="1"/>
  <c r="W29" i="6" s="1"/>
  <c r="R33" i="4"/>
  <c r="AB89" i="4"/>
  <c r="Z29" i="6" s="1"/>
  <c r="O30" i="1"/>
  <c r="N30" i="1"/>
  <c r="N31" i="1"/>
  <c r="Y30" i="4"/>
  <c r="M30" i="1"/>
  <c r="L30" i="1"/>
  <c r="L31" i="1"/>
  <c r="H31" i="1"/>
  <c r="H34" i="4"/>
  <c r="H33" i="4"/>
  <c r="O27" i="4"/>
  <c r="O14" i="4"/>
  <c r="O15" i="4"/>
  <c r="H30" i="4"/>
  <c r="I30" i="4" s="1"/>
  <c r="I30" i="1"/>
  <c r="V27" i="4"/>
  <c r="V15" i="4"/>
  <c r="V14" i="4"/>
  <c r="U27" i="4"/>
  <c r="U15" i="4"/>
  <c r="U14" i="4"/>
  <c r="R27" i="4"/>
  <c r="R14" i="4"/>
  <c r="R15" i="4"/>
  <c r="AA89" i="4" l="1"/>
  <c r="X29" i="6" s="1"/>
  <c r="X89" i="6" s="1"/>
  <c r="X104" i="6" s="1"/>
  <c r="U34" i="4"/>
  <c r="S34" i="4"/>
  <c r="Q34" i="4" s="1"/>
  <c r="Q89" i="4" s="1"/>
  <c r="Y89" i="4"/>
  <c r="V29" i="6" s="1"/>
  <c r="AC89" i="4"/>
  <c r="AA29" i="6" s="1"/>
  <c r="AA89" i="6" s="1"/>
  <c r="AA104" i="6" s="1"/>
  <c r="N27" i="6"/>
  <c r="L27" i="6"/>
  <c r="N15" i="6"/>
  <c r="L15" i="6"/>
  <c r="N14" i="6"/>
  <c r="L14" i="6"/>
  <c r="Z89" i="6"/>
  <c r="Z104" i="6" s="1"/>
  <c r="D88" i="6"/>
  <c r="D28" i="6"/>
  <c r="AA27" i="6"/>
  <c r="Z27" i="6"/>
  <c r="W27" i="6"/>
  <c r="V27" i="6"/>
  <c r="U27" i="6"/>
  <c r="T27" i="6"/>
  <c r="S27" i="6"/>
  <c r="R27" i="6"/>
  <c r="Q27" i="6"/>
  <c r="P27" i="6"/>
  <c r="O27" i="6"/>
  <c r="AA15" i="6"/>
  <c r="Z15" i="6"/>
  <c r="W15" i="6"/>
  <c r="V15" i="6"/>
  <c r="U15" i="6"/>
  <c r="T15" i="6"/>
  <c r="S15" i="6"/>
  <c r="R15" i="6"/>
  <c r="Q15" i="6"/>
  <c r="P15" i="6"/>
  <c r="O15" i="6"/>
  <c r="AA14" i="6"/>
  <c r="Z14" i="6"/>
  <c r="W14" i="6"/>
  <c r="V14" i="6"/>
  <c r="U14" i="6"/>
  <c r="T14" i="6"/>
  <c r="S14" i="6"/>
  <c r="R14" i="6"/>
  <c r="Q14" i="6"/>
  <c r="P14" i="6"/>
  <c r="O14" i="6"/>
  <c r="D9" i="6"/>
  <c r="H88" i="4"/>
  <c r="H87" i="4"/>
  <c r="H28" i="4"/>
  <c r="AC27" i="4"/>
  <c r="AB27" i="4"/>
  <c r="Z27" i="4"/>
  <c r="Y27" i="4"/>
  <c r="X27" i="4"/>
  <c r="W27" i="4"/>
  <c r="T27" i="4"/>
  <c r="S27" i="4"/>
  <c r="AC15" i="4"/>
  <c r="AB15" i="4"/>
  <c r="Z15" i="4"/>
  <c r="Y15" i="4"/>
  <c r="X15" i="4"/>
  <c r="W15" i="4"/>
  <c r="T15" i="4"/>
  <c r="S15" i="4"/>
  <c r="Q15" i="4"/>
  <c r="AC14" i="4"/>
  <c r="AB14" i="4"/>
  <c r="Z14" i="4"/>
  <c r="Y14" i="4"/>
  <c r="X14" i="4"/>
  <c r="W14" i="4"/>
  <c r="T14" i="4"/>
  <c r="S14" i="4"/>
  <c r="Q14" i="4"/>
  <c r="E9" i="4"/>
  <c r="R34" i="4" l="1"/>
  <c r="R89" i="4" s="1"/>
  <c r="O29" i="6" s="1"/>
  <c r="O89" i="6" s="1"/>
  <c r="O104" i="6" s="1"/>
  <c r="S89" i="4"/>
  <c r="T89" i="4"/>
  <c r="X89" i="4"/>
  <c r="W89" i="6"/>
  <c r="W104" i="6" s="1"/>
  <c r="W89" i="4"/>
  <c r="J50" i="1"/>
  <c r="H52" i="1"/>
  <c r="H55" i="1"/>
  <c r="O55" i="1" s="1"/>
  <c r="Q52" i="1"/>
  <c r="H51" i="1"/>
  <c r="H56" i="1"/>
  <c r="U88" i="1"/>
  <c r="V89" i="6" l="1"/>
  <c r="V104" i="6" s="1"/>
  <c r="U29" i="6"/>
  <c r="U89" i="6" s="1"/>
  <c r="U104" i="6" s="1"/>
  <c r="P29" i="6"/>
  <c r="P89" i="6" s="1"/>
  <c r="P104" i="6" s="1"/>
  <c r="N29" i="6"/>
  <c r="N89" i="6" s="1"/>
  <c r="N104" i="6" s="1"/>
  <c r="T29" i="6"/>
  <c r="T89" i="6" s="1"/>
  <c r="T104" i="6" s="1"/>
  <c r="Q29" i="6"/>
  <c r="Q89" i="6" s="1"/>
  <c r="Q104" i="6" s="1"/>
  <c r="L29" i="6"/>
  <c r="L89" i="6" s="1"/>
  <c r="L104" i="6" s="1"/>
  <c r="V89" i="4"/>
  <c r="U89" i="4"/>
  <c r="Q55" i="1"/>
  <c r="L55" i="1"/>
  <c r="M55" i="1" s="1"/>
  <c r="N55" i="1"/>
  <c r="P52" i="1"/>
  <c r="L52" i="1"/>
  <c r="M52" i="1" s="1"/>
  <c r="N52" i="1"/>
  <c r="O52" i="1"/>
  <c r="Q113" i="1"/>
  <c r="Q115" i="1"/>
  <c r="Q114" i="1"/>
  <c r="O115" i="1"/>
  <c r="O114" i="1"/>
  <c r="O113" i="1"/>
  <c r="N115" i="1"/>
  <c r="N114" i="1"/>
  <c r="N113" i="1"/>
  <c r="N111" i="1"/>
  <c r="N112" i="1"/>
  <c r="L113" i="1"/>
  <c r="M113" i="1" s="1"/>
  <c r="L114" i="1"/>
  <c r="M114" i="1" s="1"/>
  <c r="L115" i="1"/>
  <c r="M115" i="1" s="1"/>
  <c r="K111" i="1"/>
  <c r="K114" i="1"/>
  <c r="K36" i="1"/>
  <c r="H36" i="1"/>
  <c r="H37" i="1" s="1"/>
  <c r="Q37" i="1" s="1"/>
  <c r="K33" i="1"/>
  <c r="T30" i="1"/>
  <c r="S30" i="1"/>
  <c r="R30" i="1"/>
  <c r="Q30" i="1"/>
  <c r="P30" i="1"/>
  <c r="K30" i="1"/>
  <c r="H46" i="1"/>
  <c r="Q46" i="1" s="1"/>
  <c r="H45" i="1"/>
  <c r="H42" i="1"/>
  <c r="O42" i="1" s="1"/>
  <c r="T41" i="1"/>
  <c r="S41" i="1"/>
  <c r="R41" i="1"/>
  <c r="Q41" i="1"/>
  <c r="P41" i="1"/>
  <c r="O41" i="1"/>
  <c r="N41" i="1"/>
  <c r="L41" i="1"/>
  <c r="K41" i="1"/>
  <c r="E37" i="1"/>
  <c r="F37" i="1"/>
  <c r="W39" i="1"/>
  <c r="T36" i="1"/>
  <c r="S36" i="1"/>
  <c r="R36" i="1"/>
  <c r="Q36" i="1"/>
  <c r="P36" i="1"/>
  <c r="O36" i="1"/>
  <c r="N36" i="1"/>
  <c r="L36" i="1"/>
  <c r="M36" i="1" s="1"/>
  <c r="K45" i="1"/>
  <c r="K50" i="1"/>
  <c r="K64" i="1"/>
  <c r="K69" i="1"/>
  <c r="K54" i="1"/>
  <c r="K72" i="1"/>
  <c r="K75" i="1"/>
  <c r="K58" i="1"/>
  <c r="R67" i="1"/>
  <c r="R48" i="1"/>
  <c r="R39" i="1"/>
  <c r="T69" i="1"/>
  <c r="T64" i="1"/>
  <c r="T50" i="1"/>
  <c r="T45" i="1"/>
  <c r="H87" i="1"/>
  <c r="T108" i="1"/>
  <c r="T96" i="1"/>
  <c r="T95" i="1"/>
  <c r="T111" i="1"/>
  <c r="T166" i="1" s="1"/>
  <c r="T75" i="1"/>
  <c r="T72" i="1"/>
  <c r="T54" i="1"/>
  <c r="T33" i="1"/>
  <c r="T27" i="1"/>
  <c r="T14" i="1"/>
  <c r="T15" i="1"/>
  <c r="X14" i="1"/>
  <c r="X15" i="1"/>
  <c r="U114" i="1"/>
  <c r="U166" i="1" s="1"/>
  <c r="U169" i="1" s="1"/>
  <c r="F113" i="1"/>
  <c r="F114" i="1" s="1"/>
  <c r="F115" i="1" s="1"/>
  <c r="E113" i="1"/>
  <c r="E114" i="1" s="1"/>
  <c r="E115" i="1" s="1"/>
  <c r="Q112" i="1"/>
  <c r="O112" i="1"/>
  <c r="L112" i="1"/>
  <c r="M112" i="1" s="1"/>
  <c r="S111" i="1"/>
  <c r="S166" i="1" s="1"/>
  <c r="R111" i="1"/>
  <c r="R166" i="1" s="1"/>
  <c r="Q111" i="1"/>
  <c r="P111" i="1"/>
  <c r="P166" i="1" s="1"/>
  <c r="O111" i="1"/>
  <c r="L111" i="1"/>
  <c r="I111" i="1"/>
  <c r="W67" i="1"/>
  <c r="V58" i="1"/>
  <c r="V88" i="1" s="1"/>
  <c r="V167" i="1" s="1"/>
  <c r="V169" i="1" s="1"/>
  <c r="W48" i="1"/>
  <c r="Q76" i="1"/>
  <c r="P76" i="1"/>
  <c r="O76" i="1"/>
  <c r="N76" i="1"/>
  <c r="L76" i="1"/>
  <c r="M76" i="1" s="1"/>
  <c r="S75" i="1"/>
  <c r="R75" i="1"/>
  <c r="Q75" i="1"/>
  <c r="P75" i="1"/>
  <c r="O75" i="1"/>
  <c r="N75" i="1"/>
  <c r="L75" i="1"/>
  <c r="M75" i="1" s="1"/>
  <c r="Q73" i="1"/>
  <c r="P73" i="1"/>
  <c r="O73" i="1"/>
  <c r="N73" i="1"/>
  <c r="L73" i="1"/>
  <c r="M73" i="1" s="1"/>
  <c r="S72" i="1"/>
  <c r="R72" i="1"/>
  <c r="Q72" i="1"/>
  <c r="P72" i="1"/>
  <c r="O72" i="1"/>
  <c r="N72" i="1"/>
  <c r="L72" i="1"/>
  <c r="M72" i="1" s="1"/>
  <c r="S69" i="1"/>
  <c r="R69" i="1"/>
  <c r="Q69" i="1"/>
  <c r="P69" i="1"/>
  <c r="O69" i="1"/>
  <c r="N69" i="1"/>
  <c r="L69" i="1"/>
  <c r="M69" i="1" s="1"/>
  <c r="Q67" i="1"/>
  <c r="P67" i="1"/>
  <c r="O67" i="1"/>
  <c r="N67" i="1"/>
  <c r="L67" i="1"/>
  <c r="M67" i="1" s="1"/>
  <c r="S64" i="1"/>
  <c r="R64" i="1"/>
  <c r="Q64" i="1"/>
  <c r="P64" i="1"/>
  <c r="O64" i="1"/>
  <c r="N64" i="1"/>
  <c r="L64" i="1"/>
  <c r="M64" i="1" s="1"/>
  <c r="Q61" i="1"/>
  <c r="P61" i="1"/>
  <c r="O61" i="1"/>
  <c r="N61" i="1"/>
  <c r="L61" i="1"/>
  <c r="M61" i="1" s="1"/>
  <c r="L56" i="1"/>
  <c r="M56" i="1" s="1"/>
  <c r="S54" i="1"/>
  <c r="R54" i="1"/>
  <c r="Q54" i="1"/>
  <c r="P54" i="1"/>
  <c r="O54" i="1"/>
  <c r="N54" i="1"/>
  <c r="L54" i="1"/>
  <c r="M54" i="1" s="1"/>
  <c r="S50" i="1"/>
  <c r="R50" i="1"/>
  <c r="Q50" i="1"/>
  <c r="P50" i="1"/>
  <c r="O50" i="1"/>
  <c r="N50" i="1"/>
  <c r="L50" i="1"/>
  <c r="M50" i="1" s="1"/>
  <c r="Q48" i="1"/>
  <c r="P48" i="1"/>
  <c r="O48" i="1"/>
  <c r="N48" i="1"/>
  <c r="L48" i="1"/>
  <c r="M48" i="1" s="1"/>
  <c r="L46" i="1"/>
  <c r="M46" i="1" s="1"/>
  <c r="S45" i="1"/>
  <c r="R45" i="1"/>
  <c r="Q45" i="1"/>
  <c r="P45" i="1"/>
  <c r="O45" i="1"/>
  <c r="N45" i="1"/>
  <c r="L45" i="1"/>
  <c r="M45" i="1" s="1"/>
  <c r="Q39" i="1"/>
  <c r="P39" i="1"/>
  <c r="O39" i="1"/>
  <c r="N39" i="1"/>
  <c r="L39" i="1"/>
  <c r="M39" i="1" s="1"/>
  <c r="S33" i="1"/>
  <c r="R33" i="1"/>
  <c r="Q33" i="1"/>
  <c r="P33" i="1"/>
  <c r="O33" i="1"/>
  <c r="N33" i="1"/>
  <c r="L33" i="1"/>
  <c r="M33" i="1" s="1"/>
  <c r="H70" i="1"/>
  <c r="Q70" i="1" s="1"/>
  <c r="H69" i="1"/>
  <c r="H65" i="1"/>
  <c r="Q65" i="1" s="1"/>
  <c r="H64" i="1"/>
  <c r="Q56" i="1"/>
  <c r="L51" i="1"/>
  <c r="M51" i="1" s="1"/>
  <c r="H50" i="1"/>
  <c r="H41" i="1"/>
  <c r="H34" i="1"/>
  <c r="L34" i="1" s="1"/>
  <c r="M34" i="1" s="1"/>
  <c r="Q31" i="1"/>
  <c r="S60" i="1"/>
  <c r="AC258" i="1"/>
  <c r="AB258" i="1"/>
  <c r="AA258" i="1"/>
  <c r="Z258" i="1"/>
  <c r="Y258" i="1"/>
  <c r="X258" i="1"/>
  <c r="W258" i="1"/>
  <c r="V258" i="1"/>
  <c r="U258" i="1"/>
  <c r="S258" i="1"/>
  <c r="R258" i="1"/>
  <c r="Q258" i="1"/>
  <c r="P258" i="1"/>
  <c r="O258" i="1"/>
  <c r="N258" i="1"/>
  <c r="M258" i="1"/>
  <c r="L258" i="1"/>
  <c r="K258" i="1"/>
  <c r="AC177" i="1"/>
  <c r="AB177" i="1"/>
  <c r="AA177" i="1"/>
  <c r="Z177" i="1"/>
  <c r="Y177" i="1"/>
  <c r="X177" i="1"/>
  <c r="W177" i="1"/>
  <c r="V177" i="1"/>
  <c r="U177" i="1"/>
  <c r="S177" i="1"/>
  <c r="R177" i="1"/>
  <c r="Q177" i="1"/>
  <c r="P177" i="1"/>
  <c r="O177" i="1"/>
  <c r="N177" i="1"/>
  <c r="M177" i="1"/>
  <c r="L177" i="1"/>
  <c r="K177" i="1"/>
  <c r="AC96" i="1"/>
  <c r="AB96" i="1"/>
  <c r="AA96" i="1"/>
  <c r="Z96" i="1"/>
  <c r="Y96" i="1"/>
  <c r="X96" i="1"/>
  <c r="W96" i="1"/>
  <c r="V96" i="1"/>
  <c r="U96" i="1"/>
  <c r="S96" i="1"/>
  <c r="R96" i="1"/>
  <c r="Q96" i="1"/>
  <c r="P96" i="1"/>
  <c r="O96" i="1"/>
  <c r="N96" i="1"/>
  <c r="M96" i="1"/>
  <c r="L96" i="1"/>
  <c r="K96" i="1"/>
  <c r="AC15" i="1"/>
  <c r="AB15" i="1"/>
  <c r="AA15" i="1"/>
  <c r="Z15" i="1"/>
  <c r="Y15" i="1"/>
  <c r="W15" i="1"/>
  <c r="V15" i="1"/>
  <c r="U15" i="1"/>
  <c r="S15" i="1"/>
  <c r="R15" i="1"/>
  <c r="Q15" i="1"/>
  <c r="P15" i="1"/>
  <c r="O15" i="1"/>
  <c r="N15" i="1"/>
  <c r="M15" i="1"/>
  <c r="L15" i="1"/>
  <c r="K15" i="1"/>
  <c r="S29" i="6" l="1"/>
  <c r="S89" i="6" s="1"/>
  <c r="S104" i="6" s="1"/>
  <c r="R29" i="6"/>
  <c r="R89" i="6" s="1"/>
  <c r="R104" i="6" s="1"/>
  <c r="K166" i="1"/>
  <c r="O166" i="1"/>
  <c r="S88" i="1"/>
  <c r="S167" i="1" s="1"/>
  <c r="S169" i="1" s="1"/>
  <c r="M31" i="1"/>
  <c r="M111" i="1"/>
  <c r="M166" i="1" s="1"/>
  <c r="L166" i="1"/>
  <c r="Q42" i="1"/>
  <c r="N166" i="1"/>
  <c r="O31" i="1"/>
  <c r="Q166" i="1"/>
  <c r="P31" i="1"/>
  <c r="W88" i="1"/>
  <c r="W167" i="1" s="1"/>
  <c r="W169" i="1" s="1"/>
  <c r="K60" i="1"/>
  <c r="K88" i="1" s="1"/>
  <c r="K167" i="1" s="1"/>
  <c r="N70" i="1"/>
  <c r="M41" i="1"/>
  <c r="L42" i="1"/>
  <c r="M42" i="1" s="1"/>
  <c r="N42" i="1"/>
  <c r="N56" i="1"/>
  <c r="N37" i="1"/>
  <c r="O37" i="1"/>
  <c r="N65" i="1"/>
  <c r="L37" i="1"/>
  <c r="M37" i="1" s="1"/>
  <c r="N34" i="1"/>
  <c r="P34" i="1"/>
  <c r="O34" i="1"/>
  <c r="Q34" i="1"/>
  <c r="T60" i="1"/>
  <c r="T88" i="1" s="1"/>
  <c r="T167" i="1" s="1"/>
  <c r="T169" i="1" s="1"/>
  <c r="O56" i="1"/>
  <c r="P56" i="1"/>
  <c r="N46" i="1"/>
  <c r="N51" i="1"/>
  <c r="L60" i="1"/>
  <c r="M60" i="1" s="1"/>
  <c r="O46" i="1"/>
  <c r="O51" i="1"/>
  <c r="N60" i="1"/>
  <c r="Q51" i="1"/>
  <c r="O60" i="1"/>
  <c r="P60" i="1"/>
  <c r="Q60" i="1"/>
  <c r="L65" i="1"/>
  <c r="M65" i="1" s="1"/>
  <c r="L70" i="1"/>
  <c r="M70" i="1" s="1"/>
  <c r="R60" i="1"/>
  <c r="R88" i="1" s="1"/>
  <c r="R167" i="1" s="1"/>
  <c r="R169" i="1" s="1"/>
  <c r="O65" i="1"/>
  <c r="O70" i="1"/>
  <c r="AC331" i="1"/>
  <c r="AB331" i="1"/>
  <c r="AA331" i="1"/>
  <c r="Z331" i="1"/>
  <c r="Y331" i="1"/>
  <c r="X331" i="1"/>
  <c r="W331" i="1"/>
  <c r="V331" i="1"/>
  <c r="U331" i="1"/>
  <c r="S331" i="1"/>
  <c r="R331" i="1"/>
  <c r="Q331" i="1"/>
  <c r="P331" i="1"/>
  <c r="O331" i="1"/>
  <c r="N331" i="1"/>
  <c r="M331" i="1"/>
  <c r="L331" i="1"/>
  <c r="K331" i="1"/>
  <c r="AC330" i="1"/>
  <c r="AB330" i="1"/>
  <c r="AA330" i="1"/>
  <c r="Z330" i="1"/>
  <c r="Y330" i="1"/>
  <c r="X330" i="1"/>
  <c r="W330" i="1"/>
  <c r="V330" i="1"/>
  <c r="U330" i="1"/>
  <c r="S330" i="1"/>
  <c r="R330" i="1"/>
  <c r="Q330" i="1"/>
  <c r="P330" i="1"/>
  <c r="O330" i="1"/>
  <c r="N330" i="1"/>
  <c r="M330" i="1"/>
  <c r="L330" i="1"/>
  <c r="K330" i="1"/>
  <c r="AC250" i="1"/>
  <c r="AB250" i="1"/>
  <c r="AA250" i="1"/>
  <c r="Z250" i="1"/>
  <c r="Y250" i="1"/>
  <c r="X250" i="1"/>
  <c r="W250" i="1"/>
  <c r="V250" i="1"/>
  <c r="U250" i="1"/>
  <c r="S250" i="1"/>
  <c r="R250" i="1"/>
  <c r="Q250" i="1"/>
  <c r="P250" i="1"/>
  <c r="O250" i="1"/>
  <c r="N250" i="1"/>
  <c r="M250" i="1"/>
  <c r="L250" i="1"/>
  <c r="K250" i="1"/>
  <c r="AC249" i="1"/>
  <c r="AB249" i="1"/>
  <c r="AA249" i="1"/>
  <c r="Z249" i="1"/>
  <c r="Y249" i="1"/>
  <c r="X249" i="1"/>
  <c r="W249" i="1"/>
  <c r="V249" i="1"/>
  <c r="U249" i="1"/>
  <c r="S249" i="1"/>
  <c r="R249" i="1"/>
  <c r="Q249" i="1"/>
  <c r="P249" i="1"/>
  <c r="O249" i="1"/>
  <c r="N249" i="1"/>
  <c r="M249" i="1"/>
  <c r="L249" i="1"/>
  <c r="K249" i="1"/>
  <c r="AC169" i="1"/>
  <c r="AB169" i="1"/>
  <c r="AA169" i="1"/>
  <c r="Z169" i="1"/>
  <c r="Y169" i="1"/>
  <c r="AC168" i="1"/>
  <c r="AB168" i="1"/>
  <c r="AA168" i="1"/>
  <c r="Z168" i="1"/>
  <c r="Y168" i="1"/>
  <c r="AC88" i="1"/>
  <c r="AB88" i="1"/>
  <c r="AA88" i="1"/>
  <c r="Y88" i="1"/>
  <c r="AC270" i="1"/>
  <c r="AB270" i="1"/>
  <c r="AA270" i="1"/>
  <c r="Z270" i="1"/>
  <c r="Y270" i="1"/>
  <c r="X270" i="1"/>
  <c r="W270" i="1"/>
  <c r="V270" i="1"/>
  <c r="U270" i="1"/>
  <c r="S270" i="1"/>
  <c r="R270" i="1"/>
  <c r="Q270" i="1"/>
  <c r="P270" i="1"/>
  <c r="O270" i="1"/>
  <c r="N270" i="1"/>
  <c r="M270" i="1"/>
  <c r="L270" i="1"/>
  <c r="K270" i="1"/>
  <c r="AC257" i="1"/>
  <c r="AB257" i="1"/>
  <c r="AA257" i="1"/>
  <c r="Z257" i="1"/>
  <c r="Y257" i="1"/>
  <c r="X257" i="1"/>
  <c r="W257" i="1"/>
  <c r="V257" i="1"/>
  <c r="U257" i="1"/>
  <c r="S257" i="1"/>
  <c r="R257" i="1"/>
  <c r="Q257" i="1"/>
  <c r="P257" i="1"/>
  <c r="O257" i="1"/>
  <c r="N257" i="1"/>
  <c r="M257" i="1"/>
  <c r="L257" i="1"/>
  <c r="K257" i="1"/>
  <c r="AC189" i="1"/>
  <c r="AB189" i="1"/>
  <c r="AA189" i="1"/>
  <c r="Z189" i="1"/>
  <c r="Y189" i="1"/>
  <c r="X189" i="1"/>
  <c r="W189" i="1"/>
  <c r="V189" i="1"/>
  <c r="U189" i="1"/>
  <c r="S189" i="1"/>
  <c r="R189" i="1"/>
  <c r="Q189" i="1"/>
  <c r="P189" i="1"/>
  <c r="O189" i="1"/>
  <c r="N189" i="1"/>
  <c r="M189" i="1"/>
  <c r="L189" i="1"/>
  <c r="K189" i="1"/>
  <c r="AC176" i="1"/>
  <c r="AB176" i="1"/>
  <c r="AA176" i="1"/>
  <c r="Z176" i="1"/>
  <c r="Y176" i="1"/>
  <c r="X176" i="1"/>
  <c r="W176" i="1"/>
  <c r="V176" i="1"/>
  <c r="U176" i="1"/>
  <c r="S176" i="1"/>
  <c r="R176" i="1"/>
  <c r="Q176" i="1"/>
  <c r="P176" i="1"/>
  <c r="O176" i="1"/>
  <c r="N176" i="1"/>
  <c r="M176" i="1"/>
  <c r="L176" i="1"/>
  <c r="K176" i="1"/>
  <c r="AC108" i="1"/>
  <c r="AB108" i="1"/>
  <c r="AA108" i="1"/>
  <c r="Z108" i="1"/>
  <c r="Y108" i="1"/>
  <c r="X108" i="1"/>
  <c r="W108" i="1"/>
  <c r="V108" i="1"/>
  <c r="U108" i="1"/>
  <c r="S108" i="1"/>
  <c r="R108" i="1"/>
  <c r="Q108" i="1"/>
  <c r="P108" i="1"/>
  <c r="O108" i="1"/>
  <c r="N108" i="1"/>
  <c r="M108" i="1"/>
  <c r="L108" i="1"/>
  <c r="K108" i="1"/>
  <c r="AC95" i="1"/>
  <c r="AB95" i="1"/>
  <c r="AA95" i="1"/>
  <c r="Z95" i="1"/>
  <c r="Y95" i="1"/>
  <c r="X95" i="1"/>
  <c r="W95" i="1"/>
  <c r="V95" i="1"/>
  <c r="U95" i="1"/>
  <c r="S95" i="1"/>
  <c r="R95" i="1"/>
  <c r="Q95" i="1"/>
  <c r="P95" i="1"/>
  <c r="O95" i="1"/>
  <c r="N95" i="1"/>
  <c r="M95" i="1"/>
  <c r="L95" i="1"/>
  <c r="K95" i="1"/>
  <c r="AC27" i="1"/>
  <c r="AB27" i="1"/>
  <c r="AA27" i="1"/>
  <c r="Z27" i="1"/>
  <c r="Y27" i="1"/>
  <c r="X27" i="1"/>
  <c r="W27" i="1"/>
  <c r="V27" i="1"/>
  <c r="U27" i="1"/>
  <c r="S27" i="1"/>
  <c r="R27" i="1"/>
  <c r="Q27" i="1"/>
  <c r="P27" i="1"/>
  <c r="O27" i="1"/>
  <c r="N27" i="1"/>
  <c r="M27" i="1"/>
  <c r="L27" i="1"/>
  <c r="AC14" i="1"/>
  <c r="AB14" i="1"/>
  <c r="AA14" i="1"/>
  <c r="Z14" i="1"/>
  <c r="Y14" i="1"/>
  <c r="W14" i="1"/>
  <c r="V14" i="1"/>
  <c r="U14" i="1"/>
  <c r="S14" i="1"/>
  <c r="R14" i="1"/>
  <c r="Q14" i="1"/>
  <c r="P14" i="1"/>
  <c r="O14" i="1"/>
  <c r="N14" i="1"/>
  <c r="M14" i="1"/>
  <c r="L14" i="1"/>
  <c r="K27" i="1"/>
  <c r="K14" i="1"/>
  <c r="K169" i="1" l="1"/>
  <c r="P88" i="1"/>
  <c r="P167" i="1" s="1"/>
  <c r="P169" i="1" s="1"/>
  <c r="O88" i="1"/>
  <c r="O167" i="1" s="1"/>
  <c r="O169" i="1" s="1"/>
  <c r="N88" i="1"/>
  <c r="N167" i="1" s="1"/>
  <c r="N168" i="1" s="1"/>
  <c r="Q88" i="1"/>
  <c r="Q167" i="1" s="1"/>
  <c r="Q169" i="1" s="1"/>
  <c r="M88" i="1"/>
  <c r="M167" i="1" s="1"/>
  <c r="M169" i="1" s="1"/>
  <c r="L88" i="1"/>
  <c r="L167" i="1" s="1"/>
  <c r="L169" i="1" s="1"/>
  <c r="X168" i="1"/>
  <c r="X169" i="1" s="1"/>
  <c r="X88" i="1"/>
  <c r="Z88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09" i="1"/>
  <c r="I67" i="1"/>
  <c r="I64" i="1"/>
  <c r="I60" i="1"/>
  <c r="I58" i="1"/>
  <c r="I54" i="1"/>
  <c r="I50" i="1"/>
  <c r="I48" i="1"/>
  <c r="I45" i="1"/>
  <c r="I41" i="1"/>
  <c r="I39" i="1"/>
  <c r="E9" i="1"/>
  <c r="E90" i="1" s="1"/>
  <c r="E171" i="1" s="1"/>
  <c r="E252" i="1" s="1"/>
  <c r="H86" i="1"/>
  <c r="H85" i="1"/>
  <c r="H84" i="1"/>
  <c r="H83" i="1"/>
  <c r="H82" i="1"/>
  <c r="H81" i="1"/>
  <c r="H80" i="1"/>
  <c r="H79" i="1"/>
  <c r="H78" i="1"/>
  <c r="H77" i="1"/>
  <c r="I75" i="1"/>
  <c r="I72" i="1"/>
  <c r="I69" i="1"/>
  <c r="I36" i="1"/>
  <c r="I33" i="1"/>
  <c r="H28" i="1"/>
</calcChain>
</file>

<file path=xl/sharedStrings.xml><?xml version="1.0" encoding="utf-8"?>
<sst xmlns="http://schemas.openxmlformats.org/spreadsheetml/2006/main" count="1222" uniqueCount="148">
  <si>
    <t>SIDE</t>
  </si>
  <si>
    <t>TO</t>
  </si>
  <si>
    <t>STATION RANGE</t>
  </si>
  <si>
    <t>CADD GENERATED AREA</t>
  </si>
  <si>
    <t xml:space="preserve">SUBTOTALS  </t>
  </si>
  <si>
    <t xml:space="preserve">TOTALS CARRIED TO GENERAL SUMMARY  </t>
  </si>
  <si>
    <t>FT</t>
  </si>
  <si>
    <t>TYPICAL SECTION LEGEND NUMBER</t>
  </si>
  <si>
    <t>RATE / THICKNESS / ETC</t>
  </si>
  <si>
    <t>DISTANCE                                                                                                        (D)</t>
  </si>
  <si>
    <t>INSTRUCTIONS:</t>
  </si>
  <si>
    <t>SPREADSHEET</t>
  </si>
  <si>
    <t>&lt;--- ENTER STARTING SHEET NUMBER</t>
  </si>
  <si>
    <t>ITEM_CODE</t>
  </si>
  <si>
    <t>ADDITIONAL_DESCRIPTION</t>
  </si>
  <si>
    <t>Page #</t>
  </si>
  <si>
    <t>Split #</t>
  </si>
  <si>
    <t>Total</t>
  </si>
  <si>
    <t>SAVE THIS FILE TO THE PROPER FOLDER FOR YOUR PROJECT AS THE SAME NAME AS YOUR DGN (I.E. #####GS001.XLSX)</t>
  </si>
  <si>
    <t>ENTER ITEM CODE (FOR EXAMPLE: 201E11000) AND ADDITIONAL DESCRIPTION INTO THE BLUE CELLS</t>
  </si>
  <si>
    <t>ENTER ALL DATA REQUIRED</t>
  </si>
  <si>
    <t>DO NOT REMOVE THE PROTECTION FROM THIS SPREADSHEET, LEAVE THE PROTECTION ON SO THAT YOU DO NOT DELETE NEEDED FORMULAS OR RESIZE SHEET</t>
  </si>
  <si>
    <t>SY</t>
  </si>
  <si>
    <t>AVERAGE WIDTH   (W)</t>
  </si>
  <si>
    <t>FROM</t>
  </si>
  <si>
    <t>SR-222</t>
  </si>
  <si>
    <t>PAV'T AREA</t>
  </si>
  <si>
    <t>FULL DEPTH ASPH., EXC. SUB.</t>
  </si>
  <si>
    <t>+ASPH. EDGE COURSE</t>
  </si>
  <si>
    <t>+C&amp;G EDGE COURSE</t>
  </si>
  <si>
    <t>TRAFFIC ISLAND</t>
  </si>
  <si>
    <t>CONCRETE DRIVE</t>
  </si>
  <si>
    <t>LT</t>
  </si>
  <si>
    <t>RT</t>
  </si>
  <si>
    <t>LT/RT</t>
  </si>
  <si>
    <t>SR-132</t>
  </si>
  <si>
    <t>204E10000</t>
  </si>
  <si>
    <t>204E13000</t>
  </si>
  <si>
    <t>204E30020</t>
  </si>
  <si>
    <t>204E45000</t>
  </si>
  <si>
    <t>204E50000</t>
  </si>
  <si>
    <t>301E56000</t>
  </si>
  <si>
    <t>304E20000</t>
  </si>
  <si>
    <t>6"</t>
  </si>
  <si>
    <t xml:space="preserve"> (12" DEEP)</t>
  </si>
  <si>
    <t xml:space="preserve"> (@0.06 GAL/SY)</t>
  </si>
  <si>
    <t>452E12010</t>
  </si>
  <si>
    <t>REF CC (CIRCULATING LANE)</t>
  </si>
  <si>
    <t>0+00.00</t>
  </si>
  <si>
    <t>+W C&amp;G EDGE COURSE</t>
  </si>
  <si>
    <t>+C&amp;G, TYPE 9</t>
  </si>
  <si>
    <t>+TRUCK APRON</t>
  </si>
  <si>
    <t>+CURB 6</t>
  </si>
  <si>
    <t>451E14011</t>
  </si>
  <si>
    <t>609E58001</t>
  </si>
  <si>
    <t>1 3/4"</t>
  </si>
  <si>
    <t>407E20000</t>
  </si>
  <si>
    <t>SR-132/SR-222</t>
  </si>
  <si>
    <t>TOTALS CARRIED TO SHEET</t>
  </si>
  <si>
    <t>SUBTOTALS THIS SHEET</t>
  </si>
  <si>
    <t>SUBTOTAL FROM SHEET</t>
  </si>
  <si>
    <t>TOTALS CARRIED TO GENERAL NOTES</t>
  </si>
  <si>
    <t>SF</t>
  </si>
  <si>
    <t>P.047</t>
  </si>
  <si>
    <t>P.048</t>
  </si>
  <si>
    <t>442E10000</t>
  </si>
  <si>
    <t>1 1/2"</t>
  </si>
  <si>
    <t>442E10080</t>
  </si>
  <si>
    <t>US 006</t>
  </si>
  <si>
    <t>RESURFACING</t>
  </si>
  <si>
    <t>SUP</t>
  </si>
  <si>
    <t>+ASPH. SUP EDGE COURSE</t>
  </si>
  <si>
    <t>+CURB TYPE 6 EDGE COURSE</t>
  </si>
  <si>
    <t>204E51000</t>
  </si>
  <si>
    <t>442E10001</t>
  </si>
  <si>
    <t>442E20171</t>
  </si>
  <si>
    <t>14.5"</t>
  </si>
  <si>
    <t>452E10011</t>
  </si>
  <si>
    <t xml:space="preserve"> (DEPTH VARIES 4" MIN, 6" MAX)</t>
  </si>
  <si>
    <t xml:space="preserve"> (@0.09 GAL/SY)</t>
  </si>
  <si>
    <t>206E15020</t>
  </si>
  <si>
    <t>442E22001</t>
  </si>
  <si>
    <t>2 1/2"</t>
  </si>
  <si>
    <t>442E22401</t>
  </si>
  <si>
    <t>4"</t>
  </si>
  <si>
    <t>PAVEMENT QUANTITIES SHEET NO.</t>
  </si>
  <si>
    <t>TOTALS CARRIED TO SUBSUMMARY</t>
  </si>
  <si>
    <t>204E30010</t>
  </si>
  <si>
    <t>206E10500</t>
  </si>
  <si>
    <t>206E11000</t>
  </si>
  <si>
    <t xml:space="preserve"> (6")</t>
  </si>
  <si>
    <t xml:space="preserve"> (14.5")</t>
  </si>
  <si>
    <t>+CONCRETE BARRIER TYPE 6</t>
  </si>
  <si>
    <t>+BARRIER EDGE COURSE</t>
  </si>
  <si>
    <t>+C&amp;G</t>
  </si>
  <si>
    <t>+ASPH. SUP</t>
  </si>
  <si>
    <t>ASPH. SUP</t>
  </si>
  <si>
    <t xml:space="preserve"> (4")</t>
  </si>
  <si>
    <t>RESURFACING (4" 304)</t>
  </si>
  <si>
    <t>RESURFACING (6" 304)</t>
  </si>
  <si>
    <t>254E01001</t>
  </si>
  <si>
    <t xml:space="preserve"> (VARIABLE)</t>
  </si>
  <si>
    <t xml:space="preserve"> (14" DEEP)</t>
  </si>
  <si>
    <t>+CONCRETE BARRIER TYPE D</t>
  </si>
  <si>
    <t>SUP (Segment 1)</t>
  </si>
  <si>
    <t>SUP (Segment 2)</t>
  </si>
  <si>
    <t>US 6</t>
  </si>
  <si>
    <t>+CURB TYPE 3B</t>
  </si>
  <si>
    <t>+CURB TYPE 4A EDGE COURSE</t>
  </si>
  <si>
    <t>ROUNDABOUT A</t>
  </si>
  <si>
    <t xml:space="preserve"> </t>
  </si>
  <si>
    <t>CAMP ROAD</t>
  </si>
  <si>
    <t>ROUNDABOUT B</t>
  </si>
  <si>
    <t>EX. US 6</t>
  </si>
  <si>
    <t>203E20000</t>
  </si>
  <si>
    <t>GRASS PAVERS</t>
  </si>
  <si>
    <t>690E98300</t>
  </si>
  <si>
    <t>18"</t>
  </si>
  <si>
    <t>15.25"</t>
  </si>
  <si>
    <t xml:space="preserve"> (15.25")</t>
  </si>
  <si>
    <t>FULL DEPTH ASPH., CEMENT STAB.</t>
  </si>
  <si>
    <t>PERKINS AVENUE</t>
  </si>
  <si>
    <t>451E13011</t>
  </si>
  <si>
    <t>8"</t>
  </si>
  <si>
    <t>PART.</t>
  </si>
  <si>
    <t>04</t>
  </si>
  <si>
    <t>Split 1</t>
  </si>
  <si>
    <t>Split 4</t>
  </si>
  <si>
    <t>TOTALS CARRIED TO
GENERAL SUMMARY</t>
  </si>
  <si>
    <t>SUBTOTAL FOR
PARTICIPATION
01/SAF</t>
  </si>
  <si>
    <t>SUBTOTAL FOR
PARTICIPATION
04/ENH</t>
  </si>
  <si>
    <t>01/SAF</t>
  </si>
  <si>
    <t>04/ENH</t>
  </si>
  <si>
    <t>Totals</t>
  </si>
  <si>
    <t>P.0328
SUP Pavement Part 1</t>
  </si>
  <si>
    <t>P.0329
SUP Pavement Part 2</t>
  </si>
  <si>
    <t>P.0330
US 6-Perkins Pavement 1</t>
  </si>
  <si>
    <t>P.0331
US 6-Perkins Pavement 2</t>
  </si>
  <si>
    <t>P.0332
US 6-Camp Pavement 1</t>
  </si>
  <si>
    <t>P.0333
US 6-Camp Pavement 2</t>
  </si>
  <si>
    <t>Checks with totals from
subsummary sheet</t>
  </si>
  <si>
    <t>MANUAL ENTRY CHECK:</t>
  </si>
  <si>
    <t>P.0347</t>
  </si>
  <si>
    <t>P.0348</t>
  </si>
  <si>
    <t>P.0349</t>
  </si>
  <si>
    <t>P.0350</t>
  </si>
  <si>
    <t>P.0351</t>
  </si>
  <si>
    <t>P.0352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</si>
</sst>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\ ???/???"/>
    <numFmt numFmtId="165" formatCode="#\+#0.00"/>
    <numFmt numFmtId="166" formatCode="#\+#0.00\ &quot;TO&quot;"/>
    <numFmt numFmtId="167" formatCode="0&quot;+&quot;00.00"/>
    <numFmt numFmtId="168" formatCode="0\)"/>
    <numFmt numFmtId="169" formatCode="&quot;PAVEMENT CALC SHEET &quot;#"/>
    <numFmt numFmtId="170" formatCode="##\+#0.00"/>
    <numFmt numFmtId="171" formatCode="#,##0.0"/>
    <numFmt numFmtId="172" formatCode="0.0"/>
    <numFmt numFmtId="173" formatCode="#,##0.000"/>
    <numFmt numFmtId="174" formatCode="##"/>
  </numFmts>
  <fonts count="45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i/>
      <sz val="10"/>
      <name val="Calibri"/>
      <family val="2"/>
      <scheme val="minor"/>
    </font>
    <font>
      <b/>
      <sz val="14"/>
      <name val="Verdana"/>
      <family val="2"/>
    </font>
    <font>
      <i/>
      <sz val="10"/>
      <color theme="4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i/>
      <sz val="10"/>
      <color rgb="FFFFC000"/>
      <name val="Calibri"/>
      <family val="2"/>
      <scheme val="minor"/>
    </font>
    <font>
      <i/>
      <sz val="10"/>
      <color rgb="FFFF33CC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rgb="FFFFFF0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i/>
      <sz val="10"/>
      <color theme="7" tint="-0.499984740745262"/>
      <name val="Calibri"/>
      <family val="2"/>
      <scheme val="minor"/>
    </font>
    <font>
      <i/>
      <sz val="10"/>
      <color theme="9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0"/>
      <color theme="6" tint="-0.249977111117893"/>
      <name val="Calibri"/>
      <family val="2"/>
      <scheme val="minor"/>
    </font>
    <font>
      <i/>
      <sz val="10"/>
      <color rgb="FFB200C0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i/>
      <sz val="10"/>
      <color theme="5"/>
      <name val="Calibri"/>
      <family val="2"/>
      <scheme val="minor"/>
    </font>
    <font>
      <i/>
      <sz val="10"/>
      <color rgb="FFCC0066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i/>
      <sz val="10"/>
      <color theme="6" tint="-0.499984740745262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i/>
      <sz val="10"/>
      <color theme="8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3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3" borderId="0" xfId="1" applyFont="1" applyFill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25" xfId="0" applyFont="1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1" fontId="6" fillId="2" borderId="0" xfId="0" applyNumberFormat="1" applyFont="1" applyFill="1" applyAlignment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1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55" xfId="0" applyNumberFormat="1" applyFont="1" applyBorder="1" applyAlignment="1" applyProtection="1">
      <alignment horizontal="center" vertical="center"/>
      <protection locked="0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52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vertical="center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 vertical="center"/>
    </xf>
    <xf numFmtId="1" fontId="10" fillId="0" borderId="52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171" fontId="10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2" fontId="17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2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2" fontId="10" fillId="0" borderId="53" xfId="0" applyNumberFormat="1" applyFont="1" applyBorder="1" applyAlignment="1" applyProtection="1">
      <alignment vertical="center"/>
      <protection locked="0"/>
    </xf>
    <xf numFmtId="2" fontId="10" fillId="0" borderId="54" xfId="0" applyNumberFormat="1" applyFont="1" applyBorder="1" applyAlignment="1" applyProtection="1">
      <alignment vertical="center"/>
      <protection locked="0"/>
    </xf>
    <xf numFmtId="1" fontId="10" fillId="0" borderId="8" xfId="0" applyNumberFormat="1" applyFont="1" applyBorder="1" applyAlignment="1" applyProtection="1">
      <alignment vertical="center"/>
      <protection locked="0"/>
    </xf>
    <xf numFmtId="1" fontId="10" fillId="0" borderId="18" xfId="0" applyNumberFormat="1" applyFont="1" applyBorder="1" applyAlignment="1" applyProtection="1">
      <alignment vertical="center"/>
      <protection locked="0"/>
    </xf>
    <xf numFmtId="1" fontId="10" fillId="0" borderId="38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172" fontId="10" fillId="0" borderId="3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vertical="center"/>
    </xf>
    <xf numFmtId="16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2" fontId="10" fillId="0" borderId="1" xfId="0" applyNumberFormat="1" applyFont="1" applyBorder="1" applyAlignment="1" applyProtection="1">
      <alignment horizontal="center" vertical="center"/>
      <protection locked="0"/>
    </xf>
    <xf numFmtId="49" fontId="18" fillId="0" borderId="34" xfId="0" applyNumberFormat="1" applyFont="1" applyBorder="1" applyAlignment="1">
      <alignment horizontal="right" vertical="center"/>
    </xf>
    <xf numFmtId="17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1" fontId="18" fillId="0" borderId="1" xfId="0" applyNumberFormat="1" applyFont="1" applyBorder="1" applyAlignment="1">
      <alignment horizontal="center" vertical="center"/>
    </xf>
    <xf numFmtId="172" fontId="18" fillId="0" borderId="1" xfId="0" applyNumberFormat="1" applyFont="1" applyBorder="1" applyAlignment="1">
      <alignment horizontal="center" vertical="center"/>
    </xf>
    <xf numFmtId="172" fontId="24" fillId="0" borderId="1" xfId="0" applyNumberFormat="1" applyFont="1" applyBorder="1" applyAlignment="1">
      <alignment horizontal="center" vertical="center"/>
    </xf>
    <xf numFmtId="172" fontId="18" fillId="0" borderId="1" xfId="0" applyNumberFormat="1" applyFont="1" applyBorder="1" applyAlignment="1" applyProtection="1">
      <alignment horizontal="center" vertical="center"/>
      <protection locked="0"/>
    </xf>
    <xf numFmtId="172" fontId="15" fillId="0" borderId="1" xfId="0" applyNumberFormat="1" applyFont="1" applyBorder="1" applyAlignment="1" applyProtection="1">
      <alignment horizontal="center" vertical="center"/>
      <protection locked="0"/>
    </xf>
    <xf numFmtId="172" fontId="16" fillId="0" borderId="1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right" vertical="center"/>
    </xf>
    <xf numFmtId="17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1" fontId="16" fillId="0" borderId="1" xfId="0" applyNumberFormat="1" applyFont="1" applyBorder="1" applyAlignment="1">
      <alignment horizontal="center" vertical="center"/>
    </xf>
    <xf numFmtId="172" fontId="16" fillId="0" borderId="1" xfId="0" applyNumberFormat="1" applyFont="1" applyBorder="1" applyAlignment="1" applyProtection="1">
      <alignment horizontal="center" vertical="center"/>
      <protection locked="0"/>
    </xf>
    <xf numFmtId="49" fontId="25" fillId="0" borderId="34" xfId="0" applyNumberFormat="1" applyFont="1" applyBorder="1" applyAlignment="1">
      <alignment horizontal="right" vertical="center"/>
    </xf>
    <xf numFmtId="171" fontId="25" fillId="0" borderId="1" xfId="0" applyNumberFormat="1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center" vertical="center"/>
    </xf>
    <xf numFmtId="172" fontId="25" fillId="0" borderId="1" xfId="0" applyNumberFormat="1" applyFont="1" applyBorder="1" applyAlignment="1" applyProtection="1">
      <alignment horizontal="center" vertical="center"/>
      <protection locked="0"/>
    </xf>
    <xf numFmtId="170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right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1" fontId="15" fillId="0" borderId="1" xfId="0" applyNumberFormat="1" applyFont="1" applyBorder="1" applyAlignment="1">
      <alignment horizontal="center" vertical="center"/>
    </xf>
    <xf numFmtId="172" fontId="1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49" fontId="26" fillId="0" borderId="34" xfId="0" applyNumberFormat="1" applyFont="1" applyBorder="1" applyAlignment="1">
      <alignment horizontal="right" vertical="center"/>
    </xf>
    <xf numFmtId="170" fontId="26" fillId="0" borderId="1" xfId="0" applyNumberFormat="1" applyFont="1" applyBorder="1" applyAlignment="1">
      <alignment horizontal="center" vertical="center"/>
    </xf>
    <xf numFmtId="171" fontId="26" fillId="0" borderId="1" xfId="0" applyNumberFormat="1" applyFont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72" fontId="26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34" xfId="0" applyNumberFormat="1" applyFont="1" applyBorder="1" applyAlignment="1">
      <alignment horizontal="right" vertical="center"/>
    </xf>
    <xf numFmtId="170" fontId="27" fillId="0" borderId="1" xfId="0" applyNumberFormat="1" applyFont="1" applyBorder="1" applyAlignment="1">
      <alignment horizontal="center" vertical="center"/>
    </xf>
    <xf numFmtId="171" fontId="27" fillId="0" borderId="1" xfId="0" applyNumberFormat="1" applyFont="1" applyBorder="1" applyAlignment="1">
      <alignment horizontal="center" vertical="center"/>
    </xf>
    <xf numFmtId="172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72" fontId="27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34" xfId="0" applyNumberFormat="1" applyFont="1" applyBorder="1" applyAlignment="1">
      <alignment horizontal="right" vertical="center"/>
    </xf>
    <xf numFmtId="49" fontId="14" fillId="0" borderId="34" xfId="0" applyNumberFormat="1" applyFont="1" applyBorder="1" applyAlignment="1">
      <alignment horizontal="right" vertical="center"/>
    </xf>
    <xf numFmtId="17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1" fontId="14" fillId="0" borderId="1" xfId="0" applyNumberFormat="1" applyFont="1" applyBorder="1" applyAlignment="1">
      <alignment horizontal="center" vertical="center"/>
    </xf>
    <xf numFmtId="172" fontId="14" fillId="0" borderId="1" xfId="0" applyNumberFormat="1" applyFont="1" applyBorder="1" applyAlignment="1">
      <alignment horizontal="center" vertical="center"/>
    </xf>
    <xf numFmtId="172" fontId="21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vertical="center"/>
    </xf>
    <xf numFmtId="172" fontId="16" fillId="0" borderId="1" xfId="0" applyNumberFormat="1" applyFont="1" applyBorder="1" applyAlignment="1">
      <alignment vertical="center"/>
    </xf>
    <xf numFmtId="49" fontId="28" fillId="0" borderId="34" xfId="0" applyNumberFormat="1" applyFont="1" applyBorder="1" applyAlignment="1">
      <alignment horizontal="right" vertical="center"/>
    </xf>
    <xf numFmtId="170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1" fontId="28" fillId="0" borderId="1" xfId="0" applyNumberFormat="1" applyFont="1" applyBorder="1" applyAlignment="1">
      <alignment horizontal="center" vertical="center"/>
    </xf>
    <xf numFmtId="172" fontId="28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vertical="center"/>
    </xf>
    <xf numFmtId="172" fontId="28" fillId="0" borderId="1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166" fontId="10" fillId="0" borderId="8" xfId="0" applyNumberFormat="1" applyFont="1" applyBorder="1" applyAlignment="1" applyProtection="1">
      <alignment horizontal="center" vertical="center"/>
      <protection locked="0"/>
    </xf>
    <xf numFmtId="165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2" fontId="10" fillId="0" borderId="8" xfId="0" applyNumberFormat="1" applyFont="1" applyBorder="1" applyAlignment="1" applyProtection="1">
      <alignment horizontal="center" vertical="center"/>
      <protection locked="0"/>
    </xf>
    <xf numFmtId="167" fontId="10" fillId="0" borderId="8" xfId="0" applyNumberFormat="1" applyFont="1" applyBorder="1" applyAlignment="1" applyProtection="1">
      <alignment horizontal="center" vertical="center"/>
      <protection locked="0"/>
    </xf>
    <xf numFmtId="172" fontId="10" fillId="0" borderId="5" xfId="0" applyNumberFormat="1" applyFont="1" applyBorder="1" applyAlignment="1" applyProtection="1">
      <alignment horizontal="center" vertical="center"/>
      <protection locked="0"/>
    </xf>
    <xf numFmtId="172" fontId="24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34" xfId="0" applyNumberFormat="1" applyFont="1" applyBorder="1" applyAlignment="1">
      <alignment horizontal="right" vertical="center"/>
    </xf>
    <xf numFmtId="17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1" fontId="17" fillId="0" borderId="1" xfId="0" applyNumberFormat="1" applyFont="1" applyBorder="1" applyAlignment="1">
      <alignment horizontal="center" vertical="center"/>
    </xf>
    <xf numFmtId="172" fontId="17" fillId="0" borderId="1" xfId="0" applyNumberFormat="1" applyFont="1" applyBorder="1" applyAlignment="1">
      <alignment horizontal="center" vertical="center"/>
    </xf>
    <xf numFmtId="172" fontId="17" fillId="0" borderId="1" xfId="0" applyNumberFormat="1" applyFont="1" applyBorder="1" applyAlignment="1" applyProtection="1">
      <alignment horizontal="center" vertical="center"/>
      <protection locked="0"/>
    </xf>
    <xf numFmtId="49" fontId="24" fillId="0" borderId="34" xfId="0" applyNumberFormat="1" applyFont="1" applyBorder="1" applyAlignment="1">
      <alignment horizontal="right" vertical="center"/>
    </xf>
    <xf numFmtId="170" fontId="24" fillId="0" borderId="1" xfId="0" applyNumberFormat="1" applyFont="1" applyBorder="1" applyAlignment="1">
      <alignment horizontal="center" vertical="center"/>
    </xf>
    <xf numFmtId="171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49" fontId="29" fillId="0" borderId="34" xfId="0" applyNumberFormat="1" applyFont="1" applyBorder="1" applyAlignment="1">
      <alignment horizontal="right" vertical="center"/>
    </xf>
    <xf numFmtId="170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1" fontId="29" fillId="0" borderId="1" xfId="0" applyNumberFormat="1" applyFont="1" applyBorder="1" applyAlignment="1">
      <alignment horizontal="center" vertical="center"/>
    </xf>
    <xf numFmtId="172" fontId="29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172" fontId="29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34" xfId="0" applyNumberFormat="1" applyFont="1" applyBorder="1" applyAlignment="1">
      <alignment horizontal="right" vertical="center"/>
    </xf>
    <xf numFmtId="170" fontId="20" fillId="0" borderId="1" xfId="0" applyNumberFormat="1" applyFont="1" applyBorder="1" applyAlignment="1">
      <alignment horizontal="center" vertical="center"/>
    </xf>
    <xf numFmtId="171" fontId="20" fillId="0" borderId="1" xfId="0" applyNumberFormat="1" applyFont="1" applyBorder="1" applyAlignment="1">
      <alignment horizontal="center" vertical="center"/>
    </xf>
    <xf numFmtId="172" fontId="20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vertical="center"/>
    </xf>
    <xf numFmtId="171" fontId="10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right" vertical="center"/>
    </xf>
    <xf numFmtId="170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1" fontId="30" fillId="0" borderId="1" xfId="0" applyNumberFormat="1" applyFont="1" applyBorder="1" applyAlignment="1">
      <alignment horizontal="center" vertical="center"/>
    </xf>
    <xf numFmtId="172" fontId="30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vertical="center"/>
    </xf>
    <xf numFmtId="172" fontId="30" fillId="0" borderId="1" xfId="0" applyNumberFormat="1" applyFont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>
      <alignment vertical="center"/>
    </xf>
    <xf numFmtId="172" fontId="25" fillId="0" borderId="1" xfId="0" applyNumberFormat="1" applyFont="1" applyBorder="1" applyAlignment="1">
      <alignment vertical="center"/>
    </xf>
    <xf numFmtId="2" fontId="30" fillId="0" borderId="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49" fontId="31" fillId="0" borderId="34" xfId="0" applyNumberFormat="1" applyFont="1" applyBorder="1" applyAlignment="1">
      <alignment horizontal="right" vertical="center"/>
    </xf>
    <xf numFmtId="172" fontId="14" fillId="0" borderId="1" xfId="0" applyNumberFormat="1" applyFont="1" applyBorder="1" applyAlignment="1" applyProtection="1">
      <alignment horizontal="center" vertical="center"/>
      <protection locked="0"/>
    </xf>
    <xf numFmtId="170" fontId="32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0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1" fontId="31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 applyProtection="1">
      <alignment horizontal="center" vertical="center"/>
      <protection locked="0"/>
    </xf>
    <xf numFmtId="49" fontId="33" fillId="0" borderId="34" xfId="0" applyNumberFormat="1" applyFont="1" applyBorder="1" applyAlignment="1">
      <alignment horizontal="right" vertical="center"/>
    </xf>
    <xf numFmtId="49" fontId="23" fillId="0" borderId="34" xfId="0" applyNumberFormat="1" applyFont="1" applyBorder="1" applyAlignment="1">
      <alignment horizontal="right" vertical="center"/>
    </xf>
    <xf numFmtId="170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71" fontId="33" fillId="0" borderId="1" xfId="0" applyNumberFormat="1" applyFont="1" applyBorder="1" applyAlignment="1">
      <alignment horizontal="center" vertical="center"/>
    </xf>
    <xf numFmtId="172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/>
    </xf>
    <xf numFmtId="172" fontId="33" fillId="0" borderId="1" xfId="0" applyNumberFormat="1" applyFont="1" applyBorder="1" applyAlignment="1" applyProtection="1">
      <alignment horizontal="center" vertical="center"/>
      <protection locked="0"/>
    </xf>
    <xf numFmtId="17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1" fontId="23" fillId="0" borderId="1" xfId="0" applyNumberFormat="1" applyFont="1" applyBorder="1" applyAlignment="1">
      <alignment horizontal="center" vertical="center"/>
    </xf>
    <xf numFmtId="172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72" fontId="23" fillId="0" borderId="1" xfId="0" applyNumberFormat="1" applyFont="1" applyBorder="1" applyAlignment="1" applyProtection="1">
      <alignment horizontal="center" vertical="center"/>
      <protection locked="0"/>
    </xf>
    <xf numFmtId="170" fontId="16" fillId="0" borderId="7" xfId="0" applyNumberFormat="1" applyFont="1" applyBorder="1" applyAlignment="1">
      <alignment horizontal="center" vertical="center"/>
    </xf>
    <xf numFmtId="170" fontId="16" fillId="0" borderId="52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vertical="center"/>
    </xf>
    <xf numFmtId="172" fontId="10" fillId="0" borderId="0" xfId="0" applyNumberFormat="1" applyFont="1" applyAlignment="1">
      <alignment vertical="center"/>
    </xf>
    <xf numFmtId="2" fontId="29" fillId="0" borderId="1" xfId="0" applyNumberFormat="1" applyFont="1" applyBorder="1" applyAlignment="1">
      <alignment vertical="center"/>
    </xf>
    <xf numFmtId="2" fontId="33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vertical="center"/>
    </xf>
    <xf numFmtId="49" fontId="19" fillId="0" borderId="34" xfId="0" applyNumberFormat="1" applyFont="1" applyBorder="1" applyAlignment="1">
      <alignment horizontal="right" vertical="center"/>
    </xf>
    <xf numFmtId="49" fontId="16" fillId="14" borderId="34" xfId="0" applyNumberFormat="1" applyFont="1" applyFill="1" applyBorder="1" applyAlignment="1">
      <alignment horizontal="right" vertical="center"/>
    </xf>
    <xf numFmtId="49" fontId="18" fillId="6" borderId="34" xfId="0" applyNumberFormat="1" applyFont="1" applyFill="1" applyBorder="1" applyAlignment="1">
      <alignment horizontal="right" vertical="center"/>
    </xf>
    <xf numFmtId="49" fontId="15" fillId="7" borderId="34" xfId="0" applyNumberFormat="1" applyFont="1" applyFill="1" applyBorder="1" applyAlignment="1">
      <alignment horizontal="right" vertical="center"/>
    </xf>
    <xf numFmtId="49" fontId="13" fillId="8" borderId="34" xfId="0" applyNumberFormat="1" applyFont="1" applyFill="1" applyBorder="1" applyAlignment="1">
      <alignment horizontal="right" vertical="center"/>
    </xf>
    <xf numFmtId="49" fontId="19" fillId="12" borderId="34" xfId="0" applyNumberFormat="1" applyFont="1" applyFill="1" applyBorder="1" applyAlignment="1">
      <alignment horizontal="right" vertical="center"/>
    </xf>
    <xf numFmtId="49" fontId="14" fillId="9" borderId="34" xfId="0" applyNumberFormat="1" applyFont="1" applyFill="1" applyBorder="1" applyAlignment="1">
      <alignment horizontal="right" vertical="center"/>
    </xf>
    <xf numFmtId="49" fontId="16" fillId="10" borderId="34" xfId="0" applyNumberFormat="1" applyFont="1" applyFill="1" applyBorder="1" applyAlignment="1">
      <alignment horizontal="right" vertical="center"/>
    </xf>
    <xf numFmtId="49" fontId="17" fillId="11" borderId="34" xfId="0" applyNumberFormat="1" applyFont="1" applyFill="1" applyBorder="1" applyAlignment="1">
      <alignment horizontal="right" vertical="center"/>
    </xf>
    <xf numFmtId="49" fontId="22" fillId="13" borderId="34" xfId="0" applyNumberFormat="1" applyFont="1" applyFill="1" applyBorder="1" applyAlignment="1">
      <alignment horizontal="right" vertical="center"/>
    </xf>
    <xf numFmtId="0" fontId="23" fillId="0" borderId="34" xfId="0" applyFont="1" applyBorder="1" applyAlignment="1">
      <alignment horizontal="right" vertical="center"/>
    </xf>
    <xf numFmtId="3" fontId="28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 applyProtection="1">
      <alignment horizontal="center" vertical="center"/>
      <protection locked="0"/>
    </xf>
    <xf numFmtId="171" fontId="34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/>
      <protection locked="0"/>
    </xf>
    <xf numFmtId="170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1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 applyProtection="1">
      <alignment horizontal="center" vertical="center"/>
      <protection locked="0"/>
    </xf>
    <xf numFmtId="4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 applyProtection="1">
      <alignment horizontal="center" vertical="center"/>
      <protection locked="0"/>
    </xf>
    <xf numFmtId="171" fontId="3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 applyProtection="1">
      <alignment horizontal="center" vertical="center"/>
      <protection locked="0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4" fontId="18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3" fontId="25" fillId="0" borderId="1" xfId="0" applyNumberFormat="1" applyFont="1" applyBorder="1" applyAlignment="1">
      <alignment vertical="center"/>
    </xf>
    <xf numFmtId="2" fontId="25" fillId="0" borderId="1" xfId="0" applyNumberFormat="1" applyFont="1" applyBorder="1" applyAlignment="1" applyProtection="1">
      <alignment horizontal="center" vertical="center"/>
      <protection locked="0"/>
    </xf>
    <xf numFmtId="3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>
      <alignment vertical="center"/>
    </xf>
    <xf numFmtId="4" fontId="29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 applyProtection="1">
      <alignment horizontal="center" vertical="center"/>
      <protection locked="0"/>
    </xf>
    <xf numFmtId="3" fontId="26" fillId="0" borderId="1" xfId="0" applyNumberFormat="1" applyFont="1" applyBorder="1" applyAlignment="1">
      <alignment vertical="center"/>
    </xf>
    <xf numFmtId="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>
      <alignment vertical="center"/>
    </xf>
    <xf numFmtId="2" fontId="27" fillId="0" borderId="1" xfId="0" applyNumberFormat="1" applyFont="1" applyBorder="1" applyAlignment="1" applyProtection="1">
      <alignment horizontal="center" vertical="center"/>
      <protection locked="0"/>
    </xf>
    <xf numFmtId="17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1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 applyProtection="1">
      <alignment horizontal="center" vertical="center"/>
      <protection locked="0"/>
    </xf>
    <xf numFmtId="4" fontId="25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170" fontId="16" fillId="14" borderId="1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171" fontId="16" fillId="14" borderId="1" xfId="0" applyNumberFormat="1" applyFont="1" applyFill="1" applyBorder="1" applyAlignment="1">
      <alignment horizontal="center" vertical="center"/>
    </xf>
    <xf numFmtId="4" fontId="16" fillId="14" borderId="1" xfId="0" applyNumberFormat="1" applyFont="1" applyFill="1" applyBorder="1" applyAlignment="1">
      <alignment horizontal="center" vertical="center"/>
    </xf>
    <xf numFmtId="171" fontId="15" fillId="14" borderId="1" xfId="0" applyNumberFormat="1" applyFont="1" applyFill="1" applyBorder="1" applyAlignment="1">
      <alignment horizontal="center" vertical="center"/>
    </xf>
    <xf numFmtId="2" fontId="10" fillId="14" borderId="1" xfId="0" applyNumberFormat="1" applyFont="1" applyFill="1" applyBorder="1" applyAlignment="1" applyProtection="1">
      <alignment horizontal="center" vertical="center"/>
      <protection locked="0"/>
    </xf>
    <xf numFmtId="170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171" fontId="18" fillId="6" borderId="1" xfId="0" applyNumberFormat="1" applyFont="1" applyFill="1" applyBorder="1" applyAlignment="1">
      <alignment horizontal="center" vertical="center"/>
    </xf>
    <xf numFmtId="2" fontId="10" fillId="6" borderId="1" xfId="0" applyNumberFormat="1" applyFont="1" applyFill="1" applyBorder="1" applyAlignment="1" applyProtection="1">
      <alignment horizontal="center" vertical="center"/>
      <protection locked="0"/>
    </xf>
    <xf numFmtId="170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71" fontId="15" fillId="7" borderId="1" xfId="0" applyNumberFormat="1" applyFont="1" applyFill="1" applyBorder="1" applyAlignment="1">
      <alignment horizontal="center" vertical="center"/>
    </xf>
    <xf numFmtId="2" fontId="15" fillId="7" borderId="1" xfId="0" applyNumberFormat="1" applyFont="1" applyFill="1" applyBorder="1" applyAlignment="1" applyProtection="1">
      <alignment horizontal="center" vertical="center"/>
      <protection locked="0"/>
    </xf>
    <xf numFmtId="170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71" fontId="13" fillId="8" borderId="1" xfId="0" applyNumberFormat="1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170" fontId="19" fillId="12" borderId="1" xfId="0" applyNumberFormat="1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171" fontId="19" fillId="12" borderId="1" xfId="0" applyNumberFormat="1" applyFont="1" applyFill="1" applyBorder="1" applyAlignment="1">
      <alignment horizontal="center" vertical="center"/>
    </xf>
    <xf numFmtId="4" fontId="19" fillId="12" borderId="1" xfId="0" applyNumberFormat="1" applyFont="1" applyFill="1" applyBorder="1" applyAlignment="1">
      <alignment horizontal="center" vertical="center"/>
    </xf>
    <xf numFmtId="170" fontId="14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171" fontId="14" fillId="9" borderId="1" xfId="0" applyNumberFormat="1" applyFont="1" applyFill="1" applyBorder="1" applyAlignment="1">
      <alignment horizontal="center" vertical="center"/>
    </xf>
    <xf numFmtId="4" fontId="14" fillId="9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170" fontId="16" fillId="10" borderId="1" xfId="0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71" fontId="16" fillId="10" borderId="1" xfId="0" applyNumberFormat="1" applyFont="1" applyFill="1" applyBorder="1" applyAlignment="1">
      <alignment horizontal="center" vertical="center"/>
    </xf>
    <xf numFmtId="2" fontId="16" fillId="10" borderId="1" xfId="0" applyNumberFormat="1" applyFont="1" applyFill="1" applyBorder="1" applyAlignment="1" applyProtection="1">
      <alignment horizontal="center" vertical="center"/>
      <protection locked="0"/>
    </xf>
    <xf numFmtId="170" fontId="17" fillId="11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171" fontId="17" fillId="11" borderId="1" xfId="0" applyNumberFormat="1" applyFont="1" applyFill="1" applyBorder="1" applyAlignment="1">
      <alignment horizontal="center" vertical="center"/>
    </xf>
    <xf numFmtId="170" fontId="22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171" fontId="22" fillId="13" borderId="1" xfId="0" applyNumberFormat="1" applyFont="1" applyFill="1" applyBorder="1" applyAlignment="1">
      <alignment horizontal="center" vertical="center"/>
    </xf>
    <xf numFmtId="171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 applyProtection="1">
      <alignment horizontal="center" vertical="center"/>
      <protection locked="0"/>
    </xf>
    <xf numFmtId="2" fontId="22" fillId="13" borderId="1" xfId="0" applyNumberFormat="1" applyFont="1" applyFill="1" applyBorder="1" applyAlignment="1" applyProtection="1">
      <alignment horizontal="center" vertical="center"/>
      <protection locked="0"/>
    </xf>
    <xf numFmtId="167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71" fontId="2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36" fillId="0" borderId="34" xfId="0" applyNumberFormat="1" applyFont="1" applyBorder="1" applyAlignment="1">
      <alignment horizontal="right" vertical="center"/>
    </xf>
    <xf numFmtId="2" fontId="10" fillId="0" borderId="33" xfId="0" applyNumberFormat="1" applyFont="1" applyBorder="1" applyAlignment="1" applyProtection="1">
      <alignment horizontal="center" vertical="center"/>
      <protection locked="0"/>
    </xf>
    <xf numFmtId="2" fontId="10" fillId="0" borderId="29" xfId="0" applyNumberFormat="1" applyFont="1" applyBorder="1" applyAlignment="1" applyProtection="1">
      <alignment horizontal="center" vertical="center"/>
      <protection locked="0"/>
    </xf>
    <xf numFmtId="171" fontId="3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2" fontId="36" fillId="0" borderId="1" xfId="0" applyNumberFormat="1" applyFont="1" applyBorder="1" applyAlignment="1">
      <alignment horizontal="center" vertical="center"/>
    </xf>
    <xf numFmtId="171" fontId="36" fillId="0" borderId="1" xfId="0" applyNumberFormat="1" applyFont="1" applyBorder="1" applyAlignment="1">
      <alignment horizontal="center" vertical="center"/>
    </xf>
    <xf numFmtId="3" fontId="36" fillId="0" borderId="1" xfId="0" applyNumberFormat="1" applyFont="1" applyBorder="1" applyAlignment="1">
      <alignment vertical="center"/>
    </xf>
    <xf numFmtId="173" fontId="36" fillId="0" borderId="1" xfId="0" applyNumberFormat="1" applyFont="1" applyBorder="1" applyAlignment="1">
      <alignment horizontal="center" vertical="center"/>
    </xf>
    <xf numFmtId="171" fontId="38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 applyProtection="1">
      <alignment horizontal="center" vertical="center"/>
      <protection locked="0"/>
    </xf>
    <xf numFmtId="1" fontId="10" fillId="0" borderId="39" xfId="0" applyNumberFormat="1" applyFont="1" applyBorder="1" applyAlignment="1">
      <alignment horizontal="center" vertical="center"/>
    </xf>
    <xf numFmtId="167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2" fontId="10" fillId="0" borderId="11" xfId="0" applyNumberFormat="1" applyFont="1" applyBorder="1" applyAlignment="1" applyProtection="1">
      <alignment horizontal="center" vertical="center"/>
      <protection locked="0"/>
    </xf>
    <xf numFmtId="2" fontId="10" fillId="0" borderId="15" xfId="0" applyNumberFormat="1" applyFont="1" applyBorder="1" applyAlignment="1" applyProtection="1">
      <alignment horizontal="center" vertical="center"/>
      <protection locked="0"/>
    </xf>
    <xf numFmtId="2" fontId="10" fillId="0" borderId="27" xfId="0" applyNumberFormat="1" applyFont="1" applyBorder="1" applyAlignment="1" applyProtection="1">
      <alignment horizontal="center" vertical="center"/>
      <protection locked="0"/>
    </xf>
    <xf numFmtId="2" fontId="10" fillId="0" borderId="6" xfId="0" applyNumberFormat="1" applyFont="1" applyBorder="1" applyAlignment="1" applyProtection="1">
      <alignment horizontal="center" vertical="center"/>
      <protection locked="0"/>
    </xf>
    <xf numFmtId="171" fontId="39" fillId="0" borderId="1" xfId="0" applyNumberFormat="1" applyFont="1" applyBorder="1" applyAlignment="1">
      <alignment horizontal="center" vertical="center"/>
    </xf>
    <xf numFmtId="171" fontId="40" fillId="0" borderId="1" xfId="0" applyNumberFormat="1" applyFont="1" applyBorder="1" applyAlignment="1">
      <alignment horizontal="center" vertical="center"/>
    </xf>
    <xf numFmtId="170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72" fontId="41" fillId="0" borderId="1" xfId="0" applyNumberFormat="1" applyFont="1" applyBorder="1" applyAlignment="1">
      <alignment horizontal="center" vertical="center"/>
    </xf>
    <xf numFmtId="171" fontId="41" fillId="0" borderId="1" xfId="0" applyNumberFormat="1" applyFont="1" applyBorder="1" applyAlignment="1">
      <alignment horizontal="center" vertical="center"/>
    </xf>
    <xf numFmtId="3" fontId="41" fillId="0" borderId="1" xfId="0" applyNumberFormat="1" applyFont="1" applyBorder="1" applyAlignment="1">
      <alignment vertical="center"/>
    </xf>
    <xf numFmtId="4" fontId="41" fillId="0" borderId="1" xfId="0" applyNumberFormat="1" applyFont="1" applyBorder="1" applyAlignment="1">
      <alignment horizontal="center" vertical="center"/>
    </xf>
    <xf numFmtId="170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72" fontId="42" fillId="0" borderId="1" xfId="0" applyNumberFormat="1" applyFont="1" applyBorder="1" applyAlignment="1">
      <alignment horizontal="center" vertical="center"/>
    </xf>
    <xf numFmtId="171" fontId="42" fillId="0" borderId="1" xfId="0" applyNumberFormat="1" applyFont="1" applyBorder="1" applyAlignment="1">
      <alignment horizontal="center" vertical="center"/>
    </xf>
    <xf numFmtId="3" fontId="42" fillId="0" borderId="1" xfId="0" applyNumberFormat="1" applyFont="1" applyBorder="1" applyAlignment="1">
      <alignment vertical="center"/>
    </xf>
    <xf numFmtId="4" fontId="42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 applyProtection="1">
      <alignment horizontal="center" vertical="center"/>
      <protection locked="0"/>
    </xf>
    <xf numFmtId="2" fontId="10" fillId="0" borderId="9" xfId="0" applyNumberFormat="1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>
      <alignment vertical="center"/>
    </xf>
    <xf numFmtId="49" fontId="41" fillId="0" borderId="34" xfId="0" applyNumberFormat="1" applyFont="1" applyBorder="1" applyAlignment="1">
      <alignment horizontal="right" vertical="center"/>
    </xf>
    <xf numFmtId="49" fontId="42" fillId="0" borderId="34" xfId="0" applyNumberFormat="1" applyFont="1" applyBorder="1" applyAlignment="1">
      <alignment horizontal="right" vertical="center"/>
    </xf>
    <xf numFmtId="2" fontId="10" fillId="0" borderId="12" xfId="0" applyNumberFormat="1" applyFont="1" applyBorder="1" applyAlignment="1" applyProtection="1">
      <alignment horizontal="center" vertical="center"/>
      <protection locked="0"/>
    </xf>
    <xf numFmtId="2" fontId="10" fillId="0" borderId="38" xfId="0" applyNumberFormat="1" applyFont="1" applyBorder="1" applyAlignment="1" applyProtection="1">
      <alignment horizontal="center" vertical="center"/>
      <protection locked="0"/>
    </xf>
    <xf numFmtId="2" fontId="10" fillId="0" borderId="39" xfId="0" applyNumberFormat="1" applyFont="1" applyBorder="1" applyAlignment="1" applyProtection="1">
      <alignment horizontal="center" vertical="center"/>
      <protection locked="0"/>
    </xf>
    <xf numFmtId="172" fontId="10" fillId="0" borderId="38" xfId="0" applyNumberFormat="1" applyFont="1" applyBorder="1" applyAlignment="1" applyProtection="1">
      <alignment horizontal="center" vertical="center"/>
      <protection locked="0"/>
    </xf>
    <xf numFmtId="2" fontId="10" fillId="0" borderId="39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2" fontId="10" fillId="16" borderId="52" xfId="0" quotePrefix="1" applyNumberFormat="1" applyFont="1" applyFill="1" applyBorder="1" applyAlignment="1" applyProtection="1">
      <alignment horizontal="center" vertical="center"/>
      <protection locked="0"/>
    </xf>
    <xf numFmtId="0" fontId="6" fillId="16" borderId="0" xfId="0" quotePrefix="1" applyFont="1" applyFill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15" borderId="0" xfId="0" applyFont="1" applyFill="1" applyAlignment="1">
      <alignment vertical="center"/>
    </xf>
    <xf numFmtId="172" fontId="10" fillId="15" borderId="0" xfId="0" applyNumberFormat="1" applyFont="1" applyFill="1" applyAlignment="1">
      <alignment vertical="center"/>
    </xf>
    <xf numFmtId="0" fontId="6" fillId="16" borderId="0" xfId="0" applyFont="1" applyFill="1" applyAlignment="1">
      <alignment vertical="center"/>
    </xf>
    <xf numFmtId="172" fontId="10" fillId="16" borderId="0" xfId="0" applyNumberFormat="1" applyFont="1" applyFill="1" applyAlignment="1">
      <alignment vertical="center"/>
    </xf>
    <xf numFmtId="2" fontId="10" fillId="16" borderId="0" xfId="0" applyNumberFormat="1" applyFont="1" applyFill="1" applyAlignment="1">
      <alignment vertical="center"/>
    </xf>
    <xf numFmtId="2" fontId="10" fillId="15" borderId="0" xfId="0" applyNumberFormat="1" applyFont="1" applyFill="1" applyAlignment="1">
      <alignment vertical="center"/>
    </xf>
    <xf numFmtId="174" fontId="24" fillId="0" borderId="1" xfId="0" applyNumberFormat="1" applyFont="1" applyBorder="1" applyAlignment="1">
      <alignment horizontal="center" vertical="center"/>
    </xf>
    <xf numFmtId="0" fontId="6" fillId="17" borderId="0" xfId="0" applyFont="1" applyFill="1" applyAlignment="1">
      <alignment vertical="center"/>
    </xf>
    <xf numFmtId="172" fontId="6" fillId="17" borderId="0" xfId="0" applyNumberFormat="1" applyFont="1" applyFill="1" applyAlignment="1">
      <alignment vertical="center"/>
    </xf>
    <xf numFmtId="2" fontId="6" fillId="17" borderId="0" xfId="0" applyNumberFormat="1" applyFont="1" applyFill="1" applyAlignment="1">
      <alignment vertical="center"/>
    </xf>
    <xf numFmtId="172" fontId="6" fillId="0" borderId="0" xfId="0" applyNumberFormat="1" applyFont="1" applyAlignment="1">
      <alignment vertical="center"/>
    </xf>
    <xf numFmtId="17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17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18" borderId="0" xfId="0" applyFont="1" applyFill="1" applyAlignment="1">
      <alignment vertical="center"/>
    </xf>
    <xf numFmtId="172" fontId="6" fillId="18" borderId="0" xfId="0" applyNumberFormat="1" applyFont="1" applyFill="1" applyAlignment="1">
      <alignment horizontal="right" vertical="center"/>
    </xf>
    <xf numFmtId="0" fontId="6" fillId="15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7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 textRotation="90" wrapText="1"/>
    </xf>
    <xf numFmtId="169" fontId="5" fillId="4" borderId="0" xfId="0" applyNumberFormat="1" applyFont="1" applyFill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164" fontId="10" fillId="0" borderId="8" xfId="0" applyNumberFormat="1" applyFont="1" applyBorder="1" applyAlignment="1">
      <alignment horizontal="center" vertical="center" textRotation="90" wrapText="1"/>
    </xf>
    <xf numFmtId="164" fontId="10" fillId="0" borderId="2" xfId="0" applyNumberFormat="1" applyFont="1" applyBorder="1" applyAlignment="1">
      <alignment horizontal="center" vertical="center" textRotation="90" wrapText="1"/>
    </xf>
    <xf numFmtId="164" fontId="10" fillId="0" borderId="5" xfId="0" applyNumberFormat="1" applyFont="1" applyBorder="1" applyAlignment="1">
      <alignment horizontal="center" vertical="center" textRotation="90" wrapText="1"/>
    </xf>
    <xf numFmtId="0" fontId="6" fillId="17" borderId="1" xfId="0" applyFont="1" applyFill="1" applyBorder="1" applyAlignment="1">
      <alignment horizontal="center" vertical="center"/>
    </xf>
    <xf numFmtId="170" fontId="16" fillId="0" borderId="7" xfId="0" applyNumberFormat="1" applyFont="1" applyBorder="1" applyAlignment="1">
      <alignment horizontal="center" vertical="center"/>
    </xf>
    <xf numFmtId="170" fontId="16" fillId="0" borderId="52" xfId="0" applyNumberFormat="1" applyFont="1" applyBorder="1" applyAlignment="1">
      <alignment horizontal="center" vertical="center"/>
    </xf>
    <xf numFmtId="170" fontId="10" fillId="0" borderId="7" xfId="0" applyNumberFormat="1" applyFont="1" applyBorder="1" applyAlignment="1">
      <alignment horizontal="center" vertical="center"/>
    </xf>
    <xf numFmtId="170" fontId="10" fillId="0" borderId="52" xfId="0" applyNumberFormat="1" applyFont="1" applyBorder="1" applyAlignment="1">
      <alignment horizontal="center" vertical="center"/>
    </xf>
    <xf numFmtId="170" fontId="26" fillId="0" borderId="52" xfId="0" applyNumberFormat="1" applyFont="1" applyBorder="1" applyAlignment="1">
      <alignment horizontal="center" vertical="center"/>
    </xf>
    <xf numFmtId="17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12" fillId="0" borderId="50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2" fontId="10" fillId="0" borderId="49" xfId="0" applyNumberFormat="1" applyFont="1" applyBorder="1" applyAlignment="1" applyProtection="1">
      <alignment horizontal="center" vertical="center"/>
      <protection locked="0"/>
    </xf>
    <xf numFmtId="2" fontId="10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 textRotation="90" wrapText="1"/>
    </xf>
    <xf numFmtId="164" fontId="10" fillId="0" borderId="29" xfId="0" applyNumberFormat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37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164" fontId="10" fillId="0" borderId="36" xfId="0" applyNumberFormat="1" applyFont="1" applyBorder="1" applyAlignment="1">
      <alignment horizontal="center" vertical="center" textRotation="90" wrapText="1"/>
    </xf>
    <xf numFmtId="164" fontId="10" fillId="0" borderId="42" xfId="0" applyNumberFormat="1" applyFont="1" applyBorder="1" applyAlignment="1">
      <alignment horizontal="center" vertical="center" textRotation="90" wrapText="1"/>
    </xf>
    <xf numFmtId="164" fontId="10" fillId="0" borderId="33" xfId="0" applyNumberFormat="1" applyFont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66"/>
      <color rgb="FFB2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6D6F9F58-F873-4B59-B2DF-DDA63174619A}"/>
            </a:ext>
          </a:extLst>
        </xdr:cNvPr>
        <xdr:cNvSpPr>
          <a:spLocks noChangeShapeType="1"/>
        </xdr:cNvSpPr>
      </xdr:nvSpPr>
      <xdr:spPr bwMode="auto">
        <a:xfrm>
          <a:off x="20431125" y="1400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E4DD21BB-ED9F-44BE-BA5D-D4019413D0BB}"/>
            </a:ext>
          </a:extLst>
        </xdr:cNvPr>
        <xdr:cNvSpPr>
          <a:spLocks noChangeShapeType="1"/>
        </xdr:cNvSpPr>
      </xdr:nvSpPr>
      <xdr:spPr bwMode="auto">
        <a:xfrm rot="5400000">
          <a:off x="2741676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7DF22D79-54E6-4C50-95FC-0FB90729EEA5}"/>
            </a:ext>
          </a:extLst>
        </xdr:cNvPr>
        <xdr:cNvSpPr>
          <a:spLocks noChangeShapeType="1"/>
        </xdr:cNvSpPr>
      </xdr:nvSpPr>
      <xdr:spPr bwMode="auto">
        <a:xfrm rot="5400000">
          <a:off x="2814447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85EA5D48-AC2E-4E61-9E8E-EA98E8B21E8E}"/>
            </a:ext>
          </a:extLst>
        </xdr:cNvPr>
        <xdr:cNvSpPr>
          <a:spLocks noChangeShapeType="1"/>
        </xdr:cNvSpPr>
      </xdr:nvSpPr>
      <xdr:spPr bwMode="auto">
        <a:xfrm rot="5400000">
          <a:off x="2741676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B22854EB-907F-4D05-A328-C81143EB82A5}"/>
            </a:ext>
          </a:extLst>
        </xdr:cNvPr>
        <xdr:cNvSpPr>
          <a:spLocks noChangeShapeType="1"/>
        </xdr:cNvSpPr>
      </xdr:nvSpPr>
      <xdr:spPr bwMode="auto">
        <a:xfrm>
          <a:off x="204311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B2604377-54BE-4BBE-A4C8-8C24CDE0C730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D750D118-04DD-43E1-BF0A-3DEEF0D9B2C6}"/>
            </a:ext>
          </a:extLst>
        </xdr:cNvPr>
        <xdr:cNvSpPr>
          <a:spLocks noChangeShapeType="1"/>
        </xdr:cNvSpPr>
      </xdr:nvSpPr>
      <xdr:spPr bwMode="auto">
        <a:xfrm rot="5400000">
          <a:off x="2831973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34DF7B92-E2F8-4335-B5B0-A95F3EB3B947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1805820C-C99F-4221-9DFA-E02CC82BA301}"/>
            </a:ext>
          </a:extLst>
        </xdr:cNvPr>
        <xdr:cNvSpPr>
          <a:spLocks noChangeShapeType="1"/>
        </xdr:cNvSpPr>
      </xdr:nvSpPr>
      <xdr:spPr bwMode="auto">
        <a:xfrm>
          <a:off x="204311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DC8B81A4-A53E-4748-A51C-F1AFBAD1F3B5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0C37D73B-82FC-4C3C-AD38-72DC7C5B39C9}"/>
            </a:ext>
          </a:extLst>
        </xdr:cNvPr>
        <xdr:cNvSpPr>
          <a:spLocks noChangeShapeType="1"/>
        </xdr:cNvSpPr>
      </xdr:nvSpPr>
      <xdr:spPr bwMode="auto">
        <a:xfrm rot="5400000">
          <a:off x="2831973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6E27BD53-FE0F-4CEB-9FFA-6FF79E76D8CA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C04AAE34-06C3-46AF-B72A-8C2EE6570FD5}"/>
            </a:ext>
          </a:extLst>
        </xdr:cNvPr>
        <xdr:cNvSpPr>
          <a:spLocks noChangeShapeType="1"/>
        </xdr:cNvSpPr>
      </xdr:nvSpPr>
      <xdr:spPr bwMode="auto">
        <a:xfrm>
          <a:off x="204311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AD841753-1E2C-47ED-8B89-34B81FAEC5A5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8BA99DEB-FC3B-4414-BAA6-BDAEC6511527}"/>
            </a:ext>
          </a:extLst>
        </xdr:cNvPr>
        <xdr:cNvSpPr>
          <a:spLocks noChangeShapeType="1"/>
        </xdr:cNvSpPr>
      </xdr:nvSpPr>
      <xdr:spPr bwMode="auto">
        <a:xfrm rot="5400000">
          <a:off x="2831973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8FEEDE3B-6816-4673-876F-6AE50061A981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C89D66E0-E3DC-4978-81E4-BA66743EE2A2}"/>
            </a:ext>
          </a:extLst>
        </xdr:cNvPr>
        <xdr:cNvSpPr>
          <a:spLocks noChangeShapeType="1"/>
        </xdr:cNvSpPr>
      </xdr:nvSpPr>
      <xdr:spPr bwMode="auto">
        <a:xfrm>
          <a:off x="204311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559F856F-0D40-4AFD-9247-FD775DD59910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70C53BB6-E7C9-4FEA-9944-E6EC69FB3EC8}"/>
            </a:ext>
          </a:extLst>
        </xdr:cNvPr>
        <xdr:cNvSpPr>
          <a:spLocks noChangeShapeType="1"/>
        </xdr:cNvSpPr>
      </xdr:nvSpPr>
      <xdr:spPr bwMode="auto">
        <a:xfrm rot="5400000">
          <a:off x="2831973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451CB615-C0C1-4EF3-BD6D-F4222261460F}"/>
            </a:ext>
          </a:extLst>
        </xdr:cNvPr>
        <xdr:cNvSpPr>
          <a:spLocks noChangeShapeType="1"/>
        </xdr:cNvSpPr>
      </xdr:nvSpPr>
      <xdr:spPr bwMode="auto">
        <a:xfrm rot="5400000">
          <a:off x="27592020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9467761A-7D9A-4908-886D-F2E0658FBA30}"/>
            </a:ext>
          </a:extLst>
        </xdr:cNvPr>
        <xdr:cNvSpPr>
          <a:spLocks noChangeShapeType="1"/>
        </xdr:cNvSpPr>
      </xdr:nvSpPr>
      <xdr:spPr bwMode="auto">
        <a:xfrm>
          <a:off x="21726525" y="2096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AC1D824B-2907-4BE3-8056-58CAD0148653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28F1A477-9733-4717-9BA1-FADCB26CFE3A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2E4ECADD-A795-4E1B-B83C-5443578125F2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0015CDDC-4758-493C-8184-0C62F9F18E80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4365B604-19D8-499D-B1F3-F3286A98C1CD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1B19B502-671C-4314-A068-59AFCB7BB211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038F751D-CBC7-450B-B441-65E7E2F7A745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3BAA69D3-E337-498C-A81E-1F97DCB17DAF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EF2FF573-8004-45E7-813F-EE5280DC6699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2A3590CF-FB4F-4350-A7DD-C64688B4CFA6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4D9CDAEB-D8BB-441C-BE04-0AABFF441219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D4348BB8-05F0-410F-A0E3-81A79CB06825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03839BD4-3AE6-44C4-8847-82ED99A29796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035FF4E5-940D-4CF7-BB92-B845FF987361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8E1CC49A-4AF7-492E-AFF2-1CF0E71D2AF3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B4F0DC02-9FE5-47A1-86F2-87C5D45D3D52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F5ACB884-362F-41A9-9BEC-80C1DFD8EB72}"/>
            </a:ext>
          </a:extLst>
        </xdr:cNvPr>
        <xdr:cNvSpPr>
          <a:spLocks noChangeShapeType="1"/>
        </xdr:cNvSpPr>
      </xdr:nvSpPr>
      <xdr:spPr bwMode="auto">
        <a:xfrm>
          <a:off x="21640800" y="1383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ACF91E78-6EEE-4E9A-BCB7-80F38D236CE2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B8660E18-040A-4580-B44A-343EDCC18B56}"/>
            </a:ext>
          </a:extLst>
        </xdr:cNvPr>
        <xdr:cNvSpPr>
          <a:spLocks noChangeShapeType="1"/>
        </xdr:cNvSpPr>
      </xdr:nvSpPr>
      <xdr:spPr bwMode="auto">
        <a:xfrm rot="5400000">
          <a:off x="2930937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39E11912-5B11-426F-AF96-4F00A2D7D3FC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4339F5B7-F181-4565-AC68-04FCA6CA1E23}"/>
            </a:ext>
          </a:extLst>
        </xdr:cNvPr>
        <xdr:cNvSpPr>
          <a:spLocks noChangeShapeType="1"/>
        </xdr:cNvSpPr>
      </xdr:nvSpPr>
      <xdr:spPr bwMode="auto">
        <a:xfrm>
          <a:off x="2164080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359A0205-6278-41D8-BD1D-261274B4CDA9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FDFC05C5-8846-4BE6-8429-A33C0B15CB96}"/>
            </a:ext>
          </a:extLst>
        </xdr:cNvPr>
        <xdr:cNvSpPr>
          <a:spLocks noChangeShapeType="1"/>
        </xdr:cNvSpPr>
      </xdr:nvSpPr>
      <xdr:spPr bwMode="auto">
        <a:xfrm rot="5400000">
          <a:off x="2948368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2FD9C630-6B72-43B3-B979-04B980CD2F3C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2165DC3D-616B-4A4A-B4CF-7659D41F13B7}"/>
            </a:ext>
          </a:extLst>
        </xdr:cNvPr>
        <xdr:cNvSpPr>
          <a:spLocks noChangeShapeType="1"/>
        </xdr:cNvSpPr>
      </xdr:nvSpPr>
      <xdr:spPr bwMode="auto">
        <a:xfrm>
          <a:off x="2164080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1578303D-86F6-437F-8CD8-3F95FEFF18D8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942F9A87-4378-49FF-884C-CC8506481E0C}"/>
            </a:ext>
          </a:extLst>
        </xdr:cNvPr>
        <xdr:cNvSpPr>
          <a:spLocks noChangeShapeType="1"/>
        </xdr:cNvSpPr>
      </xdr:nvSpPr>
      <xdr:spPr bwMode="auto">
        <a:xfrm rot="5400000">
          <a:off x="2948368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4B94B7BA-C7D2-4434-835D-61175C6B7FAB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F138B91A-C428-40B7-9B24-B206E8F94132}"/>
            </a:ext>
          </a:extLst>
        </xdr:cNvPr>
        <xdr:cNvSpPr>
          <a:spLocks noChangeShapeType="1"/>
        </xdr:cNvSpPr>
      </xdr:nvSpPr>
      <xdr:spPr bwMode="auto">
        <a:xfrm>
          <a:off x="2164080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24E42BCB-E874-4C2D-B2C5-97ADE01CA429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8A6C8EB8-4768-45C4-A47F-53949C8F07BF}"/>
            </a:ext>
          </a:extLst>
        </xdr:cNvPr>
        <xdr:cNvSpPr>
          <a:spLocks noChangeShapeType="1"/>
        </xdr:cNvSpPr>
      </xdr:nvSpPr>
      <xdr:spPr bwMode="auto">
        <a:xfrm rot="5400000">
          <a:off x="2948368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54030990-0C5C-4FF8-8DF9-21FDC1964F21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F41DD723-E93F-4B68-ADB9-B86AEC46D657}"/>
            </a:ext>
          </a:extLst>
        </xdr:cNvPr>
        <xdr:cNvSpPr>
          <a:spLocks noChangeShapeType="1"/>
        </xdr:cNvSpPr>
      </xdr:nvSpPr>
      <xdr:spPr bwMode="auto">
        <a:xfrm>
          <a:off x="2164080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8617A19B-C88F-4BC5-A217-F4FDCA65EDAE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C6E5D53B-8FBE-4F3D-AB92-10403785A5DF}"/>
            </a:ext>
          </a:extLst>
        </xdr:cNvPr>
        <xdr:cNvSpPr>
          <a:spLocks noChangeShapeType="1"/>
        </xdr:cNvSpPr>
      </xdr:nvSpPr>
      <xdr:spPr bwMode="auto">
        <a:xfrm rot="5400000">
          <a:off x="2948368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7C1C669C-2E58-46D2-9D5D-27D08568C312}"/>
            </a:ext>
          </a:extLst>
        </xdr:cNvPr>
        <xdr:cNvSpPr>
          <a:spLocks noChangeShapeType="1"/>
        </xdr:cNvSpPr>
      </xdr:nvSpPr>
      <xdr:spPr bwMode="auto">
        <a:xfrm rot="5400000">
          <a:off x="28763595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D79CADE2-FBB7-4B88-8CFB-F86C05EDC80E}"/>
            </a:ext>
          </a:extLst>
        </xdr:cNvPr>
        <xdr:cNvSpPr>
          <a:spLocks noChangeShapeType="1"/>
        </xdr:cNvSpPr>
      </xdr:nvSpPr>
      <xdr:spPr bwMode="auto">
        <a:xfrm>
          <a:off x="21640800" y="1367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4F409ED5-40D0-49A2-A0E1-75BF090940A1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C5ABFA61-F5BE-4B32-A946-D2F5C0377A80}"/>
            </a:ext>
          </a:extLst>
        </xdr:cNvPr>
        <xdr:cNvSpPr>
          <a:spLocks noChangeShapeType="1"/>
        </xdr:cNvSpPr>
      </xdr:nvSpPr>
      <xdr:spPr bwMode="auto">
        <a:xfrm rot="5400000">
          <a:off x="2930937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173C8DF0-2540-4E47-B5D5-45726F2D1BC5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C3CD8813-F207-478C-BAFF-ED4CE205EE8D}"/>
            </a:ext>
          </a:extLst>
        </xdr:cNvPr>
        <xdr:cNvSpPr>
          <a:spLocks noChangeShapeType="1"/>
        </xdr:cNvSpPr>
      </xdr:nvSpPr>
      <xdr:spPr bwMode="auto">
        <a:xfrm>
          <a:off x="21640800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53A07C63-75D8-460E-BCAA-FA4CC193CA5B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593371E3-0C3F-4F7B-9761-DC30D78D7574}"/>
            </a:ext>
          </a:extLst>
        </xdr:cNvPr>
        <xdr:cNvSpPr>
          <a:spLocks noChangeShapeType="1"/>
        </xdr:cNvSpPr>
      </xdr:nvSpPr>
      <xdr:spPr bwMode="auto">
        <a:xfrm rot="5400000">
          <a:off x="2948368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365350A8-7F03-4FDC-BB83-155ACE0E8EA6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41F27F6E-A8D2-492D-A681-98348B14B81C}"/>
            </a:ext>
          </a:extLst>
        </xdr:cNvPr>
        <xdr:cNvSpPr>
          <a:spLocks noChangeShapeType="1"/>
        </xdr:cNvSpPr>
      </xdr:nvSpPr>
      <xdr:spPr bwMode="auto">
        <a:xfrm>
          <a:off x="21640800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C82DDCF5-8E77-48B2-B069-79FEFF8C8FCE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476A370E-6F5B-4A27-A0BA-EF4094895835}"/>
            </a:ext>
          </a:extLst>
        </xdr:cNvPr>
        <xdr:cNvSpPr>
          <a:spLocks noChangeShapeType="1"/>
        </xdr:cNvSpPr>
      </xdr:nvSpPr>
      <xdr:spPr bwMode="auto">
        <a:xfrm rot="5400000">
          <a:off x="2948368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11B02AC7-CB98-48B7-8A68-3B48CEE1FF50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4C85550C-E8F7-4644-8E7F-8984CC3F5067}"/>
            </a:ext>
          </a:extLst>
        </xdr:cNvPr>
        <xdr:cNvSpPr>
          <a:spLocks noChangeShapeType="1"/>
        </xdr:cNvSpPr>
      </xdr:nvSpPr>
      <xdr:spPr bwMode="auto">
        <a:xfrm>
          <a:off x="21640800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621DBEEA-C777-4A7E-AA00-03A8F48763C7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2D3B1807-B391-4F90-B735-280BF320A500}"/>
            </a:ext>
          </a:extLst>
        </xdr:cNvPr>
        <xdr:cNvSpPr>
          <a:spLocks noChangeShapeType="1"/>
        </xdr:cNvSpPr>
      </xdr:nvSpPr>
      <xdr:spPr bwMode="auto">
        <a:xfrm rot="5400000">
          <a:off x="2948368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DF0CA97E-7342-48D0-9740-3A8D02488ED6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D8B21FD6-8F7B-4C1D-9F24-C43F2882DE92}"/>
            </a:ext>
          </a:extLst>
        </xdr:cNvPr>
        <xdr:cNvSpPr>
          <a:spLocks noChangeShapeType="1"/>
        </xdr:cNvSpPr>
      </xdr:nvSpPr>
      <xdr:spPr bwMode="auto">
        <a:xfrm>
          <a:off x="21640800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53898587-5F91-4192-A4E9-CB2149C29102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656F8CFC-01DC-4F6D-B132-D841B92E2B78}"/>
            </a:ext>
          </a:extLst>
        </xdr:cNvPr>
        <xdr:cNvSpPr>
          <a:spLocks noChangeShapeType="1"/>
        </xdr:cNvSpPr>
      </xdr:nvSpPr>
      <xdr:spPr bwMode="auto">
        <a:xfrm rot="5400000">
          <a:off x="2948368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BFA9E29D-D5DB-48DF-8279-107AD55E20D2}"/>
            </a:ext>
          </a:extLst>
        </xdr:cNvPr>
        <xdr:cNvSpPr>
          <a:spLocks noChangeShapeType="1"/>
        </xdr:cNvSpPr>
      </xdr:nvSpPr>
      <xdr:spPr bwMode="auto">
        <a:xfrm rot="5400000">
          <a:off x="28763595" y="13921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AAB2BAD1-65FE-426E-AE09-0C6B8F125559}"/>
            </a:ext>
          </a:extLst>
        </xdr:cNvPr>
        <xdr:cNvSpPr>
          <a:spLocks noChangeShapeType="1"/>
        </xdr:cNvSpPr>
      </xdr:nvSpPr>
      <xdr:spPr bwMode="auto">
        <a:xfrm>
          <a:off x="21640800" y="146380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FADC1630-37A7-4B27-BBE2-53E708C13F32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28C93D43-277C-488E-8D55-5D6F0982BB4C}"/>
            </a:ext>
          </a:extLst>
        </xdr:cNvPr>
        <xdr:cNvSpPr>
          <a:spLocks noChangeShapeType="1"/>
        </xdr:cNvSpPr>
      </xdr:nvSpPr>
      <xdr:spPr bwMode="auto">
        <a:xfrm rot="5400000">
          <a:off x="2930937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B198DBD8-2A15-4D47-A93E-63545DF687DE}"/>
            </a:ext>
          </a:extLst>
        </xdr:cNvPr>
        <xdr:cNvSpPr>
          <a:spLocks noChangeShapeType="1"/>
        </xdr:cNvSpPr>
      </xdr:nvSpPr>
      <xdr:spPr bwMode="auto">
        <a:xfrm rot="5400000">
          <a:off x="28589287" y="4334828"/>
          <a:ext cx="3486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8184339A-1DE0-4F92-9D1A-7FD35186A4F9}"/>
            </a:ext>
          </a:extLst>
        </xdr:cNvPr>
        <xdr:cNvSpPr>
          <a:spLocks noChangeShapeType="1"/>
        </xdr:cNvSpPr>
      </xdr:nvSpPr>
      <xdr:spPr bwMode="auto">
        <a:xfrm>
          <a:off x="21640800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5A22EBF7-4623-4688-9477-EC271EB1D84F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692776D5-1EB7-427D-BA93-91251ADEE93A}"/>
            </a:ext>
          </a:extLst>
        </xdr:cNvPr>
        <xdr:cNvSpPr>
          <a:spLocks noChangeShapeType="1"/>
        </xdr:cNvSpPr>
      </xdr:nvSpPr>
      <xdr:spPr bwMode="auto">
        <a:xfrm rot="5400000">
          <a:off x="2948368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ED9FFE9D-271C-4683-A57A-D16C80C3B83B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23B00287-18CC-4649-BC2E-1942DAE9E622}"/>
            </a:ext>
          </a:extLst>
        </xdr:cNvPr>
        <xdr:cNvSpPr>
          <a:spLocks noChangeShapeType="1"/>
        </xdr:cNvSpPr>
      </xdr:nvSpPr>
      <xdr:spPr bwMode="auto">
        <a:xfrm>
          <a:off x="21640800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B4A3EBB5-BF97-4217-901F-1D3128FC30A6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1EA4A36B-3EF8-4AFC-A41F-CBA756565F9A}"/>
            </a:ext>
          </a:extLst>
        </xdr:cNvPr>
        <xdr:cNvSpPr>
          <a:spLocks noChangeShapeType="1"/>
        </xdr:cNvSpPr>
      </xdr:nvSpPr>
      <xdr:spPr bwMode="auto">
        <a:xfrm rot="5400000">
          <a:off x="2948368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4025B27C-F0B0-45A8-9FDA-DA91C54A974F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F13A877C-CE1D-4680-8798-5F780FF94F20}"/>
            </a:ext>
          </a:extLst>
        </xdr:cNvPr>
        <xdr:cNvSpPr>
          <a:spLocks noChangeShapeType="1"/>
        </xdr:cNvSpPr>
      </xdr:nvSpPr>
      <xdr:spPr bwMode="auto">
        <a:xfrm>
          <a:off x="21640800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BE8A61F8-27F0-4840-9B1C-87A9CBCA8B84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F5B0C45C-5EAC-4A1B-9413-261DA5D9EF95}"/>
            </a:ext>
          </a:extLst>
        </xdr:cNvPr>
        <xdr:cNvSpPr>
          <a:spLocks noChangeShapeType="1"/>
        </xdr:cNvSpPr>
      </xdr:nvSpPr>
      <xdr:spPr bwMode="auto">
        <a:xfrm rot="5400000">
          <a:off x="2948368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C4EC94C1-9B6D-48DA-90AB-B2119D139FAD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F8FB39B1-6F53-4F68-A3D1-E8D2C32728A5}"/>
            </a:ext>
          </a:extLst>
        </xdr:cNvPr>
        <xdr:cNvSpPr>
          <a:spLocks noChangeShapeType="1"/>
        </xdr:cNvSpPr>
      </xdr:nvSpPr>
      <xdr:spPr bwMode="auto">
        <a:xfrm>
          <a:off x="21640800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94F2BD1E-2D73-4BAC-9D34-D9E177A06B9C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B590D507-7A28-46F5-A034-C163340934AB}"/>
            </a:ext>
          </a:extLst>
        </xdr:cNvPr>
        <xdr:cNvSpPr>
          <a:spLocks noChangeShapeType="1"/>
        </xdr:cNvSpPr>
      </xdr:nvSpPr>
      <xdr:spPr bwMode="auto">
        <a:xfrm rot="5400000">
          <a:off x="2948368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5DCA259F-5E49-49CF-BC15-109F7D1E0648}"/>
            </a:ext>
          </a:extLst>
        </xdr:cNvPr>
        <xdr:cNvSpPr>
          <a:spLocks noChangeShapeType="1"/>
        </xdr:cNvSpPr>
      </xdr:nvSpPr>
      <xdr:spPr bwMode="auto">
        <a:xfrm rot="5400000">
          <a:off x="28763595" y="148818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95250</xdr:colOff>
      <xdr:row>92</xdr:row>
      <xdr:rowOff>116417</xdr:rowOff>
    </xdr:from>
    <xdr:to>
      <xdr:col>18</xdr:col>
      <xdr:colOff>74083</xdr:colOff>
      <xdr:row>98</xdr:row>
      <xdr:rowOff>105833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63C4C1EF-A7AB-67A0-7EB4-065BBB9A129F}"/>
            </a:ext>
          </a:extLst>
        </xdr:cNvPr>
        <xdr:cNvSpPr/>
      </xdr:nvSpPr>
      <xdr:spPr>
        <a:xfrm>
          <a:off x="11557000" y="14721417"/>
          <a:ext cx="571500" cy="941916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  <a:effectLst>
          <a:glow rad="139700">
            <a:schemeClr val="accent3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  <a:effectLst>
              <a:glow rad="228600">
                <a:schemeClr val="accent2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87</xdr:row>
      <xdr:rowOff>76200</xdr:rowOff>
    </xdr:from>
    <xdr:to>
      <xdr:col>29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CF17C974-A698-451D-B064-CF1C68073FCC}"/>
            </a:ext>
          </a:extLst>
        </xdr:cNvPr>
        <xdr:cNvSpPr>
          <a:spLocks noChangeShapeType="1"/>
        </xdr:cNvSpPr>
      </xdr:nvSpPr>
      <xdr:spPr bwMode="auto">
        <a:xfrm>
          <a:off x="2111692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CA75720B-0B16-4F43-8EC0-61B9D90E6C28}"/>
            </a:ext>
          </a:extLst>
        </xdr:cNvPr>
        <xdr:cNvSpPr>
          <a:spLocks noChangeShapeType="1"/>
        </xdr:cNvSpPr>
      </xdr:nvSpPr>
      <xdr:spPr bwMode="auto">
        <a:xfrm rot="5400000">
          <a:off x="27893962" y="4386263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4BA2BE98-610A-4956-BCF8-888CEEC85EF4}"/>
            </a:ext>
          </a:extLst>
        </xdr:cNvPr>
        <xdr:cNvSpPr>
          <a:spLocks noChangeShapeType="1"/>
        </xdr:cNvSpPr>
      </xdr:nvSpPr>
      <xdr:spPr bwMode="auto">
        <a:xfrm rot="5400000">
          <a:off x="28598812" y="4386263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A59208B0-A433-42D0-9994-DF9FA55CA200}"/>
            </a:ext>
          </a:extLst>
        </xdr:cNvPr>
        <xdr:cNvSpPr>
          <a:spLocks noChangeShapeType="1"/>
        </xdr:cNvSpPr>
      </xdr:nvSpPr>
      <xdr:spPr bwMode="auto">
        <a:xfrm rot="5400000">
          <a:off x="27893962" y="4386263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C7F3893F-90D0-4B6D-8388-D2339DA182F0}"/>
            </a:ext>
          </a:extLst>
        </xdr:cNvPr>
        <xdr:cNvSpPr>
          <a:spLocks noChangeShapeType="1"/>
        </xdr:cNvSpPr>
      </xdr:nvSpPr>
      <xdr:spPr bwMode="auto">
        <a:xfrm>
          <a:off x="211169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9F409F03-750A-47CC-AFE2-D91C5FC11962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969CAA25-B0B2-4B5D-97DD-11998FCB806C}"/>
            </a:ext>
          </a:extLst>
        </xdr:cNvPr>
        <xdr:cNvSpPr>
          <a:spLocks noChangeShapeType="1"/>
        </xdr:cNvSpPr>
      </xdr:nvSpPr>
      <xdr:spPr bwMode="auto">
        <a:xfrm rot="5400000">
          <a:off x="287750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2E22B796-3382-4E01-B174-E99249B7655A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97CD4973-90F5-4E6C-A827-1C47C6C58A63}"/>
            </a:ext>
          </a:extLst>
        </xdr:cNvPr>
        <xdr:cNvSpPr>
          <a:spLocks noChangeShapeType="1"/>
        </xdr:cNvSpPr>
      </xdr:nvSpPr>
      <xdr:spPr bwMode="auto">
        <a:xfrm>
          <a:off x="211169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7BC774B0-5A46-4512-ACC8-209488F9632B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E0977489-9C81-4B8B-8795-BB20B78B7509}"/>
            </a:ext>
          </a:extLst>
        </xdr:cNvPr>
        <xdr:cNvSpPr>
          <a:spLocks noChangeShapeType="1"/>
        </xdr:cNvSpPr>
      </xdr:nvSpPr>
      <xdr:spPr bwMode="auto">
        <a:xfrm rot="5400000">
          <a:off x="287750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D53FC72D-B230-4984-A37E-717607AD47D1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60839F4D-92C7-419E-B06D-C8DCEE111219}"/>
            </a:ext>
          </a:extLst>
        </xdr:cNvPr>
        <xdr:cNvSpPr>
          <a:spLocks noChangeShapeType="1"/>
        </xdr:cNvSpPr>
      </xdr:nvSpPr>
      <xdr:spPr bwMode="auto">
        <a:xfrm>
          <a:off x="211169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B7D1DECD-5503-4AFB-B64D-624E271E71D1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E0456491-230A-4A09-8BA4-2CB099C148BB}"/>
            </a:ext>
          </a:extLst>
        </xdr:cNvPr>
        <xdr:cNvSpPr>
          <a:spLocks noChangeShapeType="1"/>
        </xdr:cNvSpPr>
      </xdr:nvSpPr>
      <xdr:spPr bwMode="auto">
        <a:xfrm rot="5400000">
          <a:off x="287750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823C2996-7A50-416F-9B37-33FF885C108C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89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86CBE71F-D25C-4837-AE27-4E616CE0FAF0}"/>
            </a:ext>
          </a:extLst>
        </xdr:cNvPr>
        <xdr:cNvSpPr>
          <a:spLocks noChangeShapeType="1"/>
        </xdr:cNvSpPr>
      </xdr:nvSpPr>
      <xdr:spPr bwMode="auto">
        <a:xfrm>
          <a:off x="211169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BB76494C-36F7-4F5C-AFAA-E4073EA2D959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89</xdr:row>
      <xdr:rowOff>0</xdr:rowOff>
    </xdr:from>
    <xdr:to>
      <xdr:col>42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81666C9B-8331-4404-8B9F-B72F7B968235}"/>
            </a:ext>
          </a:extLst>
        </xdr:cNvPr>
        <xdr:cNvSpPr>
          <a:spLocks noChangeShapeType="1"/>
        </xdr:cNvSpPr>
      </xdr:nvSpPr>
      <xdr:spPr bwMode="auto">
        <a:xfrm rot="5400000">
          <a:off x="2877502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89</xdr:row>
      <xdr:rowOff>0</xdr:rowOff>
    </xdr:from>
    <xdr:to>
      <xdr:col>41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09445547-34F6-4E64-BD47-1D2DBEC30DA4}"/>
            </a:ext>
          </a:extLst>
        </xdr:cNvPr>
        <xdr:cNvSpPr>
          <a:spLocks noChangeShapeType="1"/>
        </xdr:cNvSpPr>
      </xdr:nvSpPr>
      <xdr:spPr bwMode="auto">
        <a:xfrm rot="5400000">
          <a:off x="28070175" y="1408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87</xdr:row>
      <xdr:rowOff>76200</xdr:rowOff>
    </xdr:from>
    <xdr:to>
      <xdr:col>27</xdr:col>
      <xdr:colOff>0</xdr:colOff>
      <xdr:row>87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A50603B2-BB9C-4AA0-B195-A0C3C7AB30E8}"/>
            </a:ext>
          </a:extLst>
        </xdr:cNvPr>
        <xdr:cNvSpPr>
          <a:spLocks noChangeShapeType="1"/>
        </xdr:cNvSpPr>
      </xdr:nvSpPr>
      <xdr:spPr bwMode="auto">
        <a:xfrm>
          <a:off x="19859625" y="1400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89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B3C7354C-2E13-4462-84DD-57898E9600CC}"/>
            </a:ext>
          </a:extLst>
        </xdr:cNvPr>
        <xdr:cNvSpPr>
          <a:spLocks noChangeShapeType="1"/>
        </xdr:cNvSpPr>
      </xdr:nvSpPr>
      <xdr:spPr bwMode="auto">
        <a:xfrm>
          <a:off x="198596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8F0FEC32-8951-4582-B9FB-C1854D64D87F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161925</xdr:colOff>
      <xdr:row>89</xdr:row>
      <xdr:rowOff>0</xdr:rowOff>
    </xdr:from>
    <xdr:to>
      <xdr:col>40</xdr:col>
      <xdr:colOff>161925</xdr:colOff>
      <xdr:row>89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8B5FBE19-B593-41EB-8AB0-2BC2E6984517}"/>
            </a:ext>
          </a:extLst>
        </xdr:cNvPr>
        <xdr:cNvSpPr>
          <a:spLocks noChangeShapeType="1"/>
        </xdr:cNvSpPr>
      </xdr:nvSpPr>
      <xdr:spPr bwMode="auto">
        <a:xfrm rot="5400000">
          <a:off x="275177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FECFAA28-C323-4F8D-BA5F-799A5699C663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89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795C2A0F-473F-4545-80C4-7353EAC0F14F}"/>
            </a:ext>
          </a:extLst>
        </xdr:cNvPr>
        <xdr:cNvSpPr>
          <a:spLocks noChangeShapeType="1"/>
        </xdr:cNvSpPr>
      </xdr:nvSpPr>
      <xdr:spPr bwMode="auto">
        <a:xfrm>
          <a:off x="198596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C1C722AD-E753-4133-A627-7DEE3F55D698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161925</xdr:colOff>
      <xdr:row>89</xdr:row>
      <xdr:rowOff>0</xdr:rowOff>
    </xdr:from>
    <xdr:to>
      <xdr:col>40</xdr:col>
      <xdr:colOff>161925</xdr:colOff>
      <xdr:row>89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672C4BF5-8EC8-47D5-BC11-8183C99DF36E}"/>
            </a:ext>
          </a:extLst>
        </xdr:cNvPr>
        <xdr:cNvSpPr>
          <a:spLocks noChangeShapeType="1"/>
        </xdr:cNvSpPr>
      </xdr:nvSpPr>
      <xdr:spPr bwMode="auto">
        <a:xfrm rot="5400000">
          <a:off x="275177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2E9C3ACA-8369-4C0F-B570-4611807A1BAD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89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C8241268-EEF9-421C-8368-636B1F0FB94F}"/>
            </a:ext>
          </a:extLst>
        </xdr:cNvPr>
        <xdr:cNvSpPr>
          <a:spLocks noChangeShapeType="1"/>
        </xdr:cNvSpPr>
      </xdr:nvSpPr>
      <xdr:spPr bwMode="auto">
        <a:xfrm>
          <a:off x="198596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D98372F8-FBF3-4361-9F6A-ACE940E0AEEE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161925</xdr:colOff>
      <xdr:row>89</xdr:row>
      <xdr:rowOff>0</xdr:rowOff>
    </xdr:from>
    <xdr:to>
      <xdr:col>40</xdr:col>
      <xdr:colOff>161925</xdr:colOff>
      <xdr:row>89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6E55E011-B666-4F66-82A3-3826E49308D9}"/>
            </a:ext>
          </a:extLst>
        </xdr:cNvPr>
        <xdr:cNvSpPr>
          <a:spLocks noChangeShapeType="1"/>
        </xdr:cNvSpPr>
      </xdr:nvSpPr>
      <xdr:spPr bwMode="auto">
        <a:xfrm rot="5400000">
          <a:off x="275177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5C068819-241C-441E-90E7-0D753CEC0B5D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89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4C8C0DAE-EE45-4D75-9D2C-F85EB56439A1}"/>
            </a:ext>
          </a:extLst>
        </xdr:cNvPr>
        <xdr:cNvSpPr>
          <a:spLocks noChangeShapeType="1"/>
        </xdr:cNvSpPr>
      </xdr:nvSpPr>
      <xdr:spPr bwMode="auto">
        <a:xfrm>
          <a:off x="198596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F37EC00E-FA4B-4233-AD8A-E7E9EB72F944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161925</xdr:colOff>
      <xdr:row>89</xdr:row>
      <xdr:rowOff>0</xdr:rowOff>
    </xdr:from>
    <xdr:to>
      <xdr:col>40</xdr:col>
      <xdr:colOff>161925</xdr:colOff>
      <xdr:row>89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E250ACF5-58AE-4978-A4FB-E2023071CE5D}"/>
            </a:ext>
          </a:extLst>
        </xdr:cNvPr>
        <xdr:cNvSpPr>
          <a:spLocks noChangeShapeType="1"/>
        </xdr:cNvSpPr>
      </xdr:nvSpPr>
      <xdr:spPr bwMode="auto">
        <a:xfrm rot="5400000">
          <a:off x="2751772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89</xdr:row>
      <xdr:rowOff>0</xdr:rowOff>
    </xdr:from>
    <xdr:to>
      <xdr:col>39</xdr:col>
      <xdr:colOff>66675</xdr:colOff>
      <xdr:row>89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7541FF0C-61A5-444A-ACCC-8B44FBBFF9AC}"/>
            </a:ext>
          </a:extLst>
        </xdr:cNvPr>
        <xdr:cNvSpPr>
          <a:spLocks noChangeShapeType="1"/>
        </xdr:cNvSpPr>
      </xdr:nvSpPr>
      <xdr:spPr bwMode="auto">
        <a:xfrm rot="5400000">
          <a:off x="26812875" y="1424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129</xdr:row>
      <xdr:rowOff>76200</xdr:rowOff>
    </xdr:from>
    <xdr:to>
      <xdr:col>31</xdr:col>
      <xdr:colOff>0</xdr:colOff>
      <xdr:row>129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A9DC7A88-F876-47DA-818B-426C5C8DF346}"/>
            </a:ext>
          </a:extLst>
        </xdr:cNvPr>
        <xdr:cNvSpPr>
          <a:spLocks noChangeShapeType="1"/>
        </xdr:cNvSpPr>
      </xdr:nvSpPr>
      <xdr:spPr bwMode="auto">
        <a:xfrm>
          <a:off x="21726525" y="2096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F02ECB4B-3E05-4561-8524-3878C633F1F8}"/>
            </a:ext>
          </a:extLst>
        </xdr:cNvPr>
        <xdr:cNvSpPr>
          <a:spLocks noChangeShapeType="1"/>
        </xdr:cNvSpPr>
      </xdr:nvSpPr>
      <xdr:spPr bwMode="auto">
        <a:xfrm rot="5400000">
          <a:off x="2871216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26</xdr:row>
      <xdr:rowOff>0</xdr:rowOff>
    </xdr:from>
    <xdr:to>
      <xdr:col>44</xdr:col>
      <xdr:colOff>161925</xdr:colOff>
      <xdr:row>28</xdr:row>
      <xdr:rowOff>28575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8F14E568-FFE4-4EFA-B94D-771AAAA0E929}"/>
            </a:ext>
          </a:extLst>
        </xdr:cNvPr>
        <xdr:cNvSpPr>
          <a:spLocks noChangeShapeType="1"/>
        </xdr:cNvSpPr>
      </xdr:nvSpPr>
      <xdr:spPr bwMode="auto">
        <a:xfrm rot="5400000">
          <a:off x="2943987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5" name="Line 32">
          <a:extLst>
            <a:ext uri="{FF2B5EF4-FFF2-40B4-BE49-F238E27FC236}">
              <a16:creationId xmlns:a16="http://schemas.microsoft.com/office/drawing/2014/main" id="{C1F9FEB8-751C-4962-9D4C-0E3D74D31BE9}"/>
            </a:ext>
          </a:extLst>
        </xdr:cNvPr>
        <xdr:cNvSpPr>
          <a:spLocks noChangeShapeType="1"/>
        </xdr:cNvSpPr>
      </xdr:nvSpPr>
      <xdr:spPr bwMode="auto">
        <a:xfrm rot="5400000">
          <a:off x="28712160" y="438531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131</xdr:row>
      <xdr:rowOff>0</xdr:rowOff>
    </xdr:from>
    <xdr:to>
      <xdr:col>31</xdr:col>
      <xdr:colOff>0</xdr:colOff>
      <xdr:row>131</xdr:row>
      <xdr:rowOff>0</xdr:rowOff>
    </xdr:to>
    <xdr:sp macro="" textlink="">
      <xdr:nvSpPr>
        <xdr:cNvPr id="6" name="Line 41">
          <a:extLst>
            <a:ext uri="{FF2B5EF4-FFF2-40B4-BE49-F238E27FC236}">
              <a16:creationId xmlns:a16="http://schemas.microsoft.com/office/drawing/2014/main" id="{CF405B35-E3C4-483F-BCDF-9AF73E471B2E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id="{AE06CC67-6CDE-439A-8538-B6F3312A4F41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131</xdr:row>
      <xdr:rowOff>0</xdr:rowOff>
    </xdr:from>
    <xdr:to>
      <xdr:col>44</xdr:col>
      <xdr:colOff>161925</xdr:colOff>
      <xdr:row>131</xdr:row>
      <xdr:rowOff>0</xdr:rowOff>
    </xdr:to>
    <xdr:sp macro="" textlink="">
      <xdr:nvSpPr>
        <xdr:cNvPr id="8" name="Line 43">
          <a:extLst>
            <a:ext uri="{FF2B5EF4-FFF2-40B4-BE49-F238E27FC236}">
              <a16:creationId xmlns:a16="http://schemas.microsoft.com/office/drawing/2014/main" id="{AE2415C2-4BA5-4ACD-95DA-B285A13D40ED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9" name="Line 44">
          <a:extLst>
            <a:ext uri="{FF2B5EF4-FFF2-40B4-BE49-F238E27FC236}">
              <a16:creationId xmlns:a16="http://schemas.microsoft.com/office/drawing/2014/main" id="{34459974-30D1-48D2-B3EE-F04A8B854AC2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131</xdr:row>
      <xdr:rowOff>0</xdr:rowOff>
    </xdr:from>
    <xdr:to>
      <xdr:col>31</xdr:col>
      <xdr:colOff>0</xdr:colOff>
      <xdr:row>131</xdr:row>
      <xdr:rowOff>0</xdr:rowOff>
    </xdr:to>
    <xdr:sp macro="" textlink="">
      <xdr:nvSpPr>
        <xdr:cNvPr id="10" name="Line 45">
          <a:extLst>
            <a:ext uri="{FF2B5EF4-FFF2-40B4-BE49-F238E27FC236}">
              <a16:creationId xmlns:a16="http://schemas.microsoft.com/office/drawing/2014/main" id="{D4B79238-C465-486D-8868-232F29344C66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D50B5D2F-9442-45EE-B271-6DFD1C44AC26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131</xdr:row>
      <xdr:rowOff>0</xdr:rowOff>
    </xdr:from>
    <xdr:to>
      <xdr:col>44</xdr:col>
      <xdr:colOff>161925</xdr:colOff>
      <xdr:row>131</xdr:row>
      <xdr:rowOff>0</xdr:rowOff>
    </xdr:to>
    <xdr:sp macro="" textlink="">
      <xdr:nvSpPr>
        <xdr:cNvPr id="12" name="Line 47">
          <a:extLst>
            <a:ext uri="{FF2B5EF4-FFF2-40B4-BE49-F238E27FC236}">
              <a16:creationId xmlns:a16="http://schemas.microsoft.com/office/drawing/2014/main" id="{F4B518C5-3501-4C90-B187-06AB0EAB7BD5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13" name="Line 48">
          <a:extLst>
            <a:ext uri="{FF2B5EF4-FFF2-40B4-BE49-F238E27FC236}">
              <a16:creationId xmlns:a16="http://schemas.microsoft.com/office/drawing/2014/main" id="{BFCBEF89-EFDF-45CA-946B-FF057C069D48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131</xdr:row>
      <xdr:rowOff>0</xdr:rowOff>
    </xdr:from>
    <xdr:to>
      <xdr:col>31</xdr:col>
      <xdr:colOff>0</xdr:colOff>
      <xdr:row>131</xdr:row>
      <xdr:rowOff>0</xdr:rowOff>
    </xdr:to>
    <xdr:sp macro="" textlink="">
      <xdr:nvSpPr>
        <xdr:cNvPr id="14" name="Line 49">
          <a:extLst>
            <a:ext uri="{FF2B5EF4-FFF2-40B4-BE49-F238E27FC236}">
              <a16:creationId xmlns:a16="http://schemas.microsoft.com/office/drawing/2014/main" id="{D8F72807-497A-4527-BE08-C972639A8915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15" name="Line 50">
          <a:extLst>
            <a:ext uri="{FF2B5EF4-FFF2-40B4-BE49-F238E27FC236}">
              <a16:creationId xmlns:a16="http://schemas.microsoft.com/office/drawing/2014/main" id="{9FDFB381-7BA2-4102-B3E8-ED7A8348F276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131</xdr:row>
      <xdr:rowOff>0</xdr:rowOff>
    </xdr:from>
    <xdr:to>
      <xdr:col>44</xdr:col>
      <xdr:colOff>161925</xdr:colOff>
      <xdr:row>131</xdr:row>
      <xdr:rowOff>0</xdr:rowOff>
    </xdr:to>
    <xdr:sp macro="" textlink="">
      <xdr:nvSpPr>
        <xdr:cNvPr id="16" name="Line 51">
          <a:extLst>
            <a:ext uri="{FF2B5EF4-FFF2-40B4-BE49-F238E27FC236}">
              <a16:creationId xmlns:a16="http://schemas.microsoft.com/office/drawing/2014/main" id="{EAB3E419-CBB0-42D5-AB53-6F7DC900C456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17" name="Line 52">
          <a:extLst>
            <a:ext uri="{FF2B5EF4-FFF2-40B4-BE49-F238E27FC236}">
              <a16:creationId xmlns:a16="http://schemas.microsoft.com/office/drawing/2014/main" id="{DC1D7B59-D99F-404B-92E2-743515409887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131</xdr:row>
      <xdr:rowOff>0</xdr:rowOff>
    </xdr:from>
    <xdr:to>
      <xdr:col>31</xdr:col>
      <xdr:colOff>0</xdr:colOff>
      <xdr:row>131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CCC50586-E4CA-478D-9CD4-7EC6503348B4}"/>
            </a:ext>
          </a:extLst>
        </xdr:cNvPr>
        <xdr:cNvSpPr>
          <a:spLocks noChangeShapeType="1"/>
        </xdr:cNvSpPr>
      </xdr:nvSpPr>
      <xdr:spPr bwMode="auto">
        <a:xfrm>
          <a:off x="21726525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FEE54B6C-0BBC-4D7D-B194-2E0A73D77E1D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131</xdr:row>
      <xdr:rowOff>0</xdr:rowOff>
    </xdr:from>
    <xdr:to>
      <xdr:col>44</xdr:col>
      <xdr:colOff>161925</xdr:colOff>
      <xdr:row>131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4FE1AFCD-9D63-4CC4-98E3-86586ECFAA16}"/>
            </a:ext>
          </a:extLst>
        </xdr:cNvPr>
        <xdr:cNvSpPr>
          <a:spLocks noChangeShapeType="1"/>
        </xdr:cNvSpPr>
      </xdr:nvSpPr>
      <xdr:spPr bwMode="auto">
        <a:xfrm rot="5400000">
          <a:off x="2961513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131</xdr:row>
      <xdr:rowOff>0</xdr:rowOff>
    </xdr:from>
    <xdr:to>
      <xdr:col>43</xdr:col>
      <xdr:colOff>66675</xdr:colOff>
      <xdr:row>131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8383735B-C944-414D-AF0D-FFBB87FC7A50}"/>
            </a:ext>
          </a:extLst>
        </xdr:cNvPr>
        <xdr:cNvSpPr>
          <a:spLocks noChangeShapeType="1"/>
        </xdr:cNvSpPr>
      </xdr:nvSpPr>
      <xdr:spPr bwMode="auto">
        <a:xfrm rot="5400000">
          <a:off x="28887420" y="2121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86</xdr:row>
      <xdr:rowOff>76200</xdr:rowOff>
    </xdr:from>
    <xdr:to>
      <xdr:col>29</xdr:col>
      <xdr:colOff>0</xdr:colOff>
      <xdr:row>86</xdr:row>
      <xdr:rowOff>76200</xdr:rowOff>
    </xdr:to>
    <xdr:sp macro="" textlink="">
      <xdr:nvSpPr>
        <xdr:cNvPr id="1106" name="Line 1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7802225" y="157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1107" name="Line 3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26</xdr:row>
      <xdr:rowOff>0</xdr:rowOff>
    </xdr:from>
    <xdr:to>
      <xdr:col>42</xdr:col>
      <xdr:colOff>161925</xdr:colOff>
      <xdr:row>28</xdr:row>
      <xdr:rowOff>28575</xdr:rowOff>
    </xdr:to>
    <xdr:sp macro="" textlink="">
      <xdr:nvSpPr>
        <xdr:cNvPr id="1108" name="Line 3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528411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26</xdr:row>
      <xdr:rowOff>0</xdr:rowOff>
    </xdr:from>
    <xdr:to>
      <xdr:col>41</xdr:col>
      <xdr:colOff>66675</xdr:colOff>
      <xdr:row>28</xdr:row>
      <xdr:rowOff>28575</xdr:rowOff>
    </xdr:to>
    <xdr:sp macro="" textlink="">
      <xdr:nvSpPr>
        <xdr:cNvPr id="1109" name="Line 3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88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1110" name="Line 4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11" name="Line 4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88</xdr:row>
      <xdr:rowOff>0</xdr:rowOff>
    </xdr:from>
    <xdr:to>
      <xdr:col>42</xdr:col>
      <xdr:colOff>161925</xdr:colOff>
      <xdr:row>88</xdr:row>
      <xdr:rowOff>0</xdr:rowOff>
    </xdr:to>
    <xdr:sp macro="" textlink="">
      <xdr:nvSpPr>
        <xdr:cNvPr id="1112" name="Line 4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13" name="Line 4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88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1114" name="Line 4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15" name="Line 46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88</xdr:row>
      <xdr:rowOff>0</xdr:rowOff>
    </xdr:from>
    <xdr:to>
      <xdr:col>42</xdr:col>
      <xdr:colOff>161925</xdr:colOff>
      <xdr:row>88</xdr:row>
      <xdr:rowOff>0</xdr:rowOff>
    </xdr:to>
    <xdr:sp macro="" textlink="">
      <xdr:nvSpPr>
        <xdr:cNvPr id="1116" name="Line 4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17" name="Line 4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88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1118" name="Line 4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19" name="Line 5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88</xdr:row>
      <xdr:rowOff>0</xdr:rowOff>
    </xdr:from>
    <xdr:to>
      <xdr:col>42</xdr:col>
      <xdr:colOff>161925</xdr:colOff>
      <xdr:row>88</xdr:row>
      <xdr:rowOff>0</xdr:rowOff>
    </xdr:to>
    <xdr:sp macro="" textlink="">
      <xdr:nvSpPr>
        <xdr:cNvPr id="1120" name="Line 5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21" name="Line 5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88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1122" name="Line 5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23" name="Line 5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161925</xdr:colOff>
      <xdr:row>88</xdr:row>
      <xdr:rowOff>0</xdr:rowOff>
    </xdr:from>
    <xdr:to>
      <xdr:col>42</xdr:col>
      <xdr:colOff>161925</xdr:colOff>
      <xdr:row>88</xdr:row>
      <xdr:rowOff>0</xdr:rowOff>
    </xdr:to>
    <xdr:sp macro="" textlink="">
      <xdr:nvSpPr>
        <xdr:cNvPr id="1124" name="Line 5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88</xdr:row>
      <xdr:rowOff>0</xdr:rowOff>
    </xdr:from>
    <xdr:to>
      <xdr:col>41</xdr:col>
      <xdr:colOff>66675</xdr:colOff>
      <xdr:row>88</xdr:row>
      <xdr:rowOff>0</xdr:rowOff>
    </xdr:to>
    <xdr:sp macro="" textlink="">
      <xdr:nvSpPr>
        <xdr:cNvPr id="1125" name="Line 5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D8E4-81C7-44C8-99C2-A502D846E26F}">
  <sheetPr>
    <pageSetUpPr fitToPage="1"/>
  </sheetPr>
  <dimension ref="A1:AK97"/>
  <sheetViews>
    <sheetView showGridLines="0" topLeftCell="D2" zoomScale="85" zoomScaleNormal="85" workbookViewId="0">
      <selection activeCell="D96" sqref="D96:AC97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37" ht="12.75" hidden="1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34"/>
      <c r="O1" s="34"/>
      <c r="P1" s="34"/>
      <c r="Q1" s="2"/>
      <c r="R1" s="2"/>
      <c r="S1" s="2"/>
      <c r="T1" s="34"/>
      <c r="U1" s="34"/>
      <c r="V1" s="34"/>
      <c r="W1" s="34"/>
      <c r="X1" s="34"/>
      <c r="Y1" s="34"/>
      <c r="Z1" s="34"/>
      <c r="AA1" s="34"/>
      <c r="AB1" s="34"/>
      <c r="AC1" s="2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34"/>
      <c r="O2" s="34"/>
      <c r="P2" s="34"/>
      <c r="Q2" s="2"/>
      <c r="R2" s="2"/>
      <c r="S2" s="2"/>
      <c r="T2" s="34"/>
      <c r="U2" s="34"/>
      <c r="V2" s="34"/>
      <c r="W2" s="34"/>
      <c r="X2" s="34"/>
      <c r="Y2" s="34"/>
      <c r="Z2" s="34"/>
      <c r="AA2" s="34"/>
      <c r="AB2" s="34"/>
      <c r="AC2" s="2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3"/>
      <c r="O3" s="3"/>
      <c r="P3" s="3"/>
      <c r="Q3" s="2"/>
      <c r="R3" s="2"/>
      <c r="S3" s="2"/>
      <c r="T3" s="3"/>
      <c r="U3" s="3"/>
      <c r="V3" s="3"/>
      <c r="W3" s="3"/>
      <c r="X3" s="3"/>
      <c r="Y3" s="3"/>
      <c r="Z3" s="3"/>
      <c r="AA3" s="3"/>
      <c r="AB3" s="3"/>
      <c r="AC3" s="2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3"/>
      <c r="O4" s="3"/>
      <c r="P4" s="3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2"/>
    </row>
    <row r="5" spans="1:37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3"/>
      <c r="O5" s="3"/>
      <c r="P5" s="3"/>
      <c r="Q5" s="2"/>
      <c r="R5" s="2"/>
      <c r="S5" s="2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1:37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3"/>
      <c r="O6" s="3"/>
      <c r="P6" s="3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2"/>
    </row>
    <row r="7" spans="1:37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3"/>
      <c r="O7" s="3"/>
      <c r="P7" s="3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2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36</v>
      </c>
      <c r="M10" s="38" t="s">
        <v>37</v>
      </c>
      <c r="N10" s="38" t="s">
        <v>87</v>
      </c>
      <c r="O10" s="38" t="s">
        <v>39</v>
      </c>
      <c r="P10" s="38" t="s">
        <v>73</v>
      </c>
      <c r="Q10" s="38" t="s">
        <v>88</v>
      </c>
      <c r="R10" s="38" t="s">
        <v>89</v>
      </c>
      <c r="S10" s="38" t="s">
        <v>80</v>
      </c>
      <c r="T10" s="38" t="s">
        <v>41</v>
      </c>
      <c r="U10" s="38" t="s">
        <v>42</v>
      </c>
      <c r="V10" s="38" t="s">
        <v>42</v>
      </c>
      <c r="W10" s="38" t="s">
        <v>56</v>
      </c>
      <c r="X10" s="38" t="s">
        <v>74</v>
      </c>
      <c r="Y10" s="38" t="s">
        <v>75</v>
      </c>
      <c r="Z10" s="38" t="s">
        <v>81</v>
      </c>
      <c r="AA10" s="38" t="s">
        <v>83</v>
      </c>
      <c r="AB10" s="38" t="s">
        <v>77</v>
      </c>
      <c r="AC10" s="38" t="s">
        <v>116</v>
      </c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 t="s">
        <v>102</v>
      </c>
      <c r="N11" s="58"/>
      <c r="O11" s="58"/>
      <c r="P11" s="58"/>
      <c r="Q11" s="58"/>
      <c r="R11" s="58"/>
      <c r="S11" s="58"/>
      <c r="T11" s="58" t="s">
        <v>90</v>
      </c>
      <c r="U11" s="58" t="s">
        <v>90</v>
      </c>
      <c r="V11" s="58" t="s">
        <v>119</v>
      </c>
      <c r="W11" s="58" t="s">
        <v>79</v>
      </c>
      <c r="X11" s="58"/>
      <c r="Y11" s="58"/>
      <c r="Z11" s="58"/>
      <c r="AA11" s="58"/>
      <c r="AB11" s="58"/>
      <c r="AC11" s="58" t="s">
        <v>115</v>
      </c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29</v>
      </c>
      <c r="N12" s="60">
        <v>31</v>
      </c>
      <c r="O12" s="60">
        <v>2</v>
      </c>
      <c r="P12" s="60">
        <v>30</v>
      </c>
      <c r="Q12" s="60">
        <v>3</v>
      </c>
      <c r="R12" s="60">
        <v>3</v>
      </c>
      <c r="S12" s="60">
        <v>3</v>
      </c>
      <c r="T12" s="60">
        <v>4</v>
      </c>
      <c r="U12" s="60">
        <v>5</v>
      </c>
      <c r="V12" s="60">
        <v>23</v>
      </c>
      <c r="W12" s="60">
        <v>6</v>
      </c>
      <c r="X12" s="60">
        <v>7</v>
      </c>
      <c r="Y12" s="60">
        <v>8</v>
      </c>
      <c r="Z12" s="60">
        <v>9</v>
      </c>
      <c r="AA12" s="60">
        <v>10</v>
      </c>
      <c r="AB12" s="60">
        <v>12</v>
      </c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/>
      <c r="M13" s="59"/>
      <c r="N13" s="59"/>
      <c r="O13" s="61"/>
      <c r="P13" s="61"/>
      <c r="Q13" s="61"/>
      <c r="R13" s="61"/>
      <c r="S13" s="61"/>
      <c r="T13" s="61"/>
      <c r="U13" s="61" t="s">
        <v>43</v>
      </c>
      <c r="V13" s="61" t="s">
        <v>118</v>
      </c>
      <c r="W13" s="61"/>
      <c r="X13" s="61" t="s">
        <v>66</v>
      </c>
      <c r="Y13" s="61" t="s">
        <v>55</v>
      </c>
      <c r="Z13" s="61" t="s">
        <v>66</v>
      </c>
      <c r="AA13" s="61" t="s">
        <v>82</v>
      </c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62" t="str">
        <f t="shared" ref="L14:AC14" si="0">IF(OR(TRIM(L10)=0,TRIM(L10)=""),"",IF(IFERROR(TRIM(INDEX(QryItemNamed,MATCH(TRIM(L10),ITEM,0),2)),"")="Y","SPECIAL",LEFT(IFERROR(TRIM(INDEX(ITEM,MATCH(TRIM(L10),ITEM,0))),""),3)))</f>
        <v>204</v>
      </c>
      <c r="M14" s="62" t="str">
        <f t="shared" si="0"/>
        <v>204</v>
      </c>
      <c r="N14" s="62" t="str">
        <f t="shared" si="0"/>
        <v>204</v>
      </c>
      <c r="O14" s="62" t="str">
        <f t="shared" si="0"/>
        <v>204</v>
      </c>
      <c r="P14" s="62" t="str">
        <f t="shared" si="0"/>
        <v>204</v>
      </c>
      <c r="Q14" s="62" t="str">
        <f t="shared" si="0"/>
        <v>206</v>
      </c>
      <c r="R14" s="62" t="str">
        <f t="shared" si="0"/>
        <v>206</v>
      </c>
      <c r="S14" s="62" t="str">
        <f t="shared" si="0"/>
        <v>206</v>
      </c>
      <c r="T14" s="62" t="str">
        <f t="shared" si="0"/>
        <v>301</v>
      </c>
      <c r="U14" s="62" t="str">
        <f t="shared" si="0"/>
        <v>304</v>
      </c>
      <c r="V14" s="62" t="str">
        <f t="shared" si="0"/>
        <v>304</v>
      </c>
      <c r="W14" s="62" t="str">
        <f t="shared" si="0"/>
        <v>407</v>
      </c>
      <c r="X14" s="62" t="str">
        <f t="shared" si="0"/>
        <v>442</v>
      </c>
      <c r="Y14" s="62" t="str">
        <f t="shared" si="0"/>
        <v>442</v>
      </c>
      <c r="Z14" s="62" t="str">
        <f t="shared" si="0"/>
        <v>442</v>
      </c>
      <c r="AA14" s="62" t="str">
        <f t="shared" si="0"/>
        <v>442</v>
      </c>
      <c r="AB14" s="62" t="str">
        <f t="shared" si="0"/>
        <v>452</v>
      </c>
      <c r="AC14" s="62" t="str">
        <f t="shared" si="0"/>
        <v>SPECIAL</v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48" t="str">
        <f t="shared" ref="L15:M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SUBGRADE COMPACTION</v>
      </c>
      <c r="M15" s="448" t="str">
        <f t="shared" si="1"/>
        <v>EXCAVATION OF SUBGRADE (14" DEEP)</v>
      </c>
      <c r="N15" s="448" t="str">
        <f t="shared" ref="N15" si="2">IF(OR(TRIM(N10)=0,TRIM(N10)=""),IF(N11="","",N11),IF(IFERROR(TRIM(INDEX(QryItemNamed,MATCH(TRIM(N10),ITEM,0),2)),"")="Y",TRIM(RIGHT(IFERROR(TRIM(INDEX(QryItemNamed,MATCH(TRIM(N10),ITEM,0),4)),"123456789012"),LEN(IFERROR(TRIM(INDEX(QryItemNamed,MATCH(TRIM(N10),ITEM,0),4)),"123456789012"))-9))&amp;N11,IFERROR(TRIM(INDEX(QryItemNamed,MATCH(TRIM(N10),ITEM,0),4))&amp;N11,"ITEM CODE DOES NOT EXIST IN ITEM MASTER")))</f>
        <v>GRANULAR MATERIAL, TYPE B</v>
      </c>
      <c r="O15" s="448" t="str">
        <f t="shared" ref="O15" si="3">IF(OR(TRIM(O10)=0,TRIM(O10)=""),IF(O11="","",O11),IF(IFERROR(TRIM(INDEX(QryItemNamed,MATCH(TRIM(O10),ITEM,0),2)),"")="Y",TRIM(RIGHT(IFERROR(TRIM(INDEX(QryItemNamed,MATCH(TRIM(O10),ITEM,0),4)),"123456789012"),LEN(IFERROR(TRIM(INDEX(QryItemNamed,MATCH(TRIM(O10),ITEM,0),4)),"123456789012"))-9))&amp;O11,IFERROR(TRIM(INDEX(QryItemNamed,MATCH(TRIM(O10),ITEM,0),4))&amp;O11,"ITEM CODE DOES NOT EXIST IN ITEM MASTER")))</f>
        <v>PROOF ROLLING</v>
      </c>
      <c r="P15" s="448" t="str">
        <f t="shared" ref="P15" si="4">IF(OR(TRIM(P10)=0,TRIM(P10)=""),IF(P11="","",P11),IF(IFERROR(TRIM(INDEX(QryItemNamed,MATCH(TRIM(P10),ITEM,0),2)),"")="Y",TRIM(RIGHT(IFERROR(TRIM(INDEX(QryItemNamed,MATCH(TRIM(P10),ITEM,0),4)),"123456789012"),LEN(IFERROR(TRIM(INDEX(QryItemNamed,MATCH(TRIM(P10),ITEM,0),4)),"123456789012"))-9))&amp;P11,IFERROR(TRIM(INDEX(QryItemNamed,MATCH(TRIM(P10),ITEM,0),4))&amp;P11,"ITEM CODE DOES NOT EXIST IN ITEM MASTER")))</f>
        <v>GEOGRID</v>
      </c>
      <c r="Q15" s="448" t="str">
        <f t="shared" ref="Q15:AC15" si="5">IF(OR(TRIM(Q10)=0,TRIM(Q10)=""),IF(Q11="","",Q11),IF(IFERROR(TRIM(INDEX(QryItemNamed,MATCH(TRIM(Q10),ITEM,0),2)),"")="Y",TRIM(RIGHT(IFERROR(TRIM(INDEX(QryItemNamed,MATCH(TRIM(Q10),ITEM,0),4)),"123456789012"),LEN(IFERROR(TRIM(INDEX(QryItemNamed,MATCH(TRIM(Q10),ITEM,0),4)),"123456789012"))-9))&amp;Q11,IFERROR(TRIM(INDEX(QryItemNamed,MATCH(TRIM(Q10),ITEM,0),4))&amp;Q11,"ITEM CODE DOES NOT EXIST IN ITEM MASTER")))</f>
        <v>CEMENT</v>
      </c>
      <c r="R15" s="448" t="str">
        <f t="shared" ref="R15" si="6">IF(OR(TRIM(R10)=0,TRIM(R10)=""),IF(R11="","",R11),IF(IFERROR(TRIM(INDEX(QryItemNamed,MATCH(TRIM(R10),ITEM,0),2)),"")="Y",TRIM(RIGHT(IFERROR(TRIM(INDEX(QryItemNamed,MATCH(TRIM(R10),ITEM,0),4)),"123456789012"),LEN(IFERROR(TRIM(INDEX(QryItemNamed,MATCH(TRIM(R10),ITEM,0),4)),"123456789012"))-9))&amp;R11,IFERROR(TRIM(INDEX(QryItemNamed,MATCH(TRIM(R10),ITEM,0),4))&amp;R11,"ITEM CODE DOES NOT EXIST IN ITEM MASTER")))</f>
        <v>CURING COAT</v>
      </c>
      <c r="S15" s="448" t="str">
        <f t="shared" si="5"/>
        <v>CEMENT STABILIZED SUBGRADE, 14 INCHES DEEP</v>
      </c>
      <c r="T15" s="448" t="str">
        <f t="shared" si="5"/>
        <v>ASPHALT CONCRETE BASE, PG64-22, (449) (6")</v>
      </c>
      <c r="U15" s="448" t="str">
        <f t="shared" ref="U15:V15" si="7">IF(OR(TRIM(U10)=0,TRIM(U10)=""),IF(U11="","",U11),IF(IFERROR(TRIM(INDEX(QryItemNamed,MATCH(TRIM(U10),ITEM,0),2)),"")="Y",TRIM(RIGHT(IFERROR(TRIM(INDEX(QryItemNamed,MATCH(TRIM(U10),ITEM,0),4)),"123456789012"),LEN(IFERROR(TRIM(INDEX(QryItemNamed,MATCH(TRIM(U10),ITEM,0),4)),"123456789012"))-9))&amp;U11,IFERROR(TRIM(INDEX(QryItemNamed,MATCH(TRIM(U10),ITEM,0),4))&amp;U11,"ITEM CODE DOES NOT EXIST IN ITEM MASTER")))</f>
        <v>AGGREGATE BASE (6")</v>
      </c>
      <c r="V15" s="448" t="str">
        <f t="shared" si="7"/>
        <v>AGGREGATE BASE (15.25")</v>
      </c>
      <c r="W15" s="448" t="str">
        <f t="shared" si="5"/>
        <v>NON-TRACKING TACK COAT (@0.09 GAL/SY)</v>
      </c>
      <c r="X15" s="448" t="str">
        <f t="shared" si="5"/>
        <v>ASPHALT CONCRETE SURFACE COURSE, 12.5 MM, TYPE A (446), AS PER PLAN</v>
      </c>
      <c r="Y15" s="448" t="str">
        <f t="shared" si="5"/>
        <v>ASPHALT CONCRETE INTERMEDIATE COURSE, 12.5 MM, TYPE A (448), AS PER PLAN</v>
      </c>
      <c r="Z15" s="448" t="str">
        <f t="shared" si="5"/>
        <v>ASPHALT CONCRETE SURFACE COURSE, 9.5 MM, TYPE A (449), AS PER PLAN</v>
      </c>
      <c r="AA15" s="448" t="str">
        <f t="shared" ref="AA15" si="8"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>ASPHALT CONCRETE INTERMEDIATE COURSE, 19 MM, TYPE A (449), AS PER PLAN</v>
      </c>
      <c r="AB15" s="466" t="str">
        <f t="shared" si="5"/>
        <v>6" NON-REINFORCED CONCRETE PAVEMENT, CLASS QC 1P, AS PER PLAN</v>
      </c>
      <c r="AC15" s="448" t="str">
        <f t="shared" si="5"/>
        <v>GRASS PAVERS</v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67"/>
      <c r="AC16" s="448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67"/>
      <c r="AC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67"/>
      <c r="AC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67"/>
      <c r="AC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67"/>
      <c r="AC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67"/>
      <c r="AC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67"/>
      <c r="AC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67"/>
      <c r="AC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67"/>
      <c r="AC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67"/>
      <c r="AC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68"/>
      <c r="AC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5"/>
      <c r="L27" s="63" t="str">
        <f t="shared" ref="L27:AC27" si="9">IF(OR(TRIM(L10)=0,TRIM(L10)=""),"",IF(IFERROR(TRIM(INDEX(QryItemNamed,MATCH(TRIM(L10),ITEM,0),3)),"")="LS","",IFERROR(TRIM(INDEX(QryItemNamed,MATCH(TRIM(L10),ITEM,0),3)),"")))</f>
        <v>SY</v>
      </c>
      <c r="M27" s="63" t="str">
        <f t="shared" si="9"/>
        <v>CY</v>
      </c>
      <c r="N27" s="63" t="str">
        <f t="shared" si="9"/>
        <v>CY</v>
      </c>
      <c r="O27" s="63" t="str">
        <f t="shared" si="9"/>
        <v>HOUR</v>
      </c>
      <c r="P27" s="63" t="str">
        <f t="shared" si="9"/>
        <v>SY</v>
      </c>
      <c r="Q27" s="63" t="str">
        <f t="shared" si="9"/>
        <v>TON</v>
      </c>
      <c r="R27" s="63" t="str">
        <f t="shared" si="9"/>
        <v>SY</v>
      </c>
      <c r="S27" s="63" t="str">
        <f t="shared" si="9"/>
        <v>SY</v>
      </c>
      <c r="T27" s="63" t="str">
        <f t="shared" si="9"/>
        <v>CY</v>
      </c>
      <c r="U27" s="63" t="str">
        <f t="shared" si="9"/>
        <v>CY</v>
      </c>
      <c r="V27" s="63" t="str">
        <f t="shared" si="9"/>
        <v>CY</v>
      </c>
      <c r="W27" s="63" t="str">
        <f t="shared" si="9"/>
        <v>GAL</v>
      </c>
      <c r="X27" s="63" t="str">
        <f t="shared" si="9"/>
        <v>CY</v>
      </c>
      <c r="Y27" s="63" t="str">
        <f t="shared" si="9"/>
        <v>CY</v>
      </c>
      <c r="Z27" s="63" t="str">
        <f t="shared" si="9"/>
        <v>CY</v>
      </c>
      <c r="AA27" s="63" t="str">
        <f t="shared" si="9"/>
        <v>CY</v>
      </c>
      <c r="AB27" s="63" t="str">
        <f t="shared" si="9"/>
        <v>SY</v>
      </c>
      <c r="AC27" s="63" t="str">
        <f t="shared" si="9"/>
        <v>SY</v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66"/>
      <c r="L28" s="66"/>
      <c r="M28" s="66"/>
      <c r="N28" s="66"/>
      <c r="O28" s="66"/>
      <c r="P28" s="66"/>
      <c r="Q28" s="66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spans="2:31" ht="12.75" customHeight="1" x14ac:dyDescent="0.25">
      <c r="B29" s="42"/>
      <c r="D29" s="242"/>
      <c r="E29" s="447" t="s">
        <v>104</v>
      </c>
      <c r="F29" s="447"/>
      <c r="G29" s="142"/>
      <c r="H29" s="123"/>
      <c r="I29" s="123"/>
      <c r="J29" s="123"/>
      <c r="K29" s="143"/>
      <c r="L29" s="143"/>
      <c r="M29" s="143"/>
      <c r="N29" s="143"/>
      <c r="O29" s="12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</row>
    <row r="30" spans="2:31" ht="12.75" customHeight="1" x14ac:dyDescent="0.25">
      <c r="B30" s="42"/>
      <c r="D30" s="144" t="s">
        <v>27</v>
      </c>
      <c r="E30" s="145">
        <v>100000</v>
      </c>
      <c r="F30" s="145">
        <v>100450.89</v>
      </c>
      <c r="G30" s="146" t="s">
        <v>34</v>
      </c>
      <c r="H30" s="147">
        <f>F30-E30</f>
        <v>450.88999999999942</v>
      </c>
      <c r="I30" s="147">
        <f>J30/H30</f>
        <v>9.7288917474328667</v>
      </c>
      <c r="J30" s="147">
        <v>4386.66</v>
      </c>
      <c r="K30" s="148" t="str">
        <f>AE30</f>
        <v>04</v>
      </c>
      <c r="L30" s="148">
        <f>J30/9</f>
        <v>487.40666666666664</v>
      </c>
      <c r="M30" s="148">
        <f>(J30*(14/12))/27</f>
        <v>189.54703703703706</v>
      </c>
      <c r="N30" s="148">
        <f>M30</f>
        <v>189.54703703703706</v>
      </c>
      <c r="O30" s="106">
        <f>ROUND(J30/9/2000,1)</f>
        <v>0.2</v>
      </c>
      <c r="P30" s="148">
        <f>L30</f>
        <v>487.40666666666664</v>
      </c>
      <c r="Q30" s="149"/>
      <c r="R30" s="149"/>
      <c r="S30" s="149"/>
      <c r="T30" s="148">
        <f>(J30*(6/12))/27</f>
        <v>81.234444444444435</v>
      </c>
      <c r="U30" s="148">
        <f>T30</f>
        <v>81.234444444444435</v>
      </c>
      <c r="V30" s="148"/>
      <c r="W30" s="150">
        <f>(J30/9)*0.09*2</f>
        <v>87.733199999999997</v>
      </c>
      <c r="X30" s="150">
        <f>(J30*(1.5/12))/27</f>
        <v>20.308611111111109</v>
      </c>
      <c r="Y30" s="150">
        <f>(J30*(1.75/12))/27</f>
        <v>23.693379629629632</v>
      </c>
      <c r="Z30" s="151"/>
      <c r="AA30" s="151"/>
      <c r="AB30" s="151"/>
      <c r="AC30" s="151"/>
      <c r="AE30" s="422" t="s">
        <v>125</v>
      </c>
    </row>
    <row r="31" spans="2:31" ht="12.75" customHeight="1" x14ac:dyDescent="0.25">
      <c r="B31" s="42"/>
      <c r="D31" s="144"/>
      <c r="E31" s="145"/>
      <c r="F31" s="145"/>
      <c r="G31" s="146"/>
      <c r="H31" s="147"/>
      <c r="I31" s="147"/>
      <c r="J31" s="147"/>
      <c r="K31" s="148"/>
      <c r="L31" s="148"/>
      <c r="M31" s="148"/>
      <c r="N31" s="148"/>
      <c r="O31" s="106"/>
      <c r="P31" s="148"/>
      <c r="Q31" s="149"/>
      <c r="R31" s="149"/>
      <c r="S31" s="149"/>
      <c r="T31" s="148"/>
      <c r="U31" s="148"/>
      <c r="V31" s="148"/>
      <c r="W31" s="150"/>
      <c r="X31" s="150"/>
      <c r="Y31" s="150"/>
      <c r="Z31" s="151"/>
      <c r="AA31" s="151"/>
      <c r="AB31" s="151"/>
      <c r="AC31" s="151"/>
    </row>
    <row r="32" spans="2:31" ht="12.6" customHeight="1" x14ac:dyDescent="0.25">
      <c r="B32" s="42"/>
      <c r="D32" s="144"/>
      <c r="E32" s="145"/>
      <c r="F32" s="145"/>
      <c r="G32" s="146"/>
      <c r="H32" s="147"/>
      <c r="I32" s="147"/>
      <c r="J32" s="147"/>
      <c r="K32" s="148"/>
      <c r="L32" s="148"/>
      <c r="M32" s="148"/>
      <c r="N32" s="148"/>
      <c r="O32" s="106"/>
      <c r="P32" s="148"/>
      <c r="Q32" s="152"/>
      <c r="R32" s="152"/>
      <c r="S32" s="152"/>
      <c r="T32" s="148"/>
      <c r="U32" s="148"/>
      <c r="V32" s="148"/>
      <c r="W32" s="143"/>
      <c r="X32" s="143"/>
      <c r="Y32" s="143"/>
      <c r="Z32" s="143"/>
      <c r="AA32" s="143"/>
      <c r="AB32" s="143"/>
      <c r="AC32" s="143"/>
    </row>
    <row r="33" spans="2:31" ht="12.75" customHeight="1" x14ac:dyDescent="0.25">
      <c r="B33" s="42"/>
      <c r="D33" s="153" t="s">
        <v>96</v>
      </c>
      <c r="E33" s="154">
        <v>100000</v>
      </c>
      <c r="F33" s="154">
        <v>100016.84</v>
      </c>
      <c r="G33" s="155" t="s">
        <v>34</v>
      </c>
      <c r="H33" s="156">
        <f>F33-E33</f>
        <v>16.839999999996508</v>
      </c>
      <c r="I33" s="156">
        <v>10</v>
      </c>
      <c r="J33" s="156">
        <v>168.43</v>
      </c>
      <c r="K33" s="148" t="str">
        <f>AE33</f>
        <v>04</v>
      </c>
      <c r="L33" s="148"/>
      <c r="M33" s="148"/>
      <c r="N33" s="148"/>
      <c r="O33" s="106"/>
      <c r="P33" s="152"/>
      <c r="Q33" s="152">
        <f>S33*0.75*14*115*0.05/2000</f>
        <v>0.56494229166666676</v>
      </c>
      <c r="R33" s="152">
        <f>S33</f>
        <v>18.714444444444446</v>
      </c>
      <c r="S33" s="152">
        <f>J33/9</f>
        <v>18.714444444444446</v>
      </c>
      <c r="T33" s="152"/>
      <c r="U33" s="152">
        <f>(J33*(6/12))/27</f>
        <v>3.1190740740740743</v>
      </c>
      <c r="V33" s="152"/>
      <c r="W33" s="152"/>
      <c r="X33" s="152"/>
      <c r="Y33" s="152"/>
      <c r="Z33" s="157">
        <f>(J33*(1.5/12))/27</f>
        <v>0.77976851851851858</v>
      </c>
      <c r="AA33" s="157">
        <f>(J33*(2.5/12))/27</f>
        <v>1.2996141975308644</v>
      </c>
      <c r="AB33" s="157"/>
      <c r="AC33" s="157"/>
      <c r="AE33" s="422" t="s">
        <v>125</v>
      </c>
    </row>
    <row r="34" spans="2:31" ht="12.75" customHeight="1" x14ac:dyDescent="0.25">
      <c r="B34" s="42"/>
      <c r="D34" s="158" t="s">
        <v>71</v>
      </c>
      <c r="E34" s="154">
        <v>100000</v>
      </c>
      <c r="F34" s="154">
        <v>100016.84</v>
      </c>
      <c r="G34" s="155" t="s">
        <v>34</v>
      </c>
      <c r="H34" s="159">
        <f>F34-E34</f>
        <v>16.839999999996508</v>
      </c>
      <c r="I34" s="159"/>
      <c r="J34" s="159"/>
      <c r="K34" s="148" t="str">
        <f t="shared" ref="K34:K79" si="10">AE34</f>
        <v>04</v>
      </c>
      <c r="L34" s="148"/>
      <c r="M34" s="148"/>
      <c r="N34" s="148"/>
      <c r="O34" s="106"/>
      <c r="P34" s="160"/>
      <c r="Q34" s="160">
        <f>S34*0.75*14*115*0.05/2000</f>
        <v>0.16945249999996487</v>
      </c>
      <c r="R34" s="160">
        <f>S34</f>
        <v>5.6133333333321689</v>
      </c>
      <c r="S34" s="160">
        <f>(H34*1.5/9)*2</f>
        <v>5.6133333333321689</v>
      </c>
      <c r="T34" s="160"/>
      <c r="U34" s="160">
        <f>((H34*(6/12)*(6/12))/27)*2</f>
        <v>0.31185185185178715</v>
      </c>
      <c r="V34" s="160"/>
      <c r="W34" s="160"/>
      <c r="X34" s="160"/>
      <c r="Y34" s="160"/>
      <c r="Z34" s="161"/>
      <c r="AA34" s="157"/>
      <c r="AB34" s="161"/>
      <c r="AC34" s="161"/>
      <c r="AE34" s="422" t="s">
        <v>125</v>
      </c>
    </row>
    <row r="35" spans="2:31" ht="12.6" customHeight="1" x14ac:dyDescent="0.25">
      <c r="B35" s="42"/>
      <c r="D35" s="158"/>
      <c r="E35" s="162"/>
      <c r="F35" s="162"/>
      <c r="G35" s="163"/>
      <c r="H35" s="159"/>
      <c r="I35" s="159"/>
      <c r="J35" s="159"/>
      <c r="K35" s="148"/>
      <c r="L35" s="148"/>
      <c r="M35" s="148"/>
      <c r="N35" s="148"/>
      <c r="O35" s="106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1"/>
      <c r="AA35" s="157"/>
      <c r="AB35" s="161"/>
      <c r="AC35" s="161"/>
    </row>
    <row r="36" spans="2:31" ht="12.75" customHeight="1" x14ac:dyDescent="0.25">
      <c r="B36" s="42"/>
      <c r="D36" s="153" t="s">
        <v>96</v>
      </c>
      <c r="E36" s="154">
        <v>100127.12</v>
      </c>
      <c r="F36" s="154">
        <v>100450.89</v>
      </c>
      <c r="G36" s="155" t="s">
        <v>34</v>
      </c>
      <c r="H36" s="156">
        <f>F36-E36</f>
        <v>323.77000000000407</v>
      </c>
      <c r="I36" s="156">
        <v>10</v>
      </c>
      <c r="J36" s="156">
        <v>3247.16</v>
      </c>
      <c r="K36" s="148" t="str">
        <f t="shared" si="10"/>
        <v>04</v>
      </c>
      <c r="L36" s="148"/>
      <c r="M36" s="148"/>
      <c r="N36" s="148"/>
      <c r="O36" s="106"/>
      <c r="P36" s="152"/>
      <c r="Q36" s="152">
        <f>S36*0.75*14*115*0.05/2000</f>
        <v>10.891515833333335</v>
      </c>
      <c r="R36" s="152">
        <f>S36</f>
        <v>360.79555555555555</v>
      </c>
      <c r="S36" s="152">
        <f>J36/9</f>
        <v>360.79555555555555</v>
      </c>
      <c r="T36" s="152"/>
      <c r="U36" s="152">
        <f>(J36*(6/12))/27</f>
        <v>60.132592592592587</v>
      </c>
      <c r="V36" s="152"/>
      <c r="W36" s="152"/>
      <c r="X36" s="152"/>
      <c r="Y36" s="152"/>
      <c r="Z36" s="157">
        <f>(J36*(1.5/12))/27</f>
        <v>15.033148148148147</v>
      </c>
      <c r="AA36" s="157">
        <f t="shared" ref="AA36:AA75" si="11">(J36*(2.5/12))/27</f>
        <v>25.055246913580248</v>
      </c>
      <c r="AB36" s="157"/>
      <c r="AC36" s="157"/>
      <c r="AE36" s="422" t="s">
        <v>125</v>
      </c>
    </row>
    <row r="37" spans="2:31" ht="12.75" customHeight="1" x14ac:dyDescent="0.25">
      <c r="B37" s="42"/>
      <c r="D37" s="158" t="s">
        <v>71</v>
      </c>
      <c r="E37" s="154">
        <v>100127.12</v>
      </c>
      <c r="F37" s="154">
        <v>100450.89</v>
      </c>
      <c r="G37" s="163" t="s">
        <v>32</v>
      </c>
      <c r="H37" s="159">
        <f>F37-E37</f>
        <v>323.77000000000407</v>
      </c>
      <c r="I37" s="159"/>
      <c r="J37" s="159"/>
      <c r="K37" s="148" t="str">
        <f t="shared" si="10"/>
        <v>04</v>
      </c>
      <c r="L37" s="148"/>
      <c r="M37" s="148"/>
      <c r="N37" s="148"/>
      <c r="O37" s="106"/>
      <c r="P37" s="160"/>
      <c r="Q37" s="160">
        <f>S37*0.75*14*115*0.05/2000</f>
        <v>1.6289678125000207</v>
      </c>
      <c r="R37" s="160">
        <f>S37</f>
        <v>53.961666666667348</v>
      </c>
      <c r="S37" s="160">
        <f>(H37*1.5/9)</f>
        <v>53.961666666667348</v>
      </c>
      <c r="T37" s="160"/>
      <c r="U37" s="160">
        <f>((H37*(6/12)*(6/12))/27)</f>
        <v>2.9978703703704079</v>
      </c>
      <c r="V37" s="160"/>
      <c r="W37" s="160"/>
      <c r="X37" s="160"/>
      <c r="Y37" s="160"/>
      <c r="Z37" s="161"/>
      <c r="AA37" s="157"/>
      <c r="AB37" s="161"/>
      <c r="AC37" s="161"/>
      <c r="AE37" s="422" t="s">
        <v>125</v>
      </c>
    </row>
    <row r="38" spans="2:31" ht="12.6" customHeight="1" x14ac:dyDescent="0.25">
      <c r="B38" s="42"/>
      <c r="D38" s="158"/>
      <c r="E38" s="154"/>
      <c r="F38" s="154"/>
      <c r="G38" s="163"/>
      <c r="H38" s="159"/>
      <c r="I38" s="159"/>
      <c r="J38" s="159"/>
      <c r="K38" s="148"/>
      <c r="L38" s="148"/>
      <c r="M38" s="148"/>
      <c r="N38" s="148"/>
      <c r="O38" s="106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1"/>
      <c r="AA38" s="157"/>
      <c r="AB38" s="161"/>
      <c r="AC38" s="161"/>
    </row>
    <row r="39" spans="2:31" ht="12.75" customHeight="1" x14ac:dyDescent="0.25">
      <c r="B39" s="42"/>
      <c r="D39" s="153" t="s">
        <v>96</v>
      </c>
      <c r="E39" s="154">
        <v>100450.89</v>
      </c>
      <c r="F39" s="154">
        <v>100831.54</v>
      </c>
      <c r="G39" s="155" t="s">
        <v>34</v>
      </c>
      <c r="H39" s="156">
        <f>F39-E39</f>
        <v>380.64999999999418</v>
      </c>
      <c r="I39" s="156">
        <v>10</v>
      </c>
      <c r="J39" s="156">
        <v>3797.16</v>
      </c>
      <c r="K39" s="148" t="str">
        <f t="shared" si="10"/>
        <v>04</v>
      </c>
      <c r="L39" s="148"/>
      <c r="M39" s="148"/>
      <c r="N39" s="148"/>
      <c r="O39" s="106"/>
      <c r="P39" s="152"/>
      <c r="Q39" s="152">
        <f>S39*0.75*14*115*0.05/2000</f>
        <v>12.736307499999999</v>
      </c>
      <c r="R39" s="152">
        <f>S39</f>
        <v>421.90666666666664</v>
      </c>
      <c r="S39" s="152">
        <f>J39/9</f>
        <v>421.90666666666664</v>
      </c>
      <c r="T39" s="152"/>
      <c r="U39" s="152">
        <f>(J39*(6/12))/27</f>
        <v>70.317777777777778</v>
      </c>
      <c r="V39" s="152"/>
      <c r="W39" s="152"/>
      <c r="X39" s="152"/>
      <c r="Y39" s="152"/>
      <c r="Z39" s="157">
        <f>(J39*(1.5/12))/27</f>
        <v>17.579444444444444</v>
      </c>
      <c r="AA39" s="157">
        <f t="shared" si="11"/>
        <v>29.299074074074074</v>
      </c>
      <c r="AB39" s="157"/>
      <c r="AC39" s="157"/>
      <c r="AE39" s="422" t="s">
        <v>125</v>
      </c>
    </row>
    <row r="40" spans="2:31" ht="12.75" customHeight="1" x14ac:dyDescent="0.25">
      <c r="B40" s="42"/>
      <c r="D40" s="158" t="s">
        <v>71</v>
      </c>
      <c r="E40" s="154">
        <v>100450.89</v>
      </c>
      <c r="F40" s="154">
        <v>100831.54</v>
      </c>
      <c r="G40" s="155" t="s">
        <v>34</v>
      </c>
      <c r="H40" s="159">
        <f>F40-E40</f>
        <v>380.64999999999418</v>
      </c>
      <c r="I40" s="159"/>
      <c r="J40" s="159"/>
      <c r="K40" s="148" t="str">
        <f t="shared" si="10"/>
        <v>04</v>
      </c>
      <c r="L40" s="148"/>
      <c r="M40" s="148"/>
      <c r="N40" s="148"/>
      <c r="O40" s="106"/>
      <c r="P40" s="160"/>
      <c r="Q40" s="160">
        <f>S40*0.75*14*115*0.05/2000</f>
        <v>3.8302906249999418</v>
      </c>
      <c r="R40" s="160">
        <f>S40</f>
        <v>126.88333333333139</v>
      </c>
      <c r="S40" s="160">
        <f>(H40*1.5/9)*2</f>
        <v>126.88333333333139</v>
      </c>
      <c r="T40" s="160"/>
      <c r="U40" s="160">
        <f>((H40*(6/12)*(6/12))/27)*2</f>
        <v>7.0490740740739666</v>
      </c>
      <c r="V40" s="160"/>
      <c r="W40" s="160"/>
      <c r="X40" s="160"/>
      <c r="Y40" s="160"/>
      <c r="Z40" s="161"/>
      <c r="AA40" s="157"/>
      <c r="AB40" s="161"/>
      <c r="AC40" s="161"/>
      <c r="AE40" s="422" t="s">
        <v>125</v>
      </c>
    </row>
    <row r="41" spans="2:31" ht="12.6" customHeight="1" x14ac:dyDescent="0.25">
      <c r="B41" s="42"/>
      <c r="D41" s="158"/>
      <c r="E41" s="154"/>
      <c r="F41" s="154"/>
      <c r="G41" s="163"/>
      <c r="H41" s="159"/>
      <c r="I41" s="159"/>
      <c r="J41" s="159"/>
      <c r="K41" s="148"/>
      <c r="L41" s="148"/>
      <c r="M41" s="148"/>
      <c r="N41" s="148"/>
      <c r="O41" s="106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1"/>
      <c r="AA41" s="157"/>
      <c r="AB41" s="161"/>
      <c r="AC41" s="161"/>
    </row>
    <row r="42" spans="2:31" ht="12.75" customHeight="1" x14ac:dyDescent="0.25">
      <c r="B42" s="42"/>
      <c r="D42" s="144" t="s">
        <v>27</v>
      </c>
      <c r="E42" s="145">
        <v>100853.72</v>
      </c>
      <c r="F42" s="145">
        <v>101698.55</v>
      </c>
      <c r="G42" s="146" t="s">
        <v>34</v>
      </c>
      <c r="H42" s="147">
        <f>F42-E42</f>
        <v>844.83000000000175</v>
      </c>
      <c r="I42" s="147">
        <f>J42/H42</f>
        <v>7.323710095522161</v>
      </c>
      <c r="J42" s="147">
        <v>6187.29</v>
      </c>
      <c r="K42" s="148" t="str">
        <f t="shared" si="10"/>
        <v>04</v>
      </c>
      <c r="L42" s="148">
        <f>J42/9</f>
        <v>687.47666666666669</v>
      </c>
      <c r="M42" s="148">
        <f>(J42*(14/12))/27</f>
        <v>267.35203703703706</v>
      </c>
      <c r="N42" s="148">
        <f>M42</f>
        <v>267.35203703703706</v>
      </c>
      <c r="O42" s="106">
        <f t="shared" ref="O42:O51" si="12">ROUND(J42/9/2000,1)</f>
        <v>0.3</v>
      </c>
      <c r="P42" s="148">
        <f>L42</f>
        <v>687.47666666666669</v>
      </c>
      <c r="Q42" s="149"/>
      <c r="R42" s="149"/>
      <c r="S42" s="149"/>
      <c r="T42" s="148">
        <f>(J42*(6/12))/27</f>
        <v>114.57944444444445</v>
      </c>
      <c r="U42" s="148">
        <f>T42</f>
        <v>114.57944444444445</v>
      </c>
      <c r="V42" s="148"/>
      <c r="W42" s="150">
        <f>(J42/9)*0.09*2</f>
        <v>123.7458</v>
      </c>
      <c r="X42" s="150">
        <f>(J42*(1.5/12))/27</f>
        <v>28.644861111111112</v>
      </c>
      <c r="Y42" s="150">
        <f>(J42*(1.75/12))/27</f>
        <v>33.419004629629633</v>
      </c>
      <c r="Z42" s="161"/>
      <c r="AA42" s="157"/>
      <c r="AB42" s="161"/>
      <c r="AC42" s="161"/>
      <c r="AE42" s="422" t="s">
        <v>125</v>
      </c>
    </row>
    <row r="43" spans="2:31" ht="12.75" customHeight="1" x14ac:dyDescent="0.25">
      <c r="B43" s="42"/>
      <c r="D43" s="144"/>
      <c r="E43" s="145"/>
      <c r="F43" s="145"/>
      <c r="G43" s="146"/>
      <c r="H43" s="147"/>
      <c r="I43" s="147"/>
      <c r="J43" s="147"/>
      <c r="K43" s="148"/>
      <c r="L43" s="148"/>
      <c r="M43" s="148"/>
      <c r="N43" s="148"/>
      <c r="O43" s="106"/>
      <c r="P43" s="148"/>
      <c r="Q43" s="149"/>
      <c r="R43" s="149"/>
      <c r="S43" s="149"/>
      <c r="T43" s="148"/>
      <c r="U43" s="148"/>
      <c r="V43" s="148"/>
      <c r="W43" s="150"/>
      <c r="X43" s="150"/>
      <c r="Y43" s="150"/>
      <c r="Z43" s="161"/>
      <c r="AA43" s="157"/>
      <c r="AB43" s="161"/>
      <c r="AC43" s="161"/>
    </row>
    <row r="44" spans="2:31" ht="12.6" customHeight="1" x14ac:dyDescent="0.25">
      <c r="B44" s="42"/>
      <c r="D44" s="164"/>
      <c r="E44" s="165"/>
      <c r="F44" s="165"/>
      <c r="G44" s="166"/>
      <c r="H44" s="167"/>
      <c r="I44" s="167"/>
      <c r="J44" s="167"/>
      <c r="K44" s="148"/>
      <c r="L44" s="168"/>
      <c r="M44" s="168"/>
      <c r="N44" s="168"/>
      <c r="O44" s="106"/>
      <c r="P44" s="168"/>
      <c r="Q44" s="152"/>
      <c r="R44" s="152"/>
      <c r="S44" s="152"/>
      <c r="T44" s="168"/>
      <c r="U44" s="168"/>
      <c r="V44" s="168"/>
      <c r="W44" s="151"/>
      <c r="X44" s="151"/>
      <c r="Y44" s="151"/>
      <c r="Z44" s="161"/>
      <c r="AA44" s="157"/>
      <c r="AB44" s="161"/>
      <c r="AC44" s="161"/>
    </row>
    <row r="45" spans="2:31" ht="12.75" customHeight="1" x14ac:dyDescent="0.25">
      <c r="B45" s="42"/>
      <c r="D45" s="153" t="s">
        <v>96</v>
      </c>
      <c r="E45" s="154">
        <v>100904.29</v>
      </c>
      <c r="F45" s="154">
        <v>101698.55</v>
      </c>
      <c r="G45" s="155" t="s">
        <v>34</v>
      </c>
      <c r="H45" s="156">
        <f>F45-E45</f>
        <v>794.26000000000931</v>
      </c>
      <c r="I45" s="156">
        <v>10</v>
      </c>
      <c r="J45" s="156">
        <v>7942.47</v>
      </c>
      <c r="K45" s="148" t="str">
        <f t="shared" si="10"/>
        <v>04</v>
      </c>
      <c r="L45" s="152"/>
      <c r="M45" s="152"/>
      <c r="N45" s="152"/>
      <c r="O45" s="106"/>
      <c r="P45" s="152"/>
      <c r="Q45" s="152">
        <f>S45*0.75*14*115*0.05/2000</f>
        <v>26.640368125000006</v>
      </c>
      <c r="R45" s="152">
        <f>S45</f>
        <v>882.49666666666667</v>
      </c>
      <c r="S45" s="152">
        <f>J45/9</f>
        <v>882.49666666666667</v>
      </c>
      <c r="T45" s="152"/>
      <c r="U45" s="152">
        <f>(J45*(6/12))/27</f>
        <v>147.08277777777778</v>
      </c>
      <c r="V45" s="152"/>
      <c r="W45" s="152"/>
      <c r="X45" s="152"/>
      <c r="Y45" s="152"/>
      <c r="Z45" s="157">
        <f>(J45*(1.5/12))/27</f>
        <v>36.770694444444445</v>
      </c>
      <c r="AA45" s="157">
        <f t="shared" si="11"/>
        <v>61.284490740740743</v>
      </c>
      <c r="AB45" s="157"/>
      <c r="AC45" s="157"/>
      <c r="AE45" s="422" t="s">
        <v>125</v>
      </c>
    </row>
    <row r="46" spans="2:31" ht="12.75" customHeight="1" x14ac:dyDescent="0.25">
      <c r="B46" s="42"/>
      <c r="D46" s="158" t="s">
        <v>71</v>
      </c>
      <c r="E46" s="154">
        <v>100904.29</v>
      </c>
      <c r="F46" s="154">
        <v>101698.55</v>
      </c>
      <c r="G46" s="155" t="s">
        <v>32</v>
      </c>
      <c r="H46" s="159">
        <f>F46-E46</f>
        <v>794.26000000000931</v>
      </c>
      <c r="I46" s="159"/>
      <c r="J46" s="159"/>
      <c r="K46" s="148" t="str">
        <f t="shared" si="10"/>
        <v>04</v>
      </c>
      <c r="L46" s="160"/>
      <c r="M46" s="160"/>
      <c r="N46" s="160"/>
      <c r="O46" s="106"/>
      <c r="P46" s="160"/>
      <c r="Q46" s="160">
        <f>S46*0.75*14*115*0.05/2000</f>
        <v>3.9961206250000467</v>
      </c>
      <c r="R46" s="160">
        <f>S46</f>
        <v>132.37666666666823</v>
      </c>
      <c r="S46" s="160">
        <f>(H46*1.5/9)</f>
        <v>132.37666666666823</v>
      </c>
      <c r="T46" s="160"/>
      <c r="U46" s="160">
        <f>((H46*(6/12)*(6/12))/27)</f>
        <v>7.3542592592593454</v>
      </c>
      <c r="V46" s="160"/>
      <c r="W46" s="160"/>
      <c r="X46" s="160"/>
      <c r="Y46" s="160"/>
      <c r="Z46" s="161"/>
      <c r="AA46" s="157"/>
      <c r="AB46" s="161"/>
      <c r="AC46" s="161"/>
      <c r="AE46" s="422" t="s">
        <v>125</v>
      </c>
    </row>
    <row r="47" spans="2:31" ht="12.6" customHeight="1" x14ac:dyDescent="0.25">
      <c r="B47" s="42"/>
      <c r="D47" s="158"/>
      <c r="E47" s="154"/>
      <c r="F47" s="154"/>
      <c r="G47" s="163"/>
      <c r="H47" s="159"/>
      <c r="I47" s="159"/>
      <c r="J47" s="159"/>
      <c r="K47" s="148"/>
      <c r="L47" s="160"/>
      <c r="M47" s="160"/>
      <c r="N47" s="160"/>
      <c r="O47" s="106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1"/>
      <c r="AA47" s="157"/>
      <c r="AB47" s="161"/>
      <c r="AC47" s="161"/>
    </row>
    <row r="48" spans="2:31" ht="12.75" customHeight="1" x14ac:dyDescent="0.25">
      <c r="B48" s="42"/>
      <c r="D48" s="153" t="s">
        <v>96</v>
      </c>
      <c r="E48" s="154">
        <v>101698.55</v>
      </c>
      <c r="F48" s="154">
        <v>101814.62</v>
      </c>
      <c r="G48" s="155" t="s">
        <v>34</v>
      </c>
      <c r="H48" s="156">
        <f>F48-E48</f>
        <v>116.06999999999243</v>
      </c>
      <c r="I48" s="156">
        <v>10</v>
      </c>
      <c r="J48" s="156">
        <v>1160.79</v>
      </c>
      <c r="K48" s="148" t="str">
        <f t="shared" si="10"/>
        <v>04</v>
      </c>
      <c r="L48" s="152"/>
      <c r="M48" s="152"/>
      <c r="N48" s="152"/>
      <c r="O48" s="106"/>
      <c r="P48" s="152"/>
      <c r="Q48" s="152">
        <f>S48*0.75*14*115*0.05/2000</f>
        <v>3.8934831249999999</v>
      </c>
      <c r="R48" s="152">
        <f>S48</f>
        <v>128.97666666666666</v>
      </c>
      <c r="S48" s="152">
        <f>J48/9</f>
        <v>128.97666666666666</v>
      </c>
      <c r="T48" s="152"/>
      <c r="U48" s="152">
        <f>(J48*(6/12))/27</f>
        <v>21.496111111111109</v>
      </c>
      <c r="V48" s="152"/>
      <c r="W48" s="152"/>
      <c r="X48" s="152"/>
      <c r="Y48" s="152"/>
      <c r="Z48" s="157">
        <f>(J48*(1.5/12))/27</f>
        <v>5.3740277777777772</v>
      </c>
      <c r="AA48" s="157">
        <f t="shared" si="11"/>
        <v>8.956712962962964</v>
      </c>
      <c r="AB48" s="157"/>
      <c r="AC48" s="157"/>
      <c r="AE48" s="422" t="s">
        <v>125</v>
      </c>
    </row>
    <row r="49" spans="2:31" ht="12.75" customHeight="1" x14ac:dyDescent="0.25">
      <c r="B49" s="42"/>
      <c r="D49" s="158" t="s">
        <v>71</v>
      </c>
      <c r="E49" s="154">
        <v>101698.55</v>
      </c>
      <c r="F49" s="154">
        <v>101814.62</v>
      </c>
      <c r="G49" s="155" t="s">
        <v>34</v>
      </c>
      <c r="H49" s="159">
        <f>F49-E49</f>
        <v>116.06999999999243</v>
      </c>
      <c r="I49" s="159"/>
      <c r="J49" s="159"/>
      <c r="K49" s="148" t="str">
        <f t="shared" si="10"/>
        <v>04</v>
      </c>
      <c r="L49" s="160"/>
      <c r="M49" s="160"/>
      <c r="N49" s="160"/>
      <c r="O49" s="106"/>
      <c r="P49" s="160"/>
      <c r="Q49" s="160">
        <f>S49*0.75*14*115*0.05/2000</f>
        <v>1.1679543749999239</v>
      </c>
      <c r="R49" s="160">
        <f>S49</f>
        <v>38.689999999997475</v>
      </c>
      <c r="S49" s="160">
        <f>(H49*1.5/9)*2</f>
        <v>38.689999999997475</v>
      </c>
      <c r="T49" s="160"/>
      <c r="U49" s="160">
        <f>((H49*(6/12)*(6/12))/27)*2</f>
        <v>2.1494444444443044</v>
      </c>
      <c r="V49" s="160"/>
      <c r="W49" s="160"/>
      <c r="X49" s="160"/>
      <c r="Y49" s="160"/>
      <c r="Z49" s="161"/>
      <c r="AA49" s="157"/>
      <c r="AB49" s="161"/>
      <c r="AC49" s="161"/>
      <c r="AE49" s="422" t="s">
        <v>125</v>
      </c>
    </row>
    <row r="50" spans="2:31" ht="12.6" customHeight="1" x14ac:dyDescent="0.25">
      <c r="B50" s="42"/>
      <c r="D50" s="158"/>
      <c r="E50" s="154"/>
      <c r="F50" s="154"/>
      <c r="G50" s="163"/>
      <c r="H50" s="159"/>
      <c r="I50" s="159"/>
      <c r="J50" s="159"/>
      <c r="K50" s="148"/>
      <c r="L50" s="160"/>
      <c r="M50" s="160"/>
      <c r="N50" s="160"/>
      <c r="O50" s="106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1"/>
      <c r="AA50" s="157"/>
      <c r="AB50" s="161"/>
      <c r="AC50" s="161"/>
    </row>
    <row r="51" spans="2:31" ht="12.75" customHeight="1" x14ac:dyDescent="0.25">
      <c r="B51" s="42"/>
      <c r="D51" s="144" t="s">
        <v>27</v>
      </c>
      <c r="E51" s="145">
        <v>101812.02</v>
      </c>
      <c r="F51" s="145">
        <v>102514.25</v>
      </c>
      <c r="G51" s="146" t="s">
        <v>34</v>
      </c>
      <c r="H51" s="147">
        <f>F51-E51</f>
        <v>702.22999999999593</v>
      </c>
      <c r="I51" s="147">
        <f>J51/H51</f>
        <v>8.4555060307876833</v>
      </c>
      <c r="J51" s="147">
        <v>5937.71</v>
      </c>
      <c r="K51" s="148" t="str">
        <f t="shared" si="10"/>
        <v>04</v>
      </c>
      <c r="L51" s="148">
        <f>J51/9</f>
        <v>659.7455555555556</v>
      </c>
      <c r="M51" s="148">
        <f>(J51*(14/12))/27</f>
        <v>256.56771604938274</v>
      </c>
      <c r="N51" s="148">
        <f>M51</f>
        <v>256.56771604938274</v>
      </c>
      <c r="O51" s="106">
        <f t="shared" si="12"/>
        <v>0.3</v>
      </c>
      <c r="P51" s="148">
        <f>L51</f>
        <v>659.7455555555556</v>
      </c>
      <c r="Q51" s="149"/>
      <c r="R51" s="149"/>
      <c r="S51" s="149"/>
      <c r="T51" s="148">
        <f>(J51*(6/12))/27</f>
        <v>109.95759259259259</v>
      </c>
      <c r="U51" s="148">
        <f>T51</f>
        <v>109.95759259259259</v>
      </c>
      <c r="V51" s="148"/>
      <c r="W51" s="150">
        <f>(J51/9)*0.09*2</f>
        <v>118.7542</v>
      </c>
      <c r="X51" s="150">
        <f>(J51*(1.5/12))/27</f>
        <v>27.489398148148148</v>
      </c>
      <c r="Y51" s="150">
        <f>(J51*(1.75/12))/27</f>
        <v>32.070964506172842</v>
      </c>
      <c r="Z51" s="161"/>
      <c r="AA51" s="157"/>
      <c r="AB51" s="161"/>
      <c r="AC51" s="161"/>
      <c r="AE51" s="422" t="s">
        <v>125</v>
      </c>
    </row>
    <row r="52" spans="2:31" ht="12.75" customHeight="1" x14ac:dyDescent="0.25">
      <c r="B52" s="42"/>
      <c r="D52" s="144"/>
      <c r="E52" s="145"/>
      <c r="F52" s="145"/>
      <c r="G52" s="146"/>
      <c r="H52" s="147"/>
      <c r="I52" s="147"/>
      <c r="J52" s="147"/>
      <c r="K52" s="148"/>
      <c r="L52" s="148"/>
      <c r="M52" s="148"/>
      <c r="N52" s="148"/>
      <c r="O52" s="106"/>
      <c r="P52" s="148"/>
      <c r="Q52" s="149"/>
      <c r="R52" s="149"/>
      <c r="S52" s="149"/>
      <c r="T52" s="148"/>
      <c r="U52" s="148"/>
      <c r="V52" s="148"/>
      <c r="W52" s="150"/>
      <c r="X52" s="150"/>
      <c r="Y52" s="150"/>
      <c r="Z52" s="161"/>
      <c r="AA52" s="157"/>
      <c r="AB52" s="161"/>
      <c r="AC52" s="161"/>
    </row>
    <row r="53" spans="2:31" ht="12.6" customHeight="1" x14ac:dyDescent="0.25">
      <c r="B53" s="42"/>
      <c r="D53" s="164"/>
      <c r="E53" s="165"/>
      <c r="F53" s="165"/>
      <c r="G53" s="166"/>
      <c r="H53" s="167"/>
      <c r="I53" s="167"/>
      <c r="J53" s="167"/>
      <c r="K53" s="148"/>
      <c r="L53" s="168"/>
      <c r="M53" s="168"/>
      <c r="N53" s="168"/>
      <c r="O53" s="90"/>
      <c r="P53" s="168"/>
      <c r="Q53" s="152"/>
      <c r="R53" s="152"/>
      <c r="S53" s="152"/>
      <c r="T53" s="168"/>
      <c r="U53" s="168"/>
      <c r="V53" s="168"/>
      <c r="W53" s="151"/>
      <c r="X53" s="151"/>
      <c r="Y53" s="151"/>
      <c r="Z53" s="161"/>
      <c r="AA53" s="157"/>
      <c r="AB53" s="161"/>
      <c r="AC53" s="161"/>
    </row>
    <row r="54" spans="2:31" ht="12.75" customHeight="1" x14ac:dyDescent="0.25">
      <c r="B54" s="42"/>
      <c r="D54" s="153" t="s">
        <v>96</v>
      </c>
      <c r="E54" s="154">
        <v>101944.03</v>
      </c>
      <c r="F54" s="154">
        <v>102002.16</v>
      </c>
      <c r="G54" s="155" t="s">
        <v>34</v>
      </c>
      <c r="H54" s="156">
        <f>F54-E54</f>
        <v>58.130000000004657</v>
      </c>
      <c r="I54" s="156">
        <v>10</v>
      </c>
      <c r="J54" s="156">
        <v>581.29999999999995</v>
      </c>
      <c r="K54" s="148" t="str">
        <f t="shared" si="10"/>
        <v>04</v>
      </c>
      <c r="L54" s="152"/>
      <c r="M54" s="152"/>
      <c r="N54" s="152"/>
      <c r="O54" s="98"/>
      <c r="P54" s="152"/>
      <c r="Q54" s="152">
        <f>S54*0.75*14*115*0.05/2000</f>
        <v>1.9497770833333334</v>
      </c>
      <c r="R54" s="152">
        <f>S54</f>
        <v>64.588888888888889</v>
      </c>
      <c r="S54" s="152">
        <f>J54/9</f>
        <v>64.588888888888889</v>
      </c>
      <c r="T54" s="152"/>
      <c r="U54" s="152">
        <f>(J54*(6/12))/27</f>
        <v>10.764814814814814</v>
      </c>
      <c r="V54" s="152"/>
      <c r="W54" s="152"/>
      <c r="X54" s="152"/>
      <c r="Y54" s="152"/>
      <c r="Z54" s="157">
        <f>(J54*(1.5/12))/27</f>
        <v>2.6912037037037035</v>
      </c>
      <c r="AA54" s="157">
        <f t="shared" si="11"/>
        <v>4.4853395061728394</v>
      </c>
      <c r="AB54" s="157"/>
      <c r="AC54" s="157"/>
      <c r="AE54" s="422" t="s">
        <v>125</v>
      </c>
    </row>
    <row r="55" spans="2:31" ht="12.75" customHeight="1" x14ac:dyDescent="0.25">
      <c r="B55" s="42"/>
      <c r="D55" s="158" t="s">
        <v>71</v>
      </c>
      <c r="E55" s="154">
        <v>101944.03</v>
      </c>
      <c r="F55" s="154">
        <v>102002.16</v>
      </c>
      <c r="G55" s="155" t="s">
        <v>34</v>
      </c>
      <c r="H55" s="159">
        <f>F55-E55</f>
        <v>58.130000000004657</v>
      </c>
      <c r="I55" s="159"/>
      <c r="J55" s="159"/>
      <c r="K55" s="148" t="str">
        <f t="shared" si="10"/>
        <v>04</v>
      </c>
      <c r="L55" s="160"/>
      <c r="M55" s="160"/>
      <c r="N55" s="160"/>
      <c r="O55" s="169"/>
      <c r="P55" s="160"/>
      <c r="Q55" s="160">
        <f>S55*0.75*14*115*0.05/2000</f>
        <v>0.58493312500004691</v>
      </c>
      <c r="R55" s="160">
        <f>S55</f>
        <v>19.376666666668218</v>
      </c>
      <c r="S55" s="160">
        <f>(H55*1.5/9)*2</f>
        <v>19.376666666668218</v>
      </c>
      <c r="T55" s="160"/>
      <c r="U55" s="160">
        <f>((H55*(6/12)*(6/12))/27)*2</f>
        <v>1.0764814814815677</v>
      </c>
      <c r="V55" s="160"/>
      <c r="W55" s="160"/>
      <c r="X55" s="160"/>
      <c r="Y55" s="160"/>
      <c r="Z55" s="161"/>
      <c r="AA55" s="157"/>
      <c r="AB55" s="161"/>
      <c r="AC55" s="161"/>
      <c r="AE55" s="422" t="s">
        <v>125</v>
      </c>
    </row>
    <row r="56" spans="2:31" ht="12.6" customHeight="1" x14ac:dyDescent="0.25">
      <c r="B56" s="42"/>
      <c r="D56" s="158"/>
      <c r="E56" s="154"/>
      <c r="F56" s="154"/>
      <c r="G56" s="163"/>
      <c r="H56" s="159"/>
      <c r="I56" s="159"/>
      <c r="J56" s="159"/>
      <c r="K56" s="148"/>
      <c r="L56" s="160"/>
      <c r="M56" s="160"/>
      <c r="N56" s="160"/>
      <c r="O56" s="169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1"/>
      <c r="AA56" s="157"/>
      <c r="AB56" s="161"/>
      <c r="AC56" s="161"/>
    </row>
    <row r="57" spans="2:31" ht="12.75" customHeight="1" x14ac:dyDescent="0.25">
      <c r="B57" s="42"/>
      <c r="D57" s="153" t="s">
        <v>96</v>
      </c>
      <c r="E57" s="154">
        <v>102002.16</v>
      </c>
      <c r="F57" s="154">
        <v>102518</v>
      </c>
      <c r="G57" s="155" t="s">
        <v>34</v>
      </c>
      <c r="H57" s="156">
        <f>F57-E57</f>
        <v>515.83999999999651</v>
      </c>
      <c r="I57" s="156">
        <v>10</v>
      </c>
      <c r="J57" s="156">
        <v>5154.2</v>
      </c>
      <c r="K57" s="148" t="str">
        <f t="shared" si="10"/>
        <v>04</v>
      </c>
      <c r="L57" s="152"/>
      <c r="M57" s="152"/>
      <c r="N57" s="152"/>
      <c r="O57" s="98"/>
      <c r="P57" s="152"/>
      <c r="Q57" s="152">
        <f>S57*0.75*14*115*0.05/2000</f>
        <v>17.288045833333335</v>
      </c>
      <c r="R57" s="152">
        <f>S57</f>
        <v>572.68888888888887</v>
      </c>
      <c r="S57" s="152">
        <f>J57/9</f>
        <v>572.68888888888887</v>
      </c>
      <c r="T57" s="152"/>
      <c r="U57" s="152">
        <f>(J57*(6/12))/27</f>
        <v>95.44814814814815</v>
      </c>
      <c r="V57" s="152"/>
      <c r="W57" s="152"/>
      <c r="X57" s="152"/>
      <c r="Y57" s="152"/>
      <c r="Z57" s="157">
        <f>(J57*(1.5/12))/27</f>
        <v>23.862037037037037</v>
      </c>
      <c r="AA57" s="157">
        <f t="shared" si="11"/>
        <v>39.770061728395063</v>
      </c>
      <c r="AB57" s="157"/>
      <c r="AC57" s="157"/>
      <c r="AE57" s="422" t="s">
        <v>125</v>
      </c>
    </row>
    <row r="58" spans="2:31" ht="12.75" customHeight="1" x14ac:dyDescent="0.25">
      <c r="B58" s="42"/>
      <c r="D58" s="158" t="s">
        <v>71</v>
      </c>
      <c r="E58" s="154">
        <v>102002.16</v>
      </c>
      <c r="F58" s="154">
        <v>102518</v>
      </c>
      <c r="G58" s="163" t="s">
        <v>32</v>
      </c>
      <c r="H58" s="159">
        <f>F58-E58</f>
        <v>515.83999999999651</v>
      </c>
      <c r="I58" s="159"/>
      <c r="J58" s="159"/>
      <c r="K58" s="148" t="str">
        <f t="shared" si="10"/>
        <v>04</v>
      </c>
      <c r="L58" s="160"/>
      <c r="M58" s="160"/>
      <c r="N58" s="160"/>
      <c r="O58" s="169"/>
      <c r="P58" s="160"/>
      <c r="Q58" s="160">
        <f>S58*0.75*14*115*0.05/2000</f>
        <v>2.5953199999999823</v>
      </c>
      <c r="R58" s="160">
        <f>S58</f>
        <v>85.973333333332747</v>
      </c>
      <c r="S58" s="160">
        <f>(H58*1.5/9)</f>
        <v>85.973333333332747</v>
      </c>
      <c r="T58" s="160"/>
      <c r="U58" s="160">
        <f>((H58*(6/12)*(6/12))/27)</f>
        <v>4.7762962962962643</v>
      </c>
      <c r="V58" s="160"/>
      <c r="W58" s="160"/>
      <c r="X58" s="160"/>
      <c r="Y58" s="160"/>
      <c r="Z58" s="161"/>
      <c r="AA58" s="157"/>
      <c r="AB58" s="161"/>
      <c r="AC58" s="161"/>
      <c r="AE58" s="422" t="s">
        <v>125</v>
      </c>
    </row>
    <row r="59" spans="2:31" ht="12.6" customHeight="1" x14ac:dyDescent="0.25">
      <c r="B59" s="42"/>
      <c r="D59" s="144"/>
      <c r="E59" s="145"/>
      <c r="F59" s="145"/>
      <c r="G59" s="146"/>
      <c r="H59" s="147"/>
      <c r="I59" s="147"/>
      <c r="J59" s="147"/>
      <c r="K59" s="148"/>
      <c r="L59" s="148"/>
      <c r="M59" s="148"/>
      <c r="N59" s="148"/>
      <c r="O59" s="106"/>
      <c r="P59" s="148"/>
      <c r="Q59" s="148"/>
      <c r="R59" s="148"/>
      <c r="S59" s="148"/>
      <c r="T59" s="148"/>
      <c r="U59" s="148"/>
      <c r="V59" s="148"/>
      <c r="W59" s="143"/>
      <c r="X59" s="143"/>
      <c r="Y59" s="143"/>
      <c r="Z59" s="143"/>
      <c r="AA59" s="157"/>
      <c r="AB59" s="143"/>
      <c r="AC59" s="143"/>
    </row>
    <row r="60" spans="2:31" ht="12.75" customHeight="1" x14ac:dyDescent="0.25">
      <c r="B60" s="42"/>
      <c r="D60" s="153" t="s">
        <v>96</v>
      </c>
      <c r="E60" s="154">
        <v>102543.03</v>
      </c>
      <c r="F60" s="154">
        <v>102946.69</v>
      </c>
      <c r="G60" s="155" t="s">
        <v>34</v>
      </c>
      <c r="H60" s="156">
        <f>F60-E60</f>
        <v>403.66000000000349</v>
      </c>
      <c r="I60" s="156">
        <v>10</v>
      </c>
      <c r="J60" s="156">
        <v>4034.63</v>
      </c>
      <c r="K60" s="148" t="str">
        <f t="shared" si="10"/>
        <v>04</v>
      </c>
      <c r="L60" s="152"/>
      <c r="M60" s="152"/>
      <c r="N60" s="152"/>
      <c r="O60" s="98"/>
      <c r="P60" s="152"/>
      <c r="Q60" s="152">
        <f>S60*0.75*14*115*0.05/2000</f>
        <v>13.532821458333332</v>
      </c>
      <c r="R60" s="152">
        <f>S60</f>
        <v>448.29222222222222</v>
      </c>
      <c r="S60" s="152">
        <f>J60/9</f>
        <v>448.29222222222222</v>
      </c>
      <c r="T60" s="152"/>
      <c r="U60" s="152">
        <f>(J60*(6/12))/27</f>
        <v>74.715370370370366</v>
      </c>
      <c r="V60" s="152"/>
      <c r="W60" s="152"/>
      <c r="X60" s="152"/>
      <c r="Y60" s="152"/>
      <c r="Z60" s="157">
        <f>(J60*(1.5/12))/27</f>
        <v>18.678842592592591</v>
      </c>
      <c r="AA60" s="157">
        <f t="shared" si="11"/>
        <v>31.131404320987659</v>
      </c>
      <c r="AB60" s="157"/>
      <c r="AC60" s="157"/>
      <c r="AE60" s="422" t="s">
        <v>125</v>
      </c>
    </row>
    <row r="61" spans="2:31" ht="12.75" customHeight="1" x14ac:dyDescent="0.25">
      <c r="B61" s="42"/>
      <c r="D61" s="158" t="s">
        <v>71</v>
      </c>
      <c r="E61" s="154">
        <v>102543.03</v>
      </c>
      <c r="F61" s="154">
        <v>102946.69</v>
      </c>
      <c r="G61" s="155" t="s">
        <v>34</v>
      </c>
      <c r="H61" s="159">
        <f>F61-E61</f>
        <v>403.66000000000349</v>
      </c>
      <c r="I61" s="159"/>
      <c r="J61" s="159"/>
      <c r="K61" s="148" t="str">
        <f t="shared" si="10"/>
        <v>04</v>
      </c>
      <c r="L61" s="160"/>
      <c r="M61" s="160"/>
      <c r="N61" s="160"/>
      <c r="O61" s="169"/>
      <c r="P61" s="160"/>
      <c r="Q61" s="160">
        <f>S61*0.75*14*115*0.05/2000</f>
        <v>4.0618287500000356</v>
      </c>
      <c r="R61" s="160">
        <f>S61</f>
        <v>134.55333333333451</v>
      </c>
      <c r="S61" s="160">
        <f>(H61*1.5/9)*2</f>
        <v>134.55333333333451</v>
      </c>
      <c r="T61" s="160"/>
      <c r="U61" s="160">
        <f>((H61*(6/12)*(6/12))/27)*2</f>
        <v>7.47518518518525</v>
      </c>
      <c r="V61" s="160"/>
      <c r="W61" s="160"/>
      <c r="X61" s="160"/>
      <c r="Y61" s="160"/>
      <c r="Z61" s="161"/>
      <c r="AA61" s="157"/>
      <c r="AB61" s="161"/>
      <c r="AC61" s="161"/>
      <c r="AE61" s="422" t="s">
        <v>125</v>
      </c>
    </row>
    <row r="62" spans="2:31" ht="12.6" customHeight="1" x14ac:dyDescent="0.25">
      <c r="B62" s="42"/>
      <c r="D62" s="170"/>
      <c r="E62" s="171"/>
      <c r="F62" s="171"/>
      <c r="G62" s="155"/>
      <c r="H62" s="172"/>
      <c r="I62" s="172"/>
      <c r="J62" s="172"/>
      <c r="K62" s="148"/>
      <c r="L62" s="173"/>
      <c r="M62" s="173"/>
      <c r="N62" s="173"/>
      <c r="O62" s="174"/>
      <c r="P62" s="173"/>
      <c r="Q62" s="173"/>
      <c r="R62" s="173"/>
      <c r="S62" s="173"/>
      <c r="T62" s="173"/>
      <c r="U62" s="173"/>
      <c r="V62" s="173"/>
      <c r="W62" s="175"/>
      <c r="X62" s="175"/>
      <c r="Y62" s="175"/>
      <c r="Z62" s="175"/>
      <c r="AA62" s="157"/>
      <c r="AB62" s="175"/>
      <c r="AC62" s="175"/>
    </row>
    <row r="63" spans="2:31" ht="12.75" customHeight="1" x14ac:dyDescent="0.25">
      <c r="B63" s="42"/>
      <c r="D63" s="153" t="s">
        <v>96</v>
      </c>
      <c r="E63" s="154">
        <v>102968.05</v>
      </c>
      <c r="F63" s="154">
        <v>103422.1</v>
      </c>
      <c r="G63" s="155" t="s">
        <v>34</v>
      </c>
      <c r="H63" s="156">
        <f>F63-E63</f>
        <v>454.05000000000291</v>
      </c>
      <c r="I63" s="156">
        <v>10</v>
      </c>
      <c r="J63" s="156">
        <v>4540.51</v>
      </c>
      <c r="K63" s="148" t="str">
        <f t="shared" si="10"/>
        <v>04</v>
      </c>
      <c r="L63" s="152"/>
      <c r="M63" s="152"/>
      <c r="N63" s="152"/>
      <c r="O63" s="98"/>
      <c r="P63" s="152"/>
      <c r="Q63" s="152">
        <f>S63*0.75*14*115*0.05/2000</f>
        <v>15.229627291666668</v>
      </c>
      <c r="R63" s="152">
        <f>S63</f>
        <v>504.50111111111113</v>
      </c>
      <c r="S63" s="152">
        <f>J63/9</f>
        <v>504.50111111111113</v>
      </c>
      <c r="T63" s="152"/>
      <c r="U63" s="152">
        <f>(J63*(6/12))/27</f>
        <v>84.083518518518517</v>
      </c>
      <c r="V63" s="152"/>
      <c r="W63" s="152"/>
      <c r="X63" s="152"/>
      <c r="Y63" s="152"/>
      <c r="Z63" s="157">
        <f>(J63*(1.5/12))/27</f>
        <v>21.020879629629629</v>
      </c>
      <c r="AA63" s="157">
        <f t="shared" si="11"/>
        <v>35.034799382716052</v>
      </c>
      <c r="AB63" s="157"/>
      <c r="AC63" s="157"/>
      <c r="AE63" s="422" t="s">
        <v>125</v>
      </c>
    </row>
    <row r="64" spans="2:31" ht="12.75" customHeight="1" x14ac:dyDescent="0.25">
      <c r="B64" s="42"/>
      <c r="D64" s="158" t="s">
        <v>71</v>
      </c>
      <c r="E64" s="154">
        <v>102968.05</v>
      </c>
      <c r="F64" s="154">
        <v>103422.1</v>
      </c>
      <c r="G64" s="155" t="s">
        <v>34</v>
      </c>
      <c r="H64" s="159">
        <f>F64-E64</f>
        <v>454.05000000000291</v>
      </c>
      <c r="I64" s="159"/>
      <c r="J64" s="159"/>
      <c r="K64" s="148" t="str">
        <f t="shared" si="10"/>
        <v>04</v>
      </c>
      <c r="L64" s="160"/>
      <c r="M64" s="160"/>
      <c r="N64" s="160"/>
      <c r="O64" s="169"/>
      <c r="P64" s="160"/>
      <c r="Q64" s="160">
        <f>S64*0.75*14*115*0.05/2000</f>
        <v>4.5688781250000297</v>
      </c>
      <c r="R64" s="160">
        <f>S64</f>
        <v>151.35000000000096</v>
      </c>
      <c r="S64" s="160">
        <f>(H64*1.5/9)*2</f>
        <v>151.35000000000096</v>
      </c>
      <c r="T64" s="160"/>
      <c r="U64" s="160">
        <f>((H64*(6/12)*(6/12))/27)*2</f>
        <v>8.4083333333333865</v>
      </c>
      <c r="V64" s="160"/>
      <c r="W64" s="160"/>
      <c r="X64" s="160"/>
      <c r="Y64" s="160"/>
      <c r="Z64" s="161"/>
      <c r="AA64" s="157"/>
      <c r="AB64" s="161"/>
      <c r="AC64" s="161"/>
      <c r="AE64" s="422" t="s">
        <v>125</v>
      </c>
    </row>
    <row r="65" spans="2:31" ht="12.6" customHeight="1" x14ac:dyDescent="0.25">
      <c r="B65" s="42"/>
      <c r="D65" s="170"/>
      <c r="E65" s="171"/>
      <c r="F65" s="171"/>
      <c r="G65" s="155"/>
      <c r="H65" s="172"/>
      <c r="I65" s="172"/>
      <c r="J65" s="172"/>
      <c r="K65" s="148"/>
      <c r="L65" s="173"/>
      <c r="M65" s="173"/>
      <c r="N65" s="173"/>
      <c r="O65" s="174"/>
      <c r="P65" s="173"/>
      <c r="Q65" s="173"/>
      <c r="R65" s="173"/>
      <c r="S65" s="173"/>
      <c r="T65" s="173"/>
      <c r="U65" s="173"/>
      <c r="V65" s="173"/>
      <c r="W65" s="175"/>
      <c r="X65" s="175"/>
      <c r="Y65" s="175"/>
      <c r="Z65" s="175"/>
      <c r="AA65" s="157"/>
      <c r="AB65" s="175"/>
      <c r="AC65" s="175"/>
    </row>
    <row r="66" spans="2:31" ht="12.75" customHeight="1" x14ac:dyDescent="0.25">
      <c r="B66" s="42"/>
      <c r="D66" s="153" t="s">
        <v>96</v>
      </c>
      <c r="E66" s="154">
        <v>103434.77</v>
      </c>
      <c r="F66" s="154">
        <v>103598.5</v>
      </c>
      <c r="G66" s="155" t="s">
        <v>34</v>
      </c>
      <c r="H66" s="156">
        <f>F66-E66</f>
        <v>163.72999999999593</v>
      </c>
      <c r="I66" s="156">
        <v>10</v>
      </c>
      <c r="J66" s="156">
        <v>1637.01</v>
      </c>
      <c r="K66" s="148" t="str">
        <f t="shared" si="10"/>
        <v>04</v>
      </c>
      <c r="L66" s="152"/>
      <c r="M66" s="152"/>
      <c r="N66" s="152"/>
      <c r="O66" s="98"/>
      <c r="P66" s="152"/>
      <c r="Q66" s="152">
        <f>S66*0.75*14*115*0.05/2000</f>
        <v>5.4908043749999997</v>
      </c>
      <c r="R66" s="152">
        <f>S66</f>
        <v>181.89</v>
      </c>
      <c r="S66" s="152">
        <f>J66/9</f>
        <v>181.89</v>
      </c>
      <c r="T66" s="152"/>
      <c r="U66" s="152">
        <f>(J66*(6/12))/27</f>
        <v>30.315000000000001</v>
      </c>
      <c r="V66" s="152"/>
      <c r="W66" s="152"/>
      <c r="X66" s="152"/>
      <c r="Y66" s="152"/>
      <c r="Z66" s="157">
        <f>(J66*(1.5/12))/27</f>
        <v>7.5787500000000003</v>
      </c>
      <c r="AA66" s="157">
        <f t="shared" si="11"/>
        <v>12.63125</v>
      </c>
      <c r="AB66" s="157"/>
      <c r="AC66" s="157"/>
      <c r="AE66" s="422" t="s">
        <v>125</v>
      </c>
    </row>
    <row r="67" spans="2:31" ht="12.75" customHeight="1" x14ac:dyDescent="0.25">
      <c r="B67" s="42"/>
      <c r="D67" s="158" t="s">
        <v>71</v>
      </c>
      <c r="E67" s="154">
        <v>103434.77</v>
      </c>
      <c r="F67" s="154">
        <v>103598.5</v>
      </c>
      <c r="G67" s="155" t="s">
        <v>34</v>
      </c>
      <c r="H67" s="159">
        <f>F67-E67</f>
        <v>163.72999999999593</v>
      </c>
      <c r="I67" s="159"/>
      <c r="J67" s="159"/>
      <c r="K67" s="148" t="str">
        <f t="shared" si="10"/>
        <v>04</v>
      </c>
      <c r="L67" s="160"/>
      <c r="M67" s="160"/>
      <c r="N67" s="160"/>
      <c r="O67" s="169"/>
      <c r="P67" s="160"/>
      <c r="Q67" s="160">
        <f>S67*0.75*14*115*0.05/2000</f>
        <v>1.647533124999959</v>
      </c>
      <c r="R67" s="160">
        <f>S67</f>
        <v>54.576666666665311</v>
      </c>
      <c r="S67" s="160">
        <f>(H67*1.5/9)*2</f>
        <v>54.576666666665311</v>
      </c>
      <c r="T67" s="160"/>
      <c r="U67" s="160">
        <f>((H67*(6/12)*(6/12))/27)*2</f>
        <v>3.0320370370369614</v>
      </c>
      <c r="V67" s="160"/>
      <c r="W67" s="160"/>
      <c r="X67" s="160"/>
      <c r="Y67" s="160"/>
      <c r="Z67" s="161"/>
      <c r="AA67" s="157"/>
      <c r="AB67" s="161"/>
      <c r="AC67" s="161"/>
      <c r="AE67" s="422" t="s">
        <v>125</v>
      </c>
    </row>
    <row r="68" spans="2:31" ht="12.6" customHeight="1" x14ac:dyDescent="0.25">
      <c r="B68" s="42"/>
      <c r="D68" s="176"/>
      <c r="E68" s="177"/>
      <c r="F68" s="177"/>
      <c r="G68" s="155"/>
      <c r="H68" s="178"/>
      <c r="I68" s="178"/>
      <c r="J68" s="178"/>
      <c r="K68" s="148"/>
      <c r="L68" s="179"/>
      <c r="M68" s="179"/>
      <c r="N68" s="179"/>
      <c r="O68" s="180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81"/>
      <c r="AA68" s="157"/>
      <c r="AB68" s="181"/>
      <c r="AC68" s="181"/>
    </row>
    <row r="69" spans="2:31" ht="12.75" customHeight="1" x14ac:dyDescent="0.25">
      <c r="B69" s="42"/>
      <c r="D69" s="153" t="s">
        <v>96</v>
      </c>
      <c r="E69" s="154">
        <v>103613.49</v>
      </c>
      <c r="F69" s="154">
        <v>104288.03</v>
      </c>
      <c r="G69" s="155" t="s">
        <v>34</v>
      </c>
      <c r="H69" s="156">
        <f>F69-E69</f>
        <v>674.5399999999936</v>
      </c>
      <c r="I69" s="156">
        <v>10</v>
      </c>
      <c r="J69" s="156">
        <v>6745.4</v>
      </c>
      <c r="K69" s="148" t="str">
        <f t="shared" si="10"/>
        <v>04</v>
      </c>
      <c r="L69" s="152"/>
      <c r="M69" s="152"/>
      <c r="N69" s="152"/>
      <c r="O69" s="98"/>
      <c r="P69" s="152"/>
      <c r="Q69" s="152">
        <f>S69*0.75*14*115*0.05/2000</f>
        <v>22.625195833333333</v>
      </c>
      <c r="R69" s="152">
        <f>S69</f>
        <v>749.48888888888882</v>
      </c>
      <c r="S69" s="152">
        <f>J69/9</f>
        <v>749.48888888888882</v>
      </c>
      <c r="T69" s="152"/>
      <c r="U69" s="152">
        <f>(J69*(6/12))/27</f>
        <v>124.9148148148148</v>
      </c>
      <c r="V69" s="152"/>
      <c r="W69" s="152"/>
      <c r="X69" s="152"/>
      <c r="Y69" s="152"/>
      <c r="Z69" s="157">
        <f>(J69*(1.5/12))/27</f>
        <v>31.228703703703701</v>
      </c>
      <c r="AA69" s="157">
        <f t="shared" si="11"/>
        <v>52.047839506172842</v>
      </c>
      <c r="AB69" s="157"/>
      <c r="AC69" s="157"/>
      <c r="AE69" s="422" t="s">
        <v>125</v>
      </c>
    </row>
    <row r="70" spans="2:31" ht="12.75" customHeight="1" x14ac:dyDescent="0.25">
      <c r="B70" s="42"/>
      <c r="D70" s="158" t="s">
        <v>71</v>
      </c>
      <c r="E70" s="154">
        <v>103613.49</v>
      </c>
      <c r="F70" s="154">
        <v>104288.03</v>
      </c>
      <c r="G70" s="155" t="s">
        <v>34</v>
      </c>
      <c r="H70" s="159">
        <f>F70-E70</f>
        <v>674.5399999999936</v>
      </c>
      <c r="I70" s="159"/>
      <c r="J70" s="159"/>
      <c r="K70" s="148" t="str">
        <f t="shared" si="10"/>
        <v>04</v>
      </c>
      <c r="L70" s="160"/>
      <c r="M70" s="160"/>
      <c r="N70" s="160"/>
      <c r="O70" s="169"/>
      <c r="P70" s="160"/>
      <c r="Q70" s="160">
        <f>S70*0.75*14*115*0.05/2000</f>
        <v>6.7875587499999357</v>
      </c>
      <c r="R70" s="160">
        <f>S70</f>
        <v>224.84666666666453</v>
      </c>
      <c r="S70" s="160">
        <f>(H70*1.5/9)*2</f>
        <v>224.84666666666453</v>
      </c>
      <c r="T70" s="160"/>
      <c r="U70" s="160">
        <f>((H70*(6/12)*(6/12))/27)*2</f>
        <v>12.491481481481364</v>
      </c>
      <c r="V70" s="160"/>
      <c r="W70" s="160"/>
      <c r="X70" s="160"/>
      <c r="Y70" s="160"/>
      <c r="Z70" s="161"/>
      <c r="AA70" s="157"/>
      <c r="AB70" s="161"/>
      <c r="AC70" s="161"/>
      <c r="AE70" s="422" t="s">
        <v>125</v>
      </c>
    </row>
    <row r="71" spans="2:31" ht="12.6" customHeight="1" x14ac:dyDescent="0.25">
      <c r="B71" s="42"/>
      <c r="D71" s="176"/>
      <c r="E71" s="177"/>
      <c r="F71" s="177"/>
      <c r="G71" s="155"/>
      <c r="H71" s="178"/>
      <c r="I71" s="178"/>
      <c r="J71" s="178"/>
      <c r="K71" s="148"/>
      <c r="L71" s="179"/>
      <c r="M71" s="179"/>
      <c r="N71" s="179"/>
      <c r="O71" s="180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81"/>
      <c r="AA71" s="157"/>
      <c r="AB71" s="181"/>
      <c r="AC71" s="181"/>
    </row>
    <row r="72" spans="2:31" ht="12.75" customHeight="1" x14ac:dyDescent="0.25">
      <c r="B72" s="42"/>
      <c r="D72" s="153" t="s">
        <v>96</v>
      </c>
      <c r="E72" s="154">
        <v>104308.03</v>
      </c>
      <c r="F72" s="154">
        <v>104672.24</v>
      </c>
      <c r="G72" s="155" t="s">
        <v>34</v>
      </c>
      <c r="H72" s="156">
        <f>F72-E72</f>
        <v>364.2100000000064</v>
      </c>
      <c r="I72" s="156">
        <v>10</v>
      </c>
      <c r="J72" s="156">
        <v>3642.08</v>
      </c>
      <c r="K72" s="148" t="str">
        <f t="shared" si="10"/>
        <v>04</v>
      </c>
      <c r="L72" s="152"/>
      <c r="M72" s="152"/>
      <c r="N72" s="152"/>
      <c r="O72" s="98"/>
      <c r="P72" s="152"/>
      <c r="Q72" s="152">
        <f>S72*0.75*14*115*0.05/2000</f>
        <v>12.216143333333333</v>
      </c>
      <c r="R72" s="152">
        <f>S72</f>
        <v>404.67555555555555</v>
      </c>
      <c r="S72" s="152">
        <f>J72/9</f>
        <v>404.67555555555555</v>
      </c>
      <c r="T72" s="152"/>
      <c r="U72" s="152">
        <f>(J72*(6/12))/27</f>
        <v>67.44592592592592</v>
      </c>
      <c r="V72" s="152"/>
      <c r="W72" s="152"/>
      <c r="X72" s="152"/>
      <c r="Y72" s="152"/>
      <c r="Z72" s="157">
        <f>(J72*(1.5/12))/27</f>
        <v>16.86148148148148</v>
      </c>
      <c r="AA72" s="157">
        <f t="shared" si="11"/>
        <v>28.102469135802469</v>
      </c>
      <c r="AB72" s="157"/>
      <c r="AC72" s="157"/>
      <c r="AE72" s="422" t="s">
        <v>125</v>
      </c>
    </row>
    <row r="73" spans="2:31" ht="12.75" customHeight="1" x14ac:dyDescent="0.25">
      <c r="B73" s="42"/>
      <c r="D73" s="158" t="s">
        <v>71</v>
      </c>
      <c r="E73" s="154">
        <v>104308.03</v>
      </c>
      <c r="F73" s="154">
        <v>104672.24</v>
      </c>
      <c r="G73" s="155" t="s">
        <v>34</v>
      </c>
      <c r="H73" s="159">
        <f>F73-E73</f>
        <v>364.2100000000064</v>
      </c>
      <c r="I73" s="159"/>
      <c r="J73" s="159"/>
      <c r="K73" s="148" t="str">
        <f t="shared" si="10"/>
        <v>04</v>
      </c>
      <c r="L73" s="160"/>
      <c r="M73" s="160"/>
      <c r="N73" s="160"/>
      <c r="O73" s="169"/>
      <c r="P73" s="160"/>
      <c r="Q73" s="160">
        <f>S73*0.75*14*115*0.05/2000</f>
        <v>3.6648631250000649</v>
      </c>
      <c r="R73" s="160">
        <f>S73</f>
        <v>121.40333333333547</v>
      </c>
      <c r="S73" s="160">
        <f>(H73*1.5/9)*2</f>
        <v>121.40333333333547</v>
      </c>
      <c r="T73" s="160"/>
      <c r="U73" s="160">
        <f>((H73*(6/12)*(6/12))/27)*2</f>
        <v>6.7446296296297481</v>
      </c>
      <c r="V73" s="160"/>
      <c r="W73" s="160"/>
      <c r="X73" s="160"/>
      <c r="Y73" s="160"/>
      <c r="Z73" s="161"/>
      <c r="AA73" s="157"/>
      <c r="AB73" s="161"/>
      <c r="AC73" s="161"/>
      <c r="AE73" s="422" t="s">
        <v>125</v>
      </c>
    </row>
    <row r="74" spans="2:31" ht="12.6" customHeight="1" x14ac:dyDescent="0.25">
      <c r="B74" s="42"/>
      <c r="D74" s="182"/>
      <c r="E74" s="165"/>
      <c r="F74" s="165"/>
      <c r="G74" s="155"/>
      <c r="H74" s="156"/>
      <c r="I74" s="156"/>
      <c r="J74" s="156"/>
      <c r="K74" s="148"/>
      <c r="L74" s="152"/>
      <c r="M74" s="152"/>
      <c r="N74" s="152"/>
      <c r="O74" s="98"/>
      <c r="P74" s="152"/>
      <c r="Q74" s="152"/>
      <c r="R74" s="152"/>
      <c r="S74" s="152"/>
      <c r="T74" s="152"/>
      <c r="U74" s="168"/>
      <c r="V74" s="168"/>
      <c r="W74" s="152"/>
      <c r="X74" s="152"/>
      <c r="Y74" s="152"/>
      <c r="Z74" s="143"/>
      <c r="AA74" s="157"/>
      <c r="AB74" s="143"/>
      <c r="AC74" s="143"/>
    </row>
    <row r="75" spans="2:31" ht="12.75" customHeight="1" x14ac:dyDescent="0.25">
      <c r="B75" s="42"/>
      <c r="D75" s="153" t="s">
        <v>96</v>
      </c>
      <c r="E75" s="154">
        <v>104691.38</v>
      </c>
      <c r="F75" s="154">
        <v>105372.95</v>
      </c>
      <c r="G75" s="155" t="s">
        <v>34</v>
      </c>
      <c r="H75" s="156">
        <f>F75-E75</f>
        <v>681.56999999999243</v>
      </c>
      <c r="I75" s="156">
        <v>10</v>
      </c>
      <c r="J75" s="156">
        <v>6814.54</v>
      </c>
      <c r="K75" s="148" t="str">
        <f t="shared" si="10"/>
        <v>04</v>
      </c>
      <c r="L75" s="152"/>
      <c r="M75" s="152"/>
      <c r="N75" s="152"/>
      <c r="O75" s="98"/>
      <c r="P75" s="152"/>
      <c r="Q75" s="152">
        <f>S75*0.75*14*115*0.05/2000</f>
        <v>22.857102916666669</v>
      </c>
      <c r="R75" s="152">
        <f>S75</f>
        <v>757.17111111111114</v>
      </c>
      <c r="S75" s="152">
        <f>J75/9</f>
        <v>757.17111111111114</v>
      </c>
      <c r="T75" s="152"/>
      <c r="U75" s="152">
        <f>(J75*(6/12))/27</f>
        <v>126.19518518518518</v>
      </c>
      <c r="V75" s="152"/>
      <c r="W75" s="152"/>
      <c r="X75" s="152"/>
      <c r="Y75" s="152"/>
      <c r="Z75" s="157">
        <f>(J75*(1.5/12))/27</f>
        <v>31.548796296296295</v>
      </c>
      <c r="AA75" s="157">
        <f t="shared" si="11"/>
        <v>52.581327160493828</v>
      </c>
      <c r="AB75" s="157"/>
      <c r="AC75" s="157"/>
      <c r="AE75" s="422" t="s">
        <v>125</v>
      </c>
    </row>
    <row r="76" spans="2:31" ht="12.75" customHeight="1" x14ac:dyDescent="0.25">
      <c r="B76" s="42"/>
      <c r="D76" s="158" t="s">
        <v>71</v>
      </c>
      <c r="E76" s="154">
        <v>104691.38</v>
      </c>
      <c r="F76" s="154">
        <v>105372.95</v>
      </c>
      <c r="G76" s="155" t="s">
        <v>34</v>
      </c>
      <c r="H76" s="159">
        <f>F76-E76</f>
        <v>681.56999999999243</v>
      </c>
      <c r="I76" s="159"/>
      <c r="J76" s="159"/>
      <c r="K76" s="148" t="str">
        <f t="shared" si="10"/>
        <v>04</v>
      </c>
      <c r="L76" s="160"/>
      <c r="M76" s="160"/>
      <c r="N76" s="160"/>
      <c r="O76" s="169"/>
      <c r="P76" s="160"/>
      <c r="Q76" s="160">
        <f>S76*0.75*14*115*0.05/2000</f>
        <v>6.8582981249999246</v>
      </c>
      <c r="R76" s="160">
        <f>S76</f>
        <v>227.18999999999747</v>
      </c>
      <c r="S76" s="160">
        <f>(H76*1.5/9)*2</f>
        <v>227.18999999999747</v>
      </c>
      <c r="T76" s="160"/>
      <c r="U76" s="160">
        <f>((H76*(6/12)*(6/12))/27)*2</f>
        <v>12.621666666666526</v>
      </c>
      <c r="V76" s="160"/>
      <c r="W76" s="160"/>
      <c r="X76" s="160"/>
      <c r="Y76" s="160"/>
      <c r="Z76" s="161"/>
      <c r="AA76" s="157"/>
      <c r="AB76" s="161"/>
      <c r="AC76" s="161"/>
      <c r="AE76" s="422" t="s">
        <v>125</v>
      </c>
    </row>
    <row r="77" spans="2:31" ht="12.75" customHeight="1" x14ac:dyDescent="0.25">
      <c r="B77" s="42"/>
      <c r="D77" s="158"/>
      <c r="E77" s="154"/>
      <c r="F77" s="154"/>
      <c r="G77" s="163"/>
      <c r="H77" s="159"/>
      <c r="I77" s="159"/>
      <c r="J77" s="159"/>
      <c r="K77" s="148"/>
      <c r="L77" s="160"/>
      <c r="M77" s="160"/>
      <c r="N77" s="160"/>
      <c r="O77" s="169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1"/>
      <c r="AA77" s="157"/>
      <c r="AB77" s="161"/>
      <c r="AC77" s="161"/>
    </row>
    <row r="78" spans="2:31" ht="12.75" customHeight="1" x14ac:dyDescent="0.25">
      <c r="B78" s="42"/>
      <c r="D78" s="153" t="s">
        <v>96</v>
      </c>
      <c r="E78" s="154">
        <v>105397.34</v>
      </c>
      <c r="F78" s="154">
        <v>105807.46</v>
      </c>
      <c r="G78" s="155" t="s">
        <v>34</v>
      </c>
      <c r="H78" s="156">
        <f>F78-E78</f>
        <v>410.1200000000099</v>
      </c>
      <c r="I78" s="156">
        <v>10</v>
      </c>
      <c r="J78" s="156">
        <v>4094.9</v>
      </c>
      <c r="K78" s="148" t="str">
        <f t="shared" si="10"/>
        <v>04</v>
      </c>
      <c r="L78" s="152"/>
      <c r="M78" s="152"/>
      <c r="N78" s="152"/>
      <c r="O78" s="98"/>
      <c r="P78" s="152"/>
      <c r="Q78" s="152">
        <f>S78*0.75*14*115*0.05/2000</f>
        <v>13.734977083333336</v>
      </c>
      <c r="R78" s="152">
        <f>S78</f>
        <v>454.98888888888888</v>
      </c>
      <c r="S78" s="152">
        <f>J78/9</f>
        <v>454.98888888888888</v>
      </c>
      <c r="T78" s="152"/>
      <c r="U78" s="152">
        <f>(J78*(6/12))/27</f>
        <v>75.831481481481489</v>
      </c>
      <c r="V78" s="152"/>
      <c r="W78" s="152"/>
      <c r="X78" s="152"/>
      <c r="Y78" s="152"/>
      <c r="Z78" s="157">
        <f>(J78*(1.5/12))/27</f>
        <v>18.957870370370372</v>
      </c>
      <c r="AA78" s="157">
        <f t="shared" ref="AA78" si="13">(J78*(2.5/12))/27</f>
        <v>31.596450617283953</v>
      </c>
      <c r="AB78" s="161"/>
      <c r="AC78" s="161"/>
      <c r="AE78" s="422" t="s">
        <v>125</v>
      </c>
    </row>
    <row r="79" spans="2:31" ht="12.75" customHeight="1" x14ac:dyDescent="0.25">
      <c r="B79" s="42"/>
      <c r="D79" s="158" t="s">
        <v>71</v>
      </c>
      <c r="E79" s="154">
        <v>105397.34</v>
      </c>
      <c r="F79" s="154">
        <v>105807.46</v>
      </c>
      <c r="G79" s="163" t="s">
        <v>34</v>
      </c>
      <c r="H79" s="159">
        <f>F79-E79</f>
        <v>410.1200000000099</v>
      </c>
      <c r="I79" s="159"/>
      <c r="J79" s="159"/>
      <c r="K79" s="148" t="str">
        <f t="shared" si="10"/>
        <v>04</v>
      </c>
      <c r="L79" s="160"/>
      <c r="M79" s="160"/>
      <c r="N79" s="160"/>
      <c r="O79" s="169"/>
      <c r="P79" s="160"/>
      <c r="Q79" s="160">
        <f>S79*0.75*14*115*0.05/2000</f>
        <v>4.1268325000000994</v>
      </c>
      <c r="R79" s="160">
        <f>S79</f>
        <v>136.70666666666997</v>
      </c>
      <c r="S79" s="160">
        <f>(H79*1.5/9)*2</f>
        <v>136.70666666666997</v>
      </c>
      <c r="T79" s="160"/>
      <c r="U79" s="160">
        <f>((H79*(6/12)*(6/12))/27)*2</f>
        <v>7.5948148148149981</v>
      </c>
      <c r="V79" s="160"/>
      <c r="W79" s="160"/>
      <c r="X79" s="160"/>
      <c r="Y79" s="160"/>
      <c r="Z79" s="161"/>
      <c r="AA79" s="161"/>
      <c r="AB79" s="161"/>
      <c r="AC79" s="161"/>
      <c r="AE79" s="422" t="s">
        <v>125</v>
      </c>
    </row>
    <row r="80" spans="2:31" ht="12.75" customHeight="1" x14ac:dyDescent="0.25">
      <c r="B80" s="42"/>
      <c r="D80" s="144"/>
      <c r="E80" s="145"/>
      <c r="F80" s="145"/>
      <c r="G80" s="146"/>
      <c r="H80" s="147"/>
      <c r="I80" s="147"/>
      <c r="J80" s="147"/>
      <c r="K80" s="148"/>
      <c r="L80" s="148"/>
      <c r="M80" s="148"/>
      <c r="N80" s="148"/>
      <c r="O80" s="169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1"/>
      <c r="AA80" s="157"/>
      <c r="AB80" s="161"/>
      <c r="AC80" s="161"/>
    </row>
    <row r="81" spans="2:29" ht="12.6" customHeight="1" x14ac:dyDescent="0.25">
      <c r="B81" s="42"/>
      <c r="D81" s="183"/>
      <c r="E81" s="184"/>
      <c r="F81" s="184"/>
      <c r="G81" s="185"/>
      <c r="H81" s="186"/>
      <c r="I81" s="186"/>
      <c r="J81" s="186"/>
      <c r="K81" s="187"/>
      <c r="L81" s="187"/>
      <c r="M81" s="187"/>
      <c r="N81" s="187"/>
      <c r="O81" s="84"/>
      <c r="P81" s="187"/>
      <c r="Q81" s="187"/>
      <c r="R81" s="187"/>
      <c r="S81" s="187"/>
      <c r="T81" s="187"/>
      <c r="U81" s="188"/>
      <c r="V81" s="188"/>
      <c r="W81" s="187"/>
      <c r="X81" s="187"/>
      <c r="Y81" s="187"/>
      <c r="Z81" s="143"/>
      <c r="AA81" s="157"/>
      <c r="AB81" s="143"/>
      <c r="AC81" s="143"/>
    </row>
    <row r="82" spans="2:29" ht="12.75" customHeight="1" x14ac:dyDescent="0.25">
      <c r="B82" s="42"/>
      <c r="D82" s="153"/>
      <c r="E82" s="154"/>
      <c r="F82" s="154"/>
      <c r="G82" s="155"/>
      <c r="H82" s="156"/>
      <c r="I82" s="156"/>
      <c r="J82" s="156"/>
      <c r="K82" s="152"/>
      <c r="L82" s="152"/>
      <c r="M82" s="152"/>
      <c r="N82" s="152"/>
      <c r="O82" s="98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7"/>
      <c r="AA82" s="157"/>
      <c r="AB82" s="157"/>
      <c r="AC82" s="157"/>
    </row>
    <row r="83" spans="2:29" ht="12.75" customHeight="1" x14ac:dyDescent="0.25">
      <c r="B83" s="42"/>
      <c r="D83" s="158"/>
      <c r="E83" s="154"/>
      <c r="F83" s="154"/>
      <c r="G83" s="163"/>
      <c r="H83" s="159"/>
      <c r="I83" s="159"/>
      <c r="J83" s="159"/>
      <c r="K83" s="160"/>
      <c r="L83" s="160"/>
      <c r="M83" s="160"/>
      <c r="N83" s="160"/>
      <c r="O83" s="169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1"/>
      <c r="AA83" s="161"/>
      <c r="AB83" s="161"/>
      <c r="AC83" s="161"/>
    </row>
    <row r="84" spans="2:29" ht="12.75" customHeight="1" x14ac:dyDescent="0.25">
      <c r="B84" s="42"/>
      <c r="D84" s="144"/>
      <c r="E84" s="145"/>
      <c r="F84" s="145"/>
      <c r="G84" s="146"/>
      <c r="H84" s="147"/>
      <c r="I84" s="147"/>
      <c r="J84" s="147"/>
      <c r="K84" s="148"/>
      <c r="L84" s="148"/>
      <c r="M84" s="148"/>
      <c r="N84" s="148"/>
      <c r="O84" s="169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1"/>
      <c r="AA84" s="161"/>
      <c r="AB84" s="157"/>
      <c r="AC84" s="157"/>
    </row>
    <row r="85" spans="2:29" ht="12.75" customHeight="1" x14ac:dyDescent="0.25">
      <c r="B85" s="42"/>
      <c r="D85" s="153"/>
      <c r="E85" s="154"/>
      <c r="F85" s="154"/>
      <c r="G85" s="155"/>
      <c r="H85" s="156"/>
      <c r="I85" s="156"/>
      <c r="J85" s="156"/>
      <c r="K85" s="152"/>
      <c r="L85" s="152"/>
      <c r="M85" s="152"/>
      <c r="N85" s="152"/>
      <c r="O85" s="189"/>
      <c r="P85" s="190"/>
      <c r="Q85" s="152"/>
      <c r="R85" s="152"/>
      <c r="S85" s="152"/>
      <c r="T85" s="152"/>
      <c r="U85" s="152"/>
      <c r="V85" s="152"/>
      <c r="W85" s="152"/>
      <c r="X85" s="152"/>
      <c r="Y85" s="152"/>
      <c r="Z85" s="168"/>
      <c r="AA85" s="168"/>
      <c r="AB85" s="152"/>
      <c r="AC85" s="152"/>
    </row>
    <row r="86" spans="2:29" ht="12.75" customHeight="1" x14ac:dyDescent="0.25">
      <c r="B86" s="42"/>
      <c r="D86" s="191"/>
      <c r="E86" s="192"/>
      <c r="F86" s="192"/>
      <c r="G86" s="193"/>
      <c r="H86" s="194"/>
      <c r="I86" s="194"/>
      <c r="J86" s="194"/>
      <c r="K86" s="195"/>
      <c r="L86" s="195"/>
      <c r="M86" s="195"/>
      <c r="N86" s="195"/>
      <c r="O86" s="196"/>
      <c r="P86" s="197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</row>
    <row r="87" spans="2:29" ht="12.75" customHeight="1" thickBot="1" x14ac:dyDescent="0.3">
      <c r="B87" s="43"/>
      <c r="D87" s="243"/>
      <c r="E87" s="199"/>
      <c r="F87" s="200"/>
      <c r="G87" s="201"/>
      <c r="H87" s="201" t="str">
        <f t="shared" ref="H87:H88" si="14">IF(E87&lt;&gt;"",F87-E87,"")</f>
        <v/>
      </c>
      <c r="I87" s="128"/>
      <c r="J87" s="128"/>
      <c r="K87" s="202"/>
      <c r="L87" s="202"/>
      <c r="M87" s="202"/>
      <c r="N87" s="202"/>
      <c r="O87" s="128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</row>
    <row r="88" spans="2:29" ht="12.75" customHeight="1" thickBot="1" x14ac:dyDescent="0.3">
      <c r="D88" s="243"/>
      <c r="E88" s="203"/>
      <c r="F88" s="203"/>
      <c r="G88" s="201"/>
      <c r="H88" s="128" t="str">
        <f t="shared" si="14"/>
        <v/>
      </c>
      <c r="I88" s="128"/>
      <c r="J88" s="128"/>
      <c r="K88" s="202"/>
      <c r="L88" s="202"/>
      <c r="M88" s="202"/>
      <c r="N88" s="202"/>
      <c r="O88" s="128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29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AC89" si="15">SUM(K28:K88)</f>
        <v>0</v>
      </c>
      <c r="L89" s="136">
        <f t="shared" si="15"/>
        <v>1834.6288888888889</v>
      </c>
      <c r="M89" s="136">
        <f t="shared" si="15"/>
        <v>713.4667901234568</v>
      </c>
      <c r="N89" s="136">
        <f t="shared" si="15"/>
        <v>713.4667901234568</v>
      </c>
      <c r="O89" s="135">
        <f t="shared" si="15"/>
        <v>0.8</v>
      </c>
      <c r="P89" s="136">
        <f t="shared" si="15"/>
        <v>1834.6288888888889</v>
      </c>
      <c r="Q89" s="136">
        <f t="shared" si="15"/>
        <v>225.3399436458333</v>
      </c>
      <c r="R89" s="136">
        <f t="shared" si="15"/>
        <v>7464.6772222222216</v>
      </c>
      <c r="S89" s="136">
        <f t="shared" si="15"/>
        <v>7464.6772222222216</v>
      </c>
      <c r="T89" s="136">
        <f t="shared" si="15"/>
        <v>305.77148148148149</v>
      </c>
      <c r="U89" s="136">
        <f t="shared" si="15"/>
        <v>1381.7174999999997</v>
      </c>
      <c r="V89" s="136">
        <f t="shared" si="15"/>
        <v>0</v>
      </c>
      <c r="W89" s="136">
        <f t="shared" si="15"/>
        <v>330.23320000000001</v>
      </c>
      <c r="X89" s="136">
        <f t="shared" si="15"/>
        <v>76.442870370370372</v>
      </c>
      <c r="Y89" s="136">
        <f t="shared" si="15"/>
        <v>89.1833487654321</v>
      </c>
      <c r="Z89" s="136">
        <f t="shared" si="15"/>
        <v>247.9656481481482</v>
      </c>
      <c r="AA89" s="136">
        <f t="shared" si="15"/>
        <v>413.27608024691358</v>
      </c>
      <c r="AB89" s="136">
        <f t="shared" si="15"/>
        <v>0</v>
      </c>
      <c r="AC89" s="136">
        <f t="shared" si="15"/>
        <v>0</v>
      </c>
    </row>
    <row r="96" spans="2:29" ht="12.75" customHeight="1" x14ac:dyDescent="0.25">
      <c r="D96" s="442" t="s">
        <v>126</v>
      </c>
      <c r="E96" s="442"/>
      <c r="F96" s="442"/>
      <c r="G96" s="442"/>
      <c r="H96" s="442"/>
      <c r="I96" s="442"/>
      <c r="J96" s="442"/>
      <c r="K96" s="425"/>
      <c r="L96" s="426">
        <f t="shared" ref="L96:AC96" si="16">SUMIF($K29:$K89, 1, L29:L89)</f>
        <v>0</v>
      </c>
      <c r="M96" s="426">
        <f t="shared" si="16"/>
        <v>0</v>
      </c>
      <c r="N96" s="426">
        <f t="shared" si="16"/>
        <v>0</v>
      </c>
      <c r="O96" s="426">
        <f t="shared" si="16"/>
        <v>0</v>
      </c>
      <c r="P96" s="426">
        <f t="shared" si="16"/>
        <v>0</v>
      </c>
      <c r="Q96" s="426">
        <f t="shared" si="16"/>
        <v>0</v>
      </c>
      <c r="R96" s="426">
        <f t="shared" si="16"/>
        <v>0</v>
      </c>
      <c r="S96" s="426">
        <f t="shared" si="16"/>
        <v>0</v>
      </c>
      <c r="T96" s="426">
        <f t="shared" si="16"/>
        <v>0</v>
      </c>
      <c r="U96" s="426">
        <f t="shared" si="16"/>
        <v>0</v>
      </c>
      <c r="V96" s="426">
        <f t="shared" si="16"/>
        <v>0</v>
      </c>
      <c r="W96" s="426">
        <f t="shared" si="16"/>
        <v>0</v>
      </c>
      <c r="X96" s="426">
        <f t="shared" si="16"/>
        <v>0</v>
      </c>
      <c r="Y96" s="426">
        <f t="shared" si="16"/>
        <v>0</v>
      </c>
      <c r="Z96" s="426">
        <f t="shared" si="16"/>
        <v>0</v>
      </c>
      <c r="AA96" s="426">
        <f t="shared" si="16"/>
        <v>0</v>
      </c>
      <c r="AB96" s="426">
        <f t="shared" si="16"/>
        <v>0</v>
      </c>
      <c r="AC96" s="426">
        <f t="shared" si="16"/>
        <v>0</v>
      </c>
    </row>
    <row r="97" spans="4:29" ht="12.75" customHeight="1" x14ac:dyDescent="0.25">
      <c r="D97" s="443" t="s">
        <v>127</v>
      </c>
      <c r="E97" s="443"/>
      <c r="F97" s="443"/>
      <c r="G97" s="443"/>
      <c r="H97" s="443"/>
      <c r="I97" s="443"/>
      <c r="J97" s="443"/>
      <c r="K97" s="427"/>
      <c r="L97" s="428">
        <f t="shared" ref="L97:AC97" si="17">SUMIF($K28:$K88, 4, L28:L88)</f>
        <v>1834.6288888888889</v>
      </c>
      <c r="M97" s="428">
        <f t="shared" si="17"/>
        <v>713.4667901234568</v>
      </c>
      <c r="N97" s="428">
        <f t="shared" si="17"/>
        <v>713.4667901234568</v>
      </c>
      <c r="O97" s="428">
        <f t="shared" si="17"/>
        <v>0.8</v>
      </c>
      <c r="P97" s="428">
        <f t="shared" si="17"/>
        <v>1834.6288888888889</v>
      </c>
      <c r="Q97" s="428">
        <f t="shared" si="17"/>
        <v>225.3399436458333</v>
      </c>
      <c r="R97" s="428">
        <f t="shared" si="17"/>
        <v>7464.6772222222216</v>
      </c>
      <c r="S97" s="428">
        <f t="shared" si="17"/>
        <v>7464.6772222222216</v>
      </c>
      <c r="T97" s="428">
        <f t="shared" si="17"/>
        <v>305.77148148148149</v>
      </c>
      <c r="U97" s="428">
        <f t="shared" si="17"/>
        <v>1381.7174999999997</v>
      </c>
      <c r="V97" s="428">
        <f t="shared" si="17"/>
        <v>0</v>
      </c>
      <c r="W97" s="428">
        <f t="shared" si="17"/>
        <v>330.23320000000001</v>
      </c>
      <c r="X97" s="428">
        <f t="shared" si="17"/>
        <v>76.442870370370372</v>
      </c>
      <c r="Y97" s="428">
        <f t="shared" si="17"/>
        <v>89.1833487654321</v>
      </c>
      <c r="Z97" s="428">
        <f t="shared" si="17"/>
        <v>247.9656481481482</v>
      </c>
      <c r="AA97" s="428">
        <f t="shared" si="17"/>
        <v>413.27608024691358</v>
      </c>
      <c r="AB97" s="428">
        <f t="shared" si="17"/>
        <v>0</v>
      </c>
      <c r="AC97" s="428">
        <f t="shared" si="17"/>
        <v>0</v>
      </c>
    </row>
  </sheetData>
  <mergeCells count="31">
    <mergeCell ref="E9:AC9"/>
    <mergeCell ref="B14:B27"/>
    <mergeCell ref="D14:D27"/>
    <mergeCell ref="E14:F26"/>
    <mergeCell ref="G14:G27"/>
    <mergeCell ref="H14:H26"/>
    <mergeCell ref="I14:I26"/>
    <mergeCell ref="J14:J26"/>
    <mergeCell ref="Q15:Q26"/>
    <mergeCell ref="R15:R26"/>
    <mergeCell ref="AC15:AC26"/>
    <mergeCell ref="N15:N26"/>
    <mergeCell ref="P15:P26"/>
    <mergeCell ref="K14:K27"/>
    <mergeCell ref="AB15:AB26"/>
    <mergeCell ref="O15:O26"/>
    <mergeCell ref="AA15:AA26"/>
    <mergeCell ref="S15:S26"/>
    <mergeCell ref="T15:T26"/>
    <mergeCell ref="W15:W26"/>
    <mergeCell ref="X15:X26"/>
    <mergeCell ref="Y15:Y26"/>
    <mergeCell ref="U15:U26"/>
    <mergeCell ref="V15:V26"/>
    <mergeCell ref="D96:J96"/>
    <mergeCell ref="D97:J97"/>
    <mergeCell ref="D89:J89"/>
    <mergeCell ref="E29:F29"/>
    <mergeCell ref="Z15:Z26"/>
    <mergeCell ref="L15:L26"/>
    <mergeCell ref="M15:M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AF81-2FFE-4BBA-8138-0AA45C5F7D54}">
  <sheetPr>
    <pageSetUpPr fitToPage="1"/>
  </sheetPr>
  <dimension ref="A1:AW94"/>
  <sheetViews>
    <sheetView showGridLines="0" topLeftCell="A57" zoomScale="80" zoomScaleNormal="80" workbookViewId="0">
      <selection activeCell="L94" sqref="L94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49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34"/>
      <c r="O1" s="34"/>
      <c r="P1" s="34"/>
      <c r="Q1" s="2"/>
      <c r="R1" s="2"/>
      <c r="S1" s="2"/>
      <c r="T1" s="34"/>
      <c r="U1" s="34"/>
      <c r="V1" s="34"/>
      <c r="W1" s="34"/>
      <c r="X1" s="34"/>
      <c r="Y1" s="34"/>
      <c r="Z1" s="34"/>
      <c r="AA1" s="34"/>
      <c r="AB1" s="34"/>
      <c r="AC1" s="2"/>
    </row>
    <row r="2" spans="1:49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34"/>
      <c r="O2" s="34"/>
      <c r="P2" s="34"/>
      <c r="Q2" s="2"/>
      <c r="R2" s="2"/>
      <c r="S2" s="2"/>
      <c r="T2" s="34"/>
      <c r="U2" s="34"/>
      <c r="V2" s="34"/>
      <c r="W2" s="34"/>
      <c r="X2" s="34"/>
      <c r="Y2" s="34"/>
      <c r="Z2" s="34"/>
      <c r="AA2" s="34"/>
      <c r="AB2" s="34"/>
      <c r="AC2" s="2"/>
    </row>
    <row r="3" spans="1:49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3"/>
      <c r="O3" s="3"/>
      <c r="P3" s="3"/>
      <c r="Q3" s="2"/>
      <c r="R3" s="2"/>
      <c r="S3" s="2"/>
      <c r="T3" s="3"/>
      <c r="U3" s="3"/>
      <c r="V3" s="3"/>
      <c r="W3" s="3"/>
      <c r="X3" s="3"/>
      <c r="Y3" s="3"/>
      <c r="Z3" s="3"/>
      <c r="AA3" s="3"/>
      <c r="AB3" s="3"/>
      <c r="AC3" s="2"/>
    </row>
    <row r="4" spans="1:49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3"/>
      <c r="O4" s="3"/>
      <c r="P4" s="3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2"/>
    </row>
    <row r="5" spans="1:49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3"/>
      <c r="O5" s="3"/>
      <c r="P5" s="3"/>
      <c r="Q5" s="2"/>
      <c r="R5" s="2"/>
      <c r="S5" s="2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1:49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3"/>
      <c r="O6" s="3"/>
      <c r="P6" s="3"/>
      <c r="Q6" s="2"/>
      <c r="R6" s="2"/>
      <c r="S6" s="2"/>
      <c r="T6" s="3"/>
      <c r="U6" s="3"/>
      <c r="V6" s="3"/>
      <c r="W6" s="3"/>
      <c r="X6" s="3"/>
      <c r="Y6" s="3"/>
      <c r="Z6" s="3"/>
      <c r="AA6" s="3"/>
      <c r="AB6" s="3"/>
      <c r="AC6" s="2"/>
    </row>
    <row r="7" spans="1:49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3"/>
      <c r="O7" s="3"/>
      <c r="P7" s="3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2"/>
    </row>
    <row r="8" spans="1:49" ht="12.75" customHeight="1" thickBot="1" x14ac:dyDescent="0.3"/>
    <row r="9" spans="1:49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49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36</v>
      </c>
      <c r="M10" s="38" t="s">
        <v>37</v>
      </c>
      <c r="N10" s="38" t="s">
        <v>87</v>
      </c>
      <c r="O10" s="38" t="s">
        <v>39</v>
      </c>
      <c r="P10" s="38" t="s">
        <v>73</v>
      </c>
      <c r="Q10" s="38" t="s">
        <v>88</v>
      </c>
      <c r="R10" s="38" t="s">
        <v>89</v>
      </c>
      <c r="S10" s="38" t="s">
        <v>80</v>
      </c>
      <c r="T10" s="38" t="s">
        <v>41</v>
      </c>
      <c r="U10" s="38" t="s">
        <v>42</v>
      </c>
      <c r="V10" s="38" t="s">
        <v>42</v>
      </c>
      <c r="W10" s="38" t="s">
        <v>56</v>
      </c>
      <c r="X10" s="38" t="s">
        <v>74</v>
      </c>
      <c r="Y10" s="38" t="s">
        <v>75</v>
      </c>
      <c r="Z10" s="38" t="s">
        <v>81</v>
      </c>
      <c r="AA10" s="38" t="s">
        <v>83</v>
      </c>
      <c r="AB10" s="38" t="s">
        <v>77</v>
      </c>
      <c r="AC10" s="38" t="s">
        <v>116</v>
      </c>
    </row>
    <row r="11" spans="1:49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 t="s">
        <v>102</v>
      </c>
      <c r="N11" s="58"/>
      <c r="O11" s="58"/>
      <c r="P11" s="58"/>
      <c r="Q11" s="58"/>
      <c r="R11" s="58"/>
      <c r="S11" s="58"/>
      <c r="T11" s="58" t="s">
        <v>90</v>
      </c>
      <c r="U11" s="58" t="s">
        <v>90</v>
      </c>
      <c r="V11" s="58" t="s">
        <v>119</v>
      </c>
      <c r="W11" s="58" t="s">
        <v>79</v>
      </c>
      <c r="X11" s="58"/>
      <c r="Y11" s="58"/>
      <c r="Z11" s="58"/>
      <c r="AA11" s="58"/>
      <c r="AB11" s="58"/>
      <c r="AC11" s="58" t="s">
        <v>115</v>
      </c>
    </row>
    <row r="12" spans="1:49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29</v>
      </c>
      <c r="N12" s="60">
        <v>31</v>
      </c>
      <c r="O12" s="60">
        <v>2</v>
      </c>
      <c r="P12" s="60">
        <v>30</v>
      </c>
      <c r="Q12" s="60">
        <v>3</v>
      </c>
      <c r="R12" s="60">
        <v>3</v>
      </c>
      <c r="S12" s="60">
        <v>3</v>
      </c>
      <c r="T12" s="60">
        <v>4</v>
      </c>
      <c r="U12" s="60">
        <v>5</v>
      </c>
      <c r="V12" s="60">
        <v>23</v>
      </c>
      <c r="W12" s="60">
        <v>6</v>
      </c>
      <c r="X12" s="60">
        <v>7</v>
      </c>
      <c r="Y12" s="60">
        <v>8</v>
      </c>
      <c r="Z12" s="60">
        <v>9</v>
      </c>
      <c r="AA12" s="60">
        <v>10</v>
      </c>
      <c r="AB12" s="60">
        <v>12</v>
      </c>
      <c r="AC12" s="60"/>
    </row>
    <row r="13" spans="1:49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/>
      <c r="M13" s="59"/>
      <c r="N13" s="59"/>
      <c r="O13" s="61"/>
      <c r="P13" s="61"/>
      <c r="Q13" s="61"/>
      <c r="R13" s="61"/>
      <c r="S13" s="61"/>
      <c r="T13" s="61"/>
      <c r="U13" s="61" t="s">
        <v>43</v>
      </c>
      <c r="V13" s="61" t="s">
        <v>118</v>
      </c>
      <c r="W13" s="61"/>
      <c r="X13" s="61" t="s">
        <v>66</v>
      </c>
      <c r="Y13" s="61" t="s">
        <v>55</v>
      </c>
      <c r="Z13" s="61" t="s">
        <v>66</v>
      </c>
      <c r="AA13" s="61" t="s">
        <v>82</v>
      </c>
      <c r="AB13" s="61"/>
      <c r="AC13" s="61"/>
      <c r="AG13" s="52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</row>
    <row r="14" spans="1:49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62" t="str">
        <f t="shared" ref="L14:AC14" si="0">IF(OR(TRIM(L10)=0,TRIM(L10)=""),"",IF(IFERROR(TRIM(INDEX(QryItemNamed,MATCH(TRIM(L10),ITEM,0),2)),"")="Y","SPECIAL",LEFT(IFERROR(TRIM(INDEX(ITEM,MATCH(TRIM(L10),ITEM,0))),""),3)))</f>
        <v>204</v>
      </c>
      <c r="M14" s="62" t="str">
        <f t="shared" si="0"/>
        <v>204</v>
      </c>
      <c r="N14" s="62" t="str">
        <f t="shared" si="0"/>
        <v>204</v>
      </c>
      <c r="O14" s="62" t="str">
        <f t="shared" si="0"/>
        <v>204</v>
      </c>
      <c r="P14" s="62" t="str">
        <f t="shared" si="0"/>
        <v>204</v>
      </c>
      <c r="Q14" s="62" t="str">
        <f t="shared" si="0"/>
        <v>206</v>
      </c>
      <c r="R14" s="62" t="str">
        <f t="shared" si="0"/>
        <v>206</v>
      </c>
      <c r="S14" s="62" t="str">
        <f t="shared" si="0"/>
        <v>206</v>
      </c>
      <c r="T14" s="62" t="str">
        <f t="shared" si="0"/>
        <v>301</v>
      </c>
      <c r="U14" s="62" t="str">
        <f t="shared" si="0"/>
        <v>304</v>
      </c>
      <c r="V14" s="62" t="str">
        <f t="shared" si="0"/>
        <v>304</v>
      </c>
      <c r="W14" s="62" t="str">
        <f t="shared" si="0"/>
        <v>407</v>
      </c>
      <c r="X14" s="62" t="str">
        <f t="shared" si="0"/>
        <v>442</v>
      </c>
      <c r="Y14" s="62" t="str">
        <f t="shared" si="0"/>
        <v>442</v>
      </c>
      <c r="Z14" s="62" t="str">
        <f t="shared" si="0"/>
        <v>442</v>
      </c>
      <c r="AA14" s="62" t="str">
        <f>IF(OR(TRIM(AA10)=0,TRIM(AA10)=""),"",IF(IFERROR(TRIM(INDEX(QryItemNamed,MATCH(TRIM(AA10),ITEM,0),2)),"")="Y","SPECIAL",LEFT(IFERROR(TRIM(INDEX(ITEM,MATCH(TRIM(AA10),ITEM,0))),""),3)))</f>
        <v>442</v>
      </c>
      <c r="AB14" s="62" t="str">
        <f t="shared" si="0"/>
        <v>452</v>
      </c>
      <c r="AC14" s="62" t="str">
        <f t="shared" si="0"/>
        <v>SPECIAL</v>
      </c>
      <c r="AG14" s="53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</row>
    <row r="15" spans="1:49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48" t="str">
        <f t="shared" ref="L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SUBGRADE COMPACTION</v>
      </c>
      <c r="M15" s="448" t="str">
        <f t="shared" ref="M15:N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EXCAVATION OF SUBGRADE (14" DEEP)</v>
      </c>
      <c r="N15" s="448" t="str">
        <f t="shared" si="2"/>
        <v>GRANULAR MATERIAL, TYPE B</v>
      </c>
      <c r="O15" s="448" t="str">
        <f t="shared" ref="O15:AC15" si="3">IF(OR(TRIM(O10)=0,TRIM(O10)=""),IF(O11="","",O11),IF(IFERROR(TRIM(INDEX(QryItemNamed,MATCH(TRIM(O10),ITEM,0),2)),"")="Y",TRIM(RIGHT(IFERROR(TRIM(INDEX(QryItemNamed,MATCH(TRIM(O10),ITEM,0),4)),"123456789012"),LEN(IFERROR(TRIM(INDEX(QryItemNamed,MATCH(TRIM(O10),ITEM,0),4)),"123456789012"))-9))&amp;O11,IFERROR(TRIM(INDEX(QryItemNamed,MATCH(TRIM(O10),ITEM,0),4))&amp;O11,"ITEM CODE DOES NOT EXIST IN ITEM MASTER")))</f>
        <v>PROOF ROLLING</v>
      </c>
      <c r="P15" s="448" t="str">
        <f t="shared" ref="P15" si="4">IF(OR(TRIM(P10)=0,TRIM(P10)=""),IF(P11="","",P11),IF(IFERROR(TRIM(INDEX(QryItemNamed,MATCH(TRIM(P10),ITEM,0),2)),"")="Y",TRIM(RIGHT(IFERROR(TRIM(INDEX(QryItemNamed,MATCH(TRIM(P10),ITEM,0),4)),"123456789012"),LEN(IFERROR(TRIM(INDEX(QryItemNamed,MATCH(TRIM(P10),ITEM,0),4)),"123456789012"))-9))&amp;P11,IFERROR(TRIM(INDEX(QryItemNamed,MATCH(TRIM(P10),ITEM,0),4))&amp;P11,"ITEM CODE DOES NOT EXIST IN ITEM MASTER")))</f>
        <v>GEOGRID</v>
      </c>
      <c r="Q15" s="448" t="str">
        <f t="shared" si="3"/>
        <v>CEMENT</v>
      </c>
      <c r="R15" s="448" t="str">
        <f t="shared" si="3"/>
        <v>CURING COAT</v>
      </c>
      <c r="S15" s="448" t="str">
        <f t="shared" si="3"/>
        <v>CEMENT STABILIZED SUBGRADE, 14 INCHES DEEP</v>
      </c>
      <c r="T15" s="448" t="str">
        <f t="shared" si="3"/>
        <v>ASPHALT CONCRETE BASE, PG64-22, (449) (6")</v>
      </c>
      <c r="U15" s="448" t="str">
        <f t="shared" si="3"/>
        <v>AGGREGATE BASE (6")</v>
      </c>
      <c r="V15" s="448" t="str">
        <f t="shared" si="3"/>
        <v>AGGREGATE BASE (15.25")</v>
      </c>
      <c r="W15" s="448" t="str">
        <f t="shared" si="3"/>
        <v>NON-TRACKING TACK COAT (@0.09 GAL/SY)</v>
      </c>
      <c r="X15" s="448" t="str">
        <f t="shared" si="3"/>
        <v>ASPHALT CONCRETE SURFACE COURSE, 12.5 MM, TYPE A (446), AS PER PLAN</v>
      </c>
      <c r="Y15" s="448" t="str">
        <f t="shared" si="3"/>
        <v>ASPHALT CONCRETE INTERMEDIATE COURSE, 12.5 MM, TYPE A (448), AS PER PLAN</v>
      </c>
      <c r="Z15" s="448" t="str">
        <f t="shared" si="3"/>
        <v>ASPHALT CONCRETE SURFACE COURSE, 9.5 MM, TYPE A (449), AS PER PLAN</v>
      </c>
      <c r="AA15" s="448" t="str">
        <f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>ASPHALT CONCRETE INTERMEDIATE COURSE, 19 MM, TYPE A (449), AS PER PLAN</v>
      </c>
      <c r="AB15" s="448" t="str">
        <f t="shared" si="3"/>
        <v>6" NON-REINFORCED CONCRETE PAVEMENT, CLASS QC 1P, AS PER PLAN</v>
      </c>
      <c r="AC15" s="448" t="str">
        <f t="shared" si="3"/>
        <v>GRASS PAVERS</v>
      </c>
      <c r="AG15" s="53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</row>
    <row r="16" spans="1:49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G16" s="53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5"/>
      <c r="L27" s="63" t="str">
        <f t="shared" ref="L27:AC27" si="5">IF(OR(TRIM(L10)=0,TRIM(L10)=""),"",IF(IFERROR(TRIM(INDEX(QryItemNamed,MATCH(TRIM(L10),ITEM,0),3)),"")="LS","",IFERROR(TRIM(INDEX(QryItemNamed,MATCH(TRIM(L10),ITEM,0),3)),"")))</f>
        <v>SY</v>
      </c>
      <c r="M27" s="63" t="str">
        <f t="shared" si="5"/>
        <v>CY</v>
      </c>
      <c r="N27" s="63" t="str">
        <f t="shared" si="5"/>
        <v>CY</v>
      </c>
      <c r="O27" s="63" t="str">
        <f t="shared" si="5"/>
        <v>HOUR</v>
      </c>
      <c r="P27" s="63" t="str">
        <f t="shared" si="5"/>
        <v>SY</v>
      </c>
      <c r="Q27" s="63" t="str">
        <f t="shared" si="5"/>
        <v>TON</v>
      </c>
      <c r="R27" s="63" t="str">
        <f t="shared" si="5"/>
        <v>SY</v>
      </c>
      <c r="S27" s="63" t="str">
        <f t="shared" si="5"/>
        <v>SY</v>
      </c>
      <c r="T27" s="63" t="str">
        <f t="shared" si="5"/>
        <v>CY</v>
      </c>
      <c r="U27" s="63" t="str">
        <f t="shared" si="5"/>
        <v>CY</v>
      </c>
      <c r="V27" s="63" t="str">
        <f t="shared" si="5"/>
        <v>CY</v>
      </c>
      <c r="W27" s="63" t="str">
        <f t="shared" si="5"/>
        <v>GAL</v>
      </c>
      <c r="X27" s="63" t="str">
        <f t="shared" si="5"/>
        <v>CY</v>
      </c>
      <c r="Y27" s="63" t="str">
        <f t="shared" si="5"/>
        <v>CY</v>
      </c>
      <c r="Z27" s="63" t="str">
        <f t="shared" si="5"/>
        <v>CY</v>
      </c>
      <c r="AA27" s="63" t="str">
        <f t="shared" si="5"/>
        <v>CY</v>
      </c>
      <c r="AB27" s="63" t="str">
        <f t="shared" si="5"/>
        <v>SY</v>
      </c>
      <c r="AC27" s="63" t="str">
        <f t="shared" si="5"/>
        <v>SY</v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204"/>
      <c r="L28" s="204"/>
      <c r="M28" s="204"/>
      <c r="N28" s="204"/>
      <c r="O28" s="66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</row>
    <row r="29" spans="2:31" ht="12.75" customHeight="1" x14ac:dyDescent="0.25">
      <c r="B29" s="42"/>
      <c r="D29" s="242"/>
      <c r="E29" s="447" t="s">
        <v>105</v>
      </c>
      <c r="F29" s="447"/>
      <c r="G29" s="142"/>
      <c r="H29" s="123"/>
      <c r="I29" s="123"/>
      <c r="J29" s="123"/>
      <c r="K29" s="143"/>
      <c r="L29" s="143"/>
      <c r="M29" s="143"/>
      <c r="N29" s="143"/>
      <c r="O29" s="12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</row>
    <row r="30" spans="2:31" ht="12.75" customHeight="1" x14ac:dyDescent="0.25">
      <c r="B30" s="42"/>
      <c r="D30" s="153" t="s">
        <v>96</v>
      </c>
      <c r="E30" s="154">
        <v>109417.91</v>
      </c>
      <c r="F30" s="154">
        <v>109822.45</v>
      </c>
      <c r="G30" s="155" t="s">
        <v>34</v>
      </c>
      <c r="H30" s="156">
        <f>F30-E30</f>
        <v>404.5399999999936</v>
      </c>
      <c r="I30" s="156">
        <v>10</v>
      </c>
      <c r="J30" s="156">
        <v>4045.43</v>
      </c>
      <c r="K30" s="152" t="str">
        <f>AE30</f>
        <v>04</v>
      </c>
      <c r="L30" s="152"/>
      <c r="M30" s="152"/>
      <c r="N30" s="152"/>
      <c r="O30" s="98"/>
      <c r="P30" s="152"/>
      <c r="Q30" s="152">
        <f>S30*0.75*14*115*0.05/2000</f>
        <v>13.569046458333332</v>
      </c>
      <c r="R30" s="152">
        <f>S30</f>
        <v>449.49222222222221</v>
      </c>
      <c r="S30" s="152">
        <f>J30/9</f>
        <v>449.49222222222221</v>
      </c>
      <c r="T30" s="152"/>
      <c r="U30" s="152">
        <f>(J30*(6/12))/27</f>
        <v>74.915370370370368</v>
      </c>
      <c r="V30" s="152"/>
      <c r="W30" s="152"/>
      <c r="X30" s="157"/>
      <c r="Y30" s="157"/>
      <c r="Z30" s="157">
        <f>(J30*(1.5/12))/27</f>
        <v>18.728842592592592</v>
      </c>
      <c r="AA30" s="157">
        <f>(J30*(2.5/12))/27</f>
        <v>31.214737654320988</v>
      </c>
      <c r="AB30" s="143"/>
      <c r="AC30" s="143"/>
      <c r="AE30" s="423" t="s">
        <v>125</v>
      </c>
    </row>
    <row r="31" spans="2:31" ht="12.75" customHeight="1" x14ac:dyDescent="0.25">
      <c r="B31" s="42"/>
      <c r="D31" s="158" t="s">
        <v>71</v>
      </c>
      <c r="E31" s="154">
        <f>E30</f>
        <v>109417.91</v>
      </c>
      <c r="F31" s="154">
        <f>F30</f>
        <v>109822.45</v>
      </c>
      <c r="G31" s="155" t="s">
        <v>34</v>
      </c>
      <c r="H31" s="159">
        <f>F31-E31</f>
        <v>404.5399999999936</v>
      </c>
      <c r="I31" s="159"/>
      <c r="J31" s="159"/>
      <c r="K31" s="152" t="str">
        <f t="shared" ref="K31:K67" si="6">AE31</f>
        <v>04</v>
      </c>
      <c r="L31" s="160"/>
      <c r="M31" s="160"/>
      <c r="N31" s="160"/>
      <c r="O31" s="169"/>
      <c r="P31" s="160"/>
      <c r="Q31" s="160">
        <f>S31*0.75*14*115*0.05/2000</f>
        <v>4.0706837499999358</v>
      </c>
      <c r="R31" s="160">
        <f>S31</f>
        <v>134.84666666666453</v>
      </c>
      <c r="S31" s="160">
        <f>(H31*1.5/9)*2</f>
        <v>134.84666666666453</v>
      </c>
      <c r="T31" s="160"/>
      <c r="U31" s="160">
        <f>((H31*(6/12)*(6/12))/27)*2</f>
        <v>7.4914814814813626</v>
      </c>
      <c r="V31" s="160"/>
      <c r="W31" s="160"/>
      <c r="X31" s="157"/>
      <c r="Y31" s="157"/>
      <c r="Z31" s="157"/>
      <c r="AA31" s="157"/>
      <c r="AB31" s="143"/>
      <c r="AC31" s="143"/>
      <c r="AE31" s="423" t="s">
        <v>125</v>
      </c>
    </row>
    <row r="32" spans="2:31" ht="12.75" customHeight="1" x14ac:dyDescent="0.25">
      <c r="B32" s="42"/>
      <c r="D32" s="153"/>
      <c r="E32" s="154"/>
      <c r="F32" s="154"/>
      <c r="G32" s="155"/>
      <c r="H32" s="156"/>
      <c r="I32" s="156"/>
      <c r="J32" s="156"/>
      <c r="K32" s="152"/>
      <c r="L32" s="152"/>
      <c r="M32" s="152"/>
      <c r="N32" s="152"/>
      <c r="O32" s="98"/>
      <c r="P32" s="152"/>
      <c r="Q32" s="152"/>
      <c r="R32" s="152"/>
      <c r="S32" s="152"/>
      <c r="T32" s="152"/>
      <c r="U32" s="168"/>
      <c r="V32" s="143"/>
      <c r="W32" s="152"/>
      <c r="X32" s="157"/>
      <c r="Y32" s="157"/>
      <c r="Z32" s="157"/>
      <c r="AA32" s="157"/>
      <c r="AB32" s="143"/>
      <c r="AC32" s="143"/>
    </row>
    <row r="33" spans="2:31" ht="12.75" customHeight="1" x14ac:dyDescent="0.25">
      <c r="B33" s="42"/>
      <c r="D33" s="153" t="s">
        <v>96</v>
      </c>
      <c r="E33" s="154">
        <v>109822.45</v>
      </c>
      <c r="F33" s="154">
        <v>109908.44</v>
      </c>
      <c r="G33" s="155" t="s">
        <v>34</v>
      </c>
      <c r="H33" s="156">
        <f>F33-E33</f>
        <v>85.990000000005239</v>
      </c>
      <c r="I33" s="156">
        <v>10</v>
      </c>
      <c r="J33" s="156">
        <v>9085.7999999999993</v>
      </c>
      <c r="K33" s="152" t="str">
        <f t="shared" si="6"/>
        <v>04</v>
      </c>
      <c r="L33" s="152"/>
      <c r="M33" s="152"/>
      <c r="N33" s="152"/>
      <c r="O33" s="98"/>
      <c r="P33" s="152"/>
      <c r="Q33" s="152">
        <f>S33*0.75*14*115*0.05/2000</f>
        <v>30.475287500000004</v>
      </c>
      <c r="R33" s="152">
        <f>S33</f>
        <v>1009.5333333333333</v>
      </c>
      <c r="S33" s="152">
        <f>J33/9</f>
        <v>1009.5333333333333</v>
      </c>
      <c r="T33" s="152"/>
      <c r="U33" s="152">
        <f>(J33*(6/12))/27</f>
        <v>168.25555555555553</v>
      </c>
      <c r="V33" s="157"/>
      <c r="W33" s="152"/>
      <c r="X33" s="157"/>
      <c r="Y33" s="157"/>
      <c r="Z33" s="157">
        <f>(J33*(1.5/12))/27</f>
        <v>42.063888888888883</v>
      </c>
      <c r="AA33" s="157">
        <f>(J33*(2.5/12))/27</f>
        <v>70.106481481481481</v>
      </c>
      <c r="AB33" s="143"/>
      <c r="AC33" s="143"/>
      <c r="AE33" s="423" t="s">
        <v>125</v>
      </c>
    </row>
    <row r="34" spans="2:31" ht="12.75" customHeight="1" x14ac:dyDescent="0.25">
      <c r="B34" s="42"/>
      <c r="D34" s="158" t="s">
        <v>71</v>
      </c>
      <c r="E34" s="162">
        <f>E33</f>
        <v>109822.45</v>
      </c>
      <c r="F34" s="162">
        <f>F33</f>
        <v>109908.44</v>
      </c>
      <c r="G34" s="155" t="s">
        <v>32</v>
      </c>
      <c r="H34" s="159">
        <f>F34-E34</f>
        <v>85.990000000005239</v>
      </c>
      <c r="I34" s="159"/>
      <c r="J34" s="159"/>
      <c r="K34" s="152" t="str">
        <f t="shared" si="6"/>
        <v>04</v>
      </c>
      <c r="L34" s="160"/>
      <c r="M34" s="160"/>
      <c r="N34" s="160"/>
      <c r="O34" s="169"/>
      <c r="P34" s="160"/>
      <c r="Q34" s="160">
        <f>S34*0.75*14*115*0.05/2000</f>
        <v>0.43263718750002633</v>
      </c>
      <c r="R34" s="160">
        <f>S34</f>
        <v>14.331666666667539</v>
      </c>
      <c r="S34" s="160">
        <f>(H34*1.5/9)</f>
        <v>14.331666666667539</v>
      </c>
      <c r="T34" s="160"/>
      <c r="U34" s="160">
        <f>((H34*(6/12)*(6/12))/27)*2</f>
        <v>1.5924074074075045</v>
      </c>
      <c r="V34" s="161"/>
      <c r="W34" s="160"/>
      <c r="X34" s="157"/>
      <c r="Y34" s="157"/>
      <c r="Z34" s="161"/>
      <c r="AA34" s="161"/>
      <c r="AB34" s="161"/>
      <c r="AC34" s="161"/>
      <c r="AE34" s="423" t="s">
        <v>125</v>
      </c>
    </row>
    <row r="35" spans="2:31" ht="12.75" customHeight="1" x14ac:dyDescent="0.25">
      <c r="B35" s="42"/>
      <c r="D35" s="158"/>
      <c r="E35" s="162"/>
      <c r="F35" s="162"/>
      <c r="G35" s="155"/>
      <c r="H35" s="159"/>
      <c r="I35" s="159"/>
      <c r="J35" s="159"/>
      <c r="K35" s="152"/>
      <c r="L35" s="160"/>
      <c r="M35" s="160"/>
      <c r="N35" s="160"/>
      <c r="O35" s="169"/>
      <c r="P35" s="160"/>
      <c r="Q35" s="160"/>
      <c r="R35" s="160"/>
      <c r="S35" s="160"/>
      <c r="T35" s="160"/>
      <c r="U35" s="160"/>
      <c r="V35" s="161"/>
      <c r="W35" s="160"/>
      <c r="X35" s="157"/>
      <c r="Y35" s="157"/>
      <c r="Z35" s="161"/>
      <c r="AA35" s="161"/>
      <c r="AB35" s="161"/>
      <c r="AC35" s="161"/>
    </row>
    <row r="36" spans="2:31" ht="12.75" customHeight="1" x14ac:dyDescent="0.25">
      <c r="B36" s="42"/>
      <c r="D36" s="153" t="s">
        <v>96</v>
      </c>
      <c r="E36" s="154">
        <v>109922.1</v>
      </c>
      <c r="F36" s="154">
        <v>110745.4</v>
      </c>
      <c r="G36" s="155" t="s">
        <v>34</v>
      </c>
      <c r="H36" s="156">
        <f>F36-E36</f>
        <v>823.29999999998836</v>
      </c>
      <c r="I36" s="156">
        <v>10</v>
      </c>
      <c r="J36" s="156">
        <v>9085.7999999999993</v>
      </c>
      <c r="K36" s="152" t="str">
        <f t="shared" si="6"/>
        <v>04</v>
      </c>
      <c r="L36" s="152"/>
      <c r="M36" s="152"/>
      <c r="N36" s="152"/>
      <c r="O36" s="98"/>
      <c r="P36" s="152"/>
      <c r="Q36" s="152">
        <f>S36*0.75*14*115*0.05/2000</f>
        <v>30.475287500000004</v>
      </c>
      <c r="R36" s="152">
        <f>S36</f>
        <v>1009.5333333333333</v>
      </c>
      <c r="S36" s="152">
        <f>J36/9</f>
        <v>1009.5333333333333</v>
      </c>
      <c r="T36" s="152"/>
      <c r="U36" s="152">
        <f>(J36*(6/12))/27</f>
        <v>168.25555555555553</v>
      </c>
      <c r="V36" s="157"/>
      <c r="W36" s="152"/>
      <c r="X36" s="157"/>
      <c r="Y36" s="157"/>
      <c r="Z36" s="157">
        <f>(J36*(1.5/12))/27</f>
        <v>42.063888888888883</v>
      </c>
      <c r="AA36" s="157">
        <f>(J36*(2.5/12))/27</f>
        <v>70.106481481481481</v>
      </c>
      <c r="AB36" s="143"/>
      <c r="AC36" s="143"/>
      <c r="AE36" s="423" t="s">
        <v>125</v>
      </c>
    </row>
    <row r="37" spans="2:31" ht="12.75" customHeight="1" x14ac:dyDescent="0.25">
      <c r="B37" s="42"/>
      <c r="D37" s="158" t="s">
        <v>71</v>
      </c>
      <c r="E37" s="162">
        <f>E36</f>
        <v>109922.1</v>
      </c>
      <c r="F37" s="162">
        <f>F36</f>
        <v>110745.4</v>
      </c>
      <c r="G37" s="155" t="s">
        <v>34</v>
      </c>
      <c r="H37" s="159">
        <f>F37-E37</f>
        <v>823.29999999998836</v>
      </c>
      <c r="I37" s="159"/>
      <c r="J37" s="159"/>
      <c r="K37" s="152" t="str">
        <f t="shared" si="6"/>
        <v>04</v>
      </c>
      <c r="L37" s="160"/>
      <c r="M37" s="160"/>
      <c r="N37" s="160"/>
      <c r="O37" s="169"/>
      <c r="P37" s="160"/>
      <c r="Q37" s="160">
        <f>S37*0.75*14*115*0.05/2000</f>
        <v>4.1422281249999422</v>
      </c>
      <c r="R37" s="160">
        <f>S37</f>
        <v>137.21666666666474</v>
      </c>
      <c r="S37" s="160">
        <f>(H37*1.5/9)</f>
        <v>137.21666666666474</v>
      </c>
      <c r="T37" s="160"/>
      <c r="U37" s="160">
        <f>((H37*(6/12)*(6/12))/27)*2</f>
        <v>15.24629629629608</v>
      </c>
      <c r="V37" s="161"/>
      <c r="W37" s="160"/>
      <c r="X37" s="157"/>
      <c r="Y37" s="157"/>
      <c r="Z37" s="161"/>
      <c r="AA37" s="161"/>
      <c r="AB37" s="161"/>
      <c r="AC37" s="161"/>
      <c r="AE37" s="423" t="s">
        <v>125</v>
      </c>
    </row>
    <row r="38" spans="2:31" ht="12.75" customHeight="1" x14ac:dyDescent="0.25">
      <c r="B38" s="42"/>
      <c r="D38" s="153"/>
      <c r="E38" s="154"/>
      <c r="F38" s="154"/>
      <c r="G38" s="155"/>
      <c r="H38" s="156"/>
      <c r="I38" s="156"/>
      <c r="J38" s="156"/>
      <c r="K38" s="152"/>
      <c r="L38" s="152"/>
      <c r="M38" s="152"/>
      <c r="N38" s="152"/>
      <c r="O38" s="98"/>
      <c r="P38" s="152"/>
      <c r="Q38" s="152"/>
      <c r="R38" s="152"/>
      <c r="S38" s="152"/>
      <c r="T38" s="152"/>
      <c r="U38" s="168"/>
      <c r="V38" s="143"/>
      <c r="W38" s="152"/>
      <c r="X38" s="157"/>
      <c r="Y38" s="157"/>
      <c r="Z38" s="143"/>
      <c r="AA38" s="143"/>
      <c r="AB38" s="143"/>
      <c r="AC38" s="143"/>
    </row>
    <row r="39" spans="2:31" ht="12.75" customHeight="1" x14ac:dyDescent="0.25">
      <c r="B39" s="42"/>
      <c r="D39" s="144" t="s">
        <v>27</v>
      </c>
      <c r="E39" s="145">
        <v>109822.45</v>
      </c>
      <c r="F39" s="145">
        <v>110812.68</v>
      </c>
      <c r="G39" s="146" t="s">
        <v>34</v>
      </c>
      <c r="H39" s="147">
        <f>F39-E39</f>
        <v>990.22999999999593</v>
      </c>
      <c r="I39" s="147">
        <f>J39/H39</f>
        <v>7.4588731910768509</v>
      </c>
      <c r="J39" s="147">
        <v>7386</v>
      </c>
      <c r="K39" s="152" t="str">
        <f t="shared" si="6"/>
        <v>04</v>
      </c>
      <c r="L39" s="148">
        <f>J39/9</f>
        <v>820.66666666666663</v>
      </c>
      <c r="M39" s="148">
        <f>(J39*(14/12))/27</f>
        <v>319.14814814814815</v>
      </c>
      <c r="N39" s="148">
        <f>M39</f>
        <v>319.14814814814815</v>
      </c>
      <c r="O39" s="106">
        <f>J39/9/2000</f>
        <v>0.41033333333333333</v>
      </c>
      <c r="P39" s="148">
        <f>L39</f>
        <v>820.66666666666663</v>
      </c>
      <c r="Q39" s="149"/>
      <c r="R39" s="149"/>
      <c r="S39" s="149"/>
      <c r="T39" s="149">
        <f>(J39*(6/12))/27</f>
        <v>136.77777777777777</v>
      </c>
      <c r="U39" s="152">
        <f t="shared" ref="U39" si="7">(J39*(6/12))/27</f>
        <v>136.77777777777777</v>
      </c>
      <c r="V39" s="205"/>
      <c r="W39" s="205">
        <f t="shared" ref="W39:W54" si="8">(J39/9)*0.09*2</f>
        <v>147.72</v>
      </c>
      <c r="X39" s="205">
        <f>(J39*(1.5/12))/27</f>
        <v>34.194444444444443</v>
      </c>
      <c r="Y39" s="205">
        <f>(J39*(1.75/12))/27</f>
        <v>39.893518518518519</v>
      </c>
      <c r="Z39" s="161"/>
      <c r="AA39" s="161"/>
      <c r="AB39" s="143"/>
      <c r="AC39" s="143"/>
      <c r="AE39" s="423" t="s">
        <v>125</v>
      </c>
    </row>
    <row r="40" spans="2:31" ht="12.75" customHeight="1" x14ac:dyDescent="0.25">
      <c r="B40" s="42"/>
      <c r="D40" s="144"/>
      <c r="E40" s="145"/>
      <c r="F40" s="145"/>
      <c r="G40" s="146"/>
      <c r="H40" s="147"/>
      <c r="I40" s="147"/>
      <c r="J40" s="147"/>
      <c r="K40" s="152"/>
      <c r="L40" s="148"/>
      <c r="M40" s="148"/>
      <c r="N40" s="148"/>
      <c r="O40" s="106"/>
      <c r="P40" s="148"/>
      <c r="Q40" s="149"/>
      <c r="R40" s="149"/>
      <c r="S40" s="149"/>
      <c r="T40" s="149"/>
      <c r="U40" s="152"/>
      <c r="V40" s="205"/>
      <c r="W40" s="205"/>
      <c r="X40" s="205"/>
      <c r="Y40" s="205"/>
      <c r="Z40" s="161"/>
      <c r="AA40" s="161"/>
      <c r="AB40" s="143"/>
      <c r="AC40" s="143"/>
    </row>
    <row r="41" spans="2:31" ht="12.75" customHeight="1" x14ac:dyDescent="0.25">
      <c r="B41" s="42"/>
      <c r="D41" s="206"/>
      <c r="E41" s="207"/>
      <c r="F41" s="207"/>
      <c r="G41" s="208"/>
      <c r="H41" s="209"/>
      <c r="I41" s="209"/>
      <c r="J41" s="209"/>
      <c r="K41" s="152"/>
      <c r="L41" s="210"/>
      <c r="M41" s="210"/>
      <c r="N41" s="210"/>
      <c r="O41" s="102"/>
      <c r="P41" s="210"/>
      <c r="Q41" s="152"/>
      <c r="R41" s="152"/>
      <c r="S41" s="152"/>
      <c r="T41" s="210"/>
      <c r="U41" s="152"/>
      <c r="V41" s="210"/>
      <c r="W41" s="205"/>
      <c r="X41" s="211"/>
      <c r="Y41" s="211"/>
      <c r="Z41" s="211"/>
      <c r="AA41" s="211"/>
      <c r="AB41" s="211"/>
      <c r="AC41" s="211"/>
    </row>
    <row r="42" spans="2:31" ht="12.75" customHeight="1" x14ac:dyDescent="0.25">
      <c r="B42" s="42"/>
      <c r="D42" s="153" t="s">
        <v>96</v>
      </c>
      <c r="E42" s="154">
        <v>110831.31</v>
      </c>
      <c r="F42" s="154">
        <v>110863.53</v>
      </c>
      <c r="G42" s="155" t="s">
        <v>34</v>
      </c>
      <c r="H42" s="156">
        <f>F42-E42</f>
        <v>32.220000000001164</v>
      </c>
      <c r="I42" s="156">
        <v>10</v>
      </c>
      <c r="J42" s="156">
        <v>322.14999999999998</v>
      </c>
      <c r="K42" s="152" t="str">
        <f t="shared" si="6"/>
        <v>04</v>
      </c>
      <c r="L42" s="152"/>
      <c r="M42" s="152"/>
      <c r="N42" s="152"/>
      <c r="O42" s="98"/>
      <c r="P42" s="152"/>
      <c r="Q42" s="152">
        <f>S42*0.75*14*115*0.05/2000</f>
        <v>1.0805447916666666</v>
      </c>
      <c r="R42" s="152">
        <f>S42</f>
        <v>35.794444444444444</v>
      </c>
      <c r="S42" s="152">
        <f>J42/9</f>
        <v>35.794444444444444</v>
      </c>
      <c r="T42" s="152"/>
      <c r="U42" s="152">
        <f>(J42*(6/12))/27</f>
        <v>5.9657407407407401</v>
      </c>
      <c r="V42" s="157"/>
      <c r="W42" s="205"/>
      <c r="X42" s="152"/>
      <c r="Y42" s="152"/>
      <c r="Z42" s="157">
        <f>(J42*(1.5/12))/27</f>
        <v>1.491435185185185</v>
      </c>
      <c r="AA42" s="157">
        <f>(J42*(2.5/12))/27</f>
        <v>2.4857253086419751</v>
      </c>
      <c r="AB42" s="143"/>
      <c r="AC42" s="143"/>
      <c r="AE42" s="423" t="s">
        <v>125</v>
      </c>
    </row>
    <row r="43" spans="2:31" ht="12.75" customHeight="1" x14ac:dyDescent="0.25">
      <c r="B43" s="42"/>
      <c r="D43" s="158" t="s">
        <v>71</v>
      </c>
      <c r="E43" s="162">
        <f>E42</f>
        <v>110831.31</v>
      </c>
      <c r="F43" s="162">
        <f>F42</f>
        <v>110863.53</v>
      </c>
      <c r="G43" s="155" t="s">
        <v>34</v>
      </c>
      <c r="H43" s="159">
        <f>F43-E43</f>
        <v>32.220000000001164</v>
      </c>
      <c r="I43" s="159"/>
      <c r="J43" s="159"/>
      <c r="K43" s="152" t="str">
        <f t="shared" si="6"/>
        <v>04</v>
      </c>
      <c r="L43" s="160"/>
      <c r="M43" s="160"/>
      <c r="N43" s="160"/>
      <c r="O43" s="169"/>
      <c r="P43" s="160"/>
      <c r="Q43" s="160">
        <f>S43*0.75*14*115*0.05/2000</f>
        <v>0.32421375000001174</v>
      </c>
      <c r="R43" s="160">
        <f>S43</f>
        <v>10.740000000000387</v>
      </c>
      <c r="S43" s="160">
        <f>(H43*1.5/9)*2</f>
        <v>10.740000000000387</v>
      </c>
      <c r="T43" s="160"/>
      <c r="U43" s="160">
        <f>((H43*(6/12)*(6/12))/27)*2</f>
        <v>0.59666666666668822</v>
      </c>
      <c r="V43" s="161"/>
      <c r="W43" s="205"/>
      <c r="X43" s="160"/>
      <c r="Y43" s="160"/>
      <c r="Z43" s="161"/>
      <c r="AA43" s="161"/>
      <c r="AB43" s="161"/>
      <c r="AC43" s="161"/>
      <c r="AE43" s="423" t="s">
        <v>125</v>
      </c>
    </row>
    <row r="44" spans="2:31" ht="12.75" customHeight="1" x14ac:dyDescent="0.25">
      <c r="B44" s="42"/>
      <c r="D44" s="158"/>
      <c r="E44" s="162"/>
      <c r="F44" s="162"/>
      <c r="G44" s="163"/>
      <c r="H44" s="159"/>
      <c r="I44" s="159"/>
      <c r="J44" s="159"/>
      <c r="K44" s="152"/>
      <c r="L44" s="160"/>
      <c r="M44" s="160"/>
      <c r="N44" s="160"/>
      <c r="O44" s="169"/>
      <c r="P44" s="160"/>
      <c r="Q44" s="160"/>
      <c r="R44" s="160"/>
      <c r="S44" s="160"/>
      <c r="T44" s="160"/>
      <c r="U44" s="160"/>
      <c r="V44" s="161"/>
      <c r="W44" s="205"/>
      <c r="X44" s="160"/>
      <c r="Y44" s="160"/>
      <c r="Z44" s="161"/>
      <c r="AA44" s="161"/>
      <c r="AB44" s="161"/>
      <c r="AC44" s="161"/>
    </row>
    <row r="45" spans="2:31" ht="12.75" customHeight="1" x14ac:dyDescent="0.25">
      <c r="B45" s="42"/>
      <c r="D45" s="144" t="s">
        <v>27</v>
      </c>
      <c r="E45" s="145">
        <v>110875.97</v>
      </c>
      <c r="F45" s="145">
        <v>110892.22</v>
      </c>
      <c r="G45" s="146" t="s">
        <v>34</v>
      </c>
      <c r="H45" s="147">
        <f>F45-E45</f>
        <v>16.25</v>
      </c>
      <c r="I45" s="147">
        <f>J45/H45</f>
        <v>40.566153846153846</v>
      </c>
      <c r="J45" s="147">
        <v>659.2</v>
      </c>
      <c r="K45" s="152" t="str">
        <f t="shared" si="6"/>
        <v>04</v>
      </c>
      <c r="L45" s="148">
        <f>J45/9</f>
        <v>73.244444444444454</v>
      </c>
      <c r="M45" s="148">
        <f>(J45*(14/12))/27</f>
        <v>28.483950617283952</v>
      </c>
      <c r="N45" s="148">
        <f>M45</f>
        <v>28.483950617283952</v>
      </c>
      <c r="O45" s="106">
        <f>J45/9/2000</f>
        <v>3.662222222222223E-2</v>
      </c>
      <c r="P45" s="148">
        <f>L45</f>
        <v>73.244444444444454</v>
      </c>
      <c r="Q45" s="149"/>
      <c r="R45" s="149"/>
      <c r="S45" s="149"/>
      <c r="T45" s="148">
        <f>(J45*(6/12))/27</f>
        <v>12.207407407407409</v>
      </c>
      <c r="U45" s="152">
        <f>(J45*(6/12))/27</f>
        <v>12.207407407407409</v>
      </c>
      <c r="V45" s="150"/>
      <c r="W45" s="205">
        <f t="shared" ref="W45" si="9">(J45/9)*0.09*2</f>
        <v>13.184000000000001</v>
      </c>
      <c r="X45" s="205">
        <f>(J45*(1.5/12))/27</f>
        <v>3.0518518518518523</v>
      </c>
      <c r="Y45" s="205">
        <f>(J45*(1.75/12))/27</f>
        <v>3.560493827160494</v>
      </c>
      <c r="Z45" s="161"/>
      <c r="AA45" s="161"/>
      <c r="AB45" s="161"/>
      <c r="AC45" s="161"/>
      <c r="AE45" s="423" t="s">
        <v>125</v>
      </c>
    </row>
    <row r="46" spans="2:31" ht="12.75" customHeight="1" x14ac:dyDescent="0.25">
      <c r="B46" s="42"/>
      <c r="D46" s="144"/>
      <c r="E46" s="145"/>
      <c r="F46" s="145"/>
      <c r="G46" s="146"/>
      <c r="H46" s="147"/>
      <c r="I46" s="147"/>
      <c r="J46" s="147"/>
      <c r="K46" s="152"/>
      <c r="L46" s="148"/>
      <c r="M46" s="148"/>
      <c r="N46" s="148"/>
      <c r="O46" s="169"/>
      <c r="P46" s="160"/>
      <c r="Q46" s="160"/>
      <c r="R46" s="160"/>
      <c r="S46" s="160"/>
      <c r="T46" s="160"/>
      <c r="U46" s="160"/>
      <c r="V46" s="161"/>
      <c r="W46" s="205"/>
      <c r="X46" s="160"/>
      <c r="Y46" s="160"/>
      <c r="Z46" s="161"/>
      <c r="AA46" s="161"/>
      <c r="AB46" s="161"/>
      <c r="AC46" s="161"/>
    </row>
    <row r="47" spans="2:31" ht="12.75" customHeight="1" x14ac:dyDescent="0.25">
      <c r="B47" s="42"/>
      <c r="D47" s="158"/>
      <c r="E47" s="162"/>
      <c r="F47" s="162"/>
      <c r="G47" s="163"/>
      <c r="H47" s="159"/>
      <c r="I47" s="159"/>
      <c r="J47" s="159"/>
      <c r="K47" s="152"/>
      <c r="L47" s="160"/>
      <c r="M47" s="160"/>
      <c r="N47" s="160"/>
      <c r="O47" s="169"/>
      <c r="P47" s="160"/>
      <c r="Q47" s="160"/>
      <c r="R47" s="160"/>
      <c r="S47" s="160"/>
      <c r="T47" s="160"/>
      <c r="U47" s="160"/>
      <c r="V47" s="161"/>
      <c r="W47" s="205"/>
      <c r="X47" s="160"/>
      <c r="Y47" s="160"/>
      <c r="Z47" s="161"/>
      <c r="AA47" s="161"/>
      <c r="AB47" s="143"/>
      <c r="AC47" s="143"/>
    </row>
    <row r="48" spans="2:31" ht="12.75" customHeight="1" x14ac:dyDescent="0.25">
      <c r="B48" s="42"/>
      <c r="D48" s="153" t="s">
        <v>96</v>
      </c>
      <c r="E48" s="154">
        <v>110905.37</v>
      </c>
      <c r="F48" s="154">
        <v>110987.21</v>
      </c>
      <c r="G48" s="155" t="s">
        <v>34</v>
      </c>
      <c r="H48" s="156">
        <f>F48-E48</f>
        <v>81.840000000011059</v>
      </c>
      <c r="I48" s="156">
        <v>10</v>
      </c>
      <c r="J48" s="156">
        <v>818.47</v>
      </c>
      <c r="K48" s="152" t="str">
        <f t="shared" si="6"/>
        <v>04</v>
      </c>
      <c r="L48" s="152"/>
      <c r="M48" s="152"/>
      <c r="N48" s="152"/>
      <c r="O48" s="98"/>
      <c r="P48" s="152"/>
      <c r="Q48" s="152">
        <f>S48*0.75*14*115*0.05/2000</f>
        <v>2.7452847916666667</v>
      </c>
      <c r="R48" s="152">
        <f>S48</f>
        <v>90.941111111111113</v>
      </c>
      <c r="S48" s="152">
        <f>J48/9</f>
        <v>90.941111111111113</v>
      </c>
      <c r="T48" s="152"/>
      <c r="U48" s="152">
        <f>(J48*(6/12))/27</f>
        <v>15.156851851851853</v>
      </c>
      <c r="V48" s="157"/>
      <c r="W48" s="205"/>
      <c r="X48" s="152"/>
      <c r="Y48" s="152"/>
      <c r="Z48" s="157">
        <f>(J48*(1.5/12))/27</f>
        <v>3.7892129629629632</v>
      </c>
      <c r="AA48" s="157">
        <f>(J48*(2.5/12))/27</f>
        <v>6.3153549382716054</v>
      </c>
      <c r="AB48" s="143"/>
      <c r="AC48" s="143"/>
      <c r="AE48" s="423" t="s">
        <v>125</v>
      </c>
    </row>
    <row r="49" spans="2:31" ht="12.75" customHeight="1" x14ac:dyDescent="0.25">
      <c r="B49" s="42"/>
      <c r="D49" s="158" t="s">
        <v>71</v>
      </c>
      <c r="E49" s="162">
        <f>E48</f>
        <v>110905.37</v>
      </c>
      <c r="F49" s="162">
        <f>F48</f>
        <v>110987.21</v>
      </c>
      <c r="G49" s="155" t="s">
        <v>34</v>
      </c>
      <c r="H49" s="159">
        <f>F49-E49</f>
        <v>81.840000000011059</v>
      </c>
      <c r="I49" s="159"/>
      <c r="J49" s="159"/>
      <c r="K49" s="152" t="str">
        <f t="shared" si="6"/>
        <v>04</v>
      </c>
      <c r="L49" s="160"/>
      <c r="M49" s="160"/>
      <c r="N49" s="160"/>
      <c r="O49" s="169"/>
      <c r="P49" s="160"/>
      <c r="Q49" s="160">
        <f>S49*0.75*14*115*0.05/2000</f>
        <v>0.82351500000011124</v>
      </c>
      <c r="R49" s="160">
        <f>S49</f>
        <v>27.280000000003685</v>
      </c>
      <c r="S49" s="160">
        <f>(H49*1.5/9)*2</f>
        <v>27.280000000003685</v>
      </c>
      <c r="T49" s="160"/>
      <c r="U49" s="160">
        <f>((H49*(6/12)*(6/12))/27)*2</f>
        <v>1.5155555555557603</v>
      </c>
      <c r="V49" s="161"/>
      <c r="W49" s="205"/>
      <c r="X49" s="160"/>
      <c r="Y49" s="160"/>
      <c r="Z49" s="161"/>
      <c r="AA49" s="161"/>
      <c r="AB49" s="161"/>
      <c r="AC49" s="161"/>
      <c r="AE49" s="423" t="s">
        <v>125</v>
      </c>
    </row>
    <row r="50" spans="2:31" ht="12.75" customHeight="1" x14ac:dyDescent="0.25">
      <c r="B50" s="42"/>
      <c r="D50" s="153"/>
      <c r="E50" s="154"/>
      <c r="F50" s="154"/>
      <c r="G50" s="155"/>
      <c r="H50" s="156"/>
      <c r="I50" s="156"/>
      <c r="J50" s="156"/>
      <c r="K50" s="152"/>
      <c r="L50" s="152"/>
      <c r="M50" s="152"/>
      <c r="N50" s="152"/>
      <c r="O50" s="98"/>
      <c r="P50" s="152"/>
      <c r="Q50" s="152"/>
      <c r="R50" s="152"/>
      <c r="S50" s="152"/>
      <c r="T50" s="152"/>
      <c r="U50" s="168"/>
      <c r="V50" s="143"/>
      <c r="W50" s="205"/>
      <c r="X50" s="152"/>
      <c r="Y50" s="152"/>
      <c r="Z50" s="143"/>
      <c r="AA50" s="143"/>
      <c r="AB50" s="143"/>
      <c r="AC50" s="143"/>
    </row>
    <row r="51" spans="2:31" ht="12.75" customHeight="1" x14ac:dyDescent="0.25">
      <c r="B51" s="42"/>
      <c r="D51" s="153" t="s">
        <v>96</v>
      </c>
      <c r="E51" s="154">
        <v>110987.21</v>
      </c>
      <c r="F51" s="154">
        <v>111187.09</v>
      </c>
      <c r="G51" s="155" t="s">
        <v>34</v>
      </c>
      <c r="H51" s="156">
        <f>F51-E51</f>
        <v>199.8799999999901</v>
      </c>
      <c r="I51" s="156">
        <v>10</v>
      </c>
      <c r="J51" s="156">
        <v>1998.8</v>
      </c>
      <c r="K51" s="152" t="str">
        <f t="shared" si="6"/>
        <v>04</v>
      </c>
      <c r="L51" s="152"/>
      <c r="M51" s="152"/>
      <c r="N51" s="152"/>
      <c r="O51" s="98"/>
      <c r="P51" s="152"/>
      <c r="Q51" s="152">
        <f>S51*0.75*14*115*0.05/2000</f>
        <v>6.7043083333333335</v>
      </c>
      <c r="R51" s="152">
        <f>S51</f>
        <v>222.08888888888887</v>
      </c>
      <c r="S51" s="152">
        <f>J51/9</f>
        <v>222.08888888888887</v>
      </c>
      <c r="T51" s="152"/>
      <c r="U51" s="152">
        <f>(J51*(6/12))/27</f>
        <v>37.014814814814812</v>
      </c>
      <c r="V51" s="157"/>
      <c r="W51" s="205"/>
      <c r="X51" s="152"/>
      <c r="Y51" s="152"/>
      <c r="Z51" s="157">
        <f>(J51*(1.5/12))/27</f>
        <v>9.2537037037037031</v>
      </c>
      <c r="AA51" s="157">
        <f>(J51*(2.5/12))/27</f>
        <v>15.42283950617284</v>
      </c>
      <c r="AB51" s="143"/>
      <c r="AC51" s="143"/>
      <c r="AE51" s="423" t="s">
        <v>125</v>
      </c>
    </row>
    <row r="52" spans="2:31" ht="12.75" customHeight="1" x14ac:dyDescent="0.25">
      <c r="B52" s="42"/>
      <c r="D52" s="158" t="s">
        <v>71</v>
      </c>
      <c r="E52" s="162">
        <f>E51</f>
        <v>110987.21</v>
      </c>
      <c r="F52" s="162">
        <f>F51</f>
        <v>111187.09</v>
      </c>
      <c r="G52" s="163" t="s">
        <v>32</v>
      </c>
      <c r="H52" s="159">
        <f>F52-E52</f>
        <v>199.8799999999901</v>
      </c>
      <c r="I52" s="159"/>
      <c r="J52" s="159"/>
      <c r="K52" s="152" t="str">
        <f t="shared" si="6"/>
        <v>04</v>
      </c>
      <c r="L52" s="160"/>
      <c r="M52" s="160"/>
      <c r="N52" s="160"/>
      <c r="O52" s="169"/>
      <c r="P52" s="160"/>
      <c r="Q52" s="160">
        <f>S52*0.75*14*115*0.05/2000</f>
        <v>1.0056462499999503</v>
      </c>
      <c r="R52" s="160">
        <f>S52</f>
        <v>33.313333333331684</v>
      </c>
      <c r="S52" s="160">
        <f>(H52*1.5/9)</f>
        <v>33.313333333331684</v>
      </c>
      <c r="T52" s="160"/>
      <c r="U52" s="160">
        <f>((H52*(6/12)*(6/12))/27)</f>
        <v>1.8507407407406491</v>
      </c>
      <c r="V52" s="161"/>
      <c r="W52" s="205"/>
      <c r="X52" s="160"/>
      <c r="Y52" s="160"/>
      <c r="Z52" s="157"/>
      <c r="AA52" s="157"/>
      <c r="AB52" s="161"/>
      <c r="AC52" s="161"/>
      <c r="AE52" s="423" t="s">
        <v>125</v>
      </c>
    </row>
    <row r="53" spans="2:31" ht="12.75" customHeight="1" x14ac:dyDescent="0.25">
      <c r="B53" s="42"/>
      <c r="D53" s="153"/>
      <c r="E53" s="154"/>
      <c r="F53" s="154"/>
      <c r="G53" s="155"/>
      <c r="H53" s="156"/>
      <c r="I53" s="156"/>
      <c r="J53" s="156"/>
      <c r="K53" s="152"/>
      <c r="L53" s="152"/>
      <c r="M53" s="152"/>
      <c r="N53" s="152"/>
      <c r="O53" s="98"/>
      <c r="P53" s="152"/>
      <c r="Q53" s="152"/>
      <c r="R53" s="152"/>
      <c r="S53" s="152"/>
      <c r="T53" s="152"/>
      <c r="U53" s="168"/>
      <c r="V53" s="143"/>
      <c r="W53" s="205"/>
      <c r="X53" s="152"/>
      <c r="Y53" s="152"/>
      <c r="Z53" s="157"/>
      <c r="AA53" s="157"/>
      <c r="AB53" s="143"/>
      <c r="AC53" s="143"/>
    </row>
    <row r="54" spans="2:31" ht="12.75" customHeight="1" x14ac:dyDescent="0.25">
      <c r="B54" s="42"/>
      <c r="D54" s="144" t="s">
        <v>27</v>
      </c>
      <c r="E54" s="145">
        <v>110987.21</v>
      </c>
      <c r="F54" s="145">
        <v>111221.53</v>
      </c>
      <c r="G54" s="146" t="s">
        <v>34</v>
      </c>
      <c r="H54" s="147">
        <f>F54-E54</f>
        <v>234.31999999999243</v>
      </c>
      <c r="I54" s="147">
        <f>J54/H54</f>
        <v>11.642710822806794</v>
      </c>
      <c r="J54" s="147">
        <v>2728.12</v>
      </c>
      <c r="K54" s="152" t="str">
        <f t="shared" si="6"/>
        <v>04</v>
      </c>
      <c r="L54" s="148">
        <f>J54/9</f>
        <v>303.12444444444441</v>
      </c>
      <c r="M54" s="148">
        <f>(J54*(14/12))/27</f>
        <v>117.88172839506173</v>
      </c>
      <c r="N54" s="148">
        <f>M54</f>
        <v>117.88172839506173</v>
      </c>
      <c r="O54" s="106">
        <f>J54/9/2000</f>
        <v>0.15156222222222221</v>
      </c>
      <c r="P54" s="148">
        <f>L54</f>
        <v>303.12444444444441</v>
      </c>
      <c r="Q54" s="149"/>
      <c r="R54" s="149"/>
      <c r="S54" s="149"/>
      <c r="T54" s="148">
        <f>(J54*(6/12))/27</f>
        <v>50.520740740740742</v>
      </c>
      <c r="U54" s="152">
        <f>(J54*(6/12))/27</f>
        <v>50.520740740740742</v>
      </c>
      <c r="V54" s="150"/>
      <c r="W54" s="205">
        <f t="shared" si="8"/>
        <v>54.56239999999999</v>
      </c>
      <c r="X54" s="205">
        <f>(J54*(1.5/12))/27</f>
        <v>12.630185185185185</v>
      </c>
      <c r="Y54" s="205">
        <f>(J54*(1.75/12))/27</f>
        <v>14.735216049382716</v>
      </c>
      <c r="Z54" s="157"/>
      <c r="AA54" s="157"/>
      <c r="AB54" s="143"/>
      <c r="AC54" s="143"/>
      <c r="AE54" s="423" t="s">
        <v>125</v>
      </c>
    </row>
    <row r="55" spans="2:31" ht="12.75" customHeight="1" x14ac:dyDescent="0.25">
      <c r="B55" s="42"/>
      <c r="D55" s="144"/>
      <c r="E55" s="145"/>
      <c r="F55" s="145"/>
      <c r="G55" s="146"/>
      <c r="H55" s="147"/>
      <c r="I55" s="147"/>
      <c r="J55" s="147"/>
      <c r="K55" s="152"/>
      <c r="L55" s="148"/>
      <c r="M55" s="148"/>
      <c r="N55" s="148"/>
      <c r="O55" s="106"/>
      <c r="P55" s="148"/>
      <c r="Q55" s="149"/>
      <c r="R55" s="149"/>
      <c r="S55" s="149"/>
      <c r="T55" s="148"/>
      <c r="U55" s="150"/>
      <c r="V55" s="150"/>
      <c r="W55" s="205"/>
      <c r="X55" s="205"/>
      <c r="Y55" s="205"/>
      <c r="Z55" s="157"/>
      <c r="AA55" s="157"/>
      <c r="AB55" s="143"/>
      <c r="AC55" s="143"/>
    </row>
    <row r="56" spans="2:31" ht="12.75" customHeight="1" x14ac:dyDescent="0.25">
      <c r="B56" s="42"/>
      <c r="D56" s="183"/>
      <c r="E56" s="184"/>
      <c r="F56" s="184"/>
      <c r="G56" s="185"/>
      <c r="H56" s="186"/>
      <c r="I56" s="186"/>
      <c r="J56" s="186"/>
      <c r="K56" s="152"/>
      <c r="L56" s="187"/>
      <c r="M56" s="187"/>
      <c r="N56" s="187"/>
      <c r="O56" s="84"/>
      <c r="P56" s="187"/>
      <c r="Q56" s="149"/>
      <c r="R56" s="149"/>
      <c r="S56" s="149"/>
      <c r="T56" s="187"/>
      <c r="U56" s="187"/>
      <c r="V56" s="143"/>
      <c r="W56" s="205"/>
      <c r="X56" s="205"/>
      <c r="Y56" s="205"/>
      <c r="Z56" s="157"/>
      <c r="AA56" s="157"/>
      <c r="AB56" s="143"/>
      <c r="AC56" s="143"/>
    </row>
    <row r="57" spans="2:31" ht="12.75" customHeight="1" x14ac:dyDescent="0.25">
      <c r="B57" s="42"/>
      <c r="D57" s="212" t="s">
        <v>27</v>
      </c>
      <c r="E57" s="213">
        <v>111255.79</v>
      </c>
      <c r="F57" s="213">
        <v>111275.01</v>
      </c>
      <c r="G57" s="146" t="s">
        <v>34</v>
      </c>
      <c r="H57" s="214">
        <f>F57-E57</f>
        <v>19.220000000001164</v>
      </c>
      <c r="I57" s="214">
        <f>J57/H57</f>
        <v>50.779396462015654</v>
      </c>
      <c r="J57" s="214">
        <v>975.98</v>
      </c>
      <c r="K57" s="152" t="str">
        <f t="shared" si="6"/>
        <v>04</v>
      </c>
      <c r="L57" s="148">
        <f>J57/9</f>
        <v>108.44222222222223</v>
      </c>
      <c r="M57" s="148">
        <f>(J57*(14/12))/27</f>
        <v>42.171975308641976</v>
      </c>
      <c r="N57" s="148">
        <f>M57</f>
        <v>42.171975308641976</v>
      </c>
      <c r="O57" s="106">
        <f>J57/9/2000</f>
        <v>5.4221111111111116E-2</v>
      </c>
      <c r="P57" s="148">
        <f>L57</f>
        <v>108.44222222222223</v>
      </c>
      <c r="Q57" s="149"/>
      <c r="R57" s="149"/>
      <c r="S57" s="149"/>
      <c r="T57" s="149">
        <f>(J57*(6/12))/27</f>
        <v>18.073703703703703</v>
      </c>
      <c r="U57" s="149">
        <f>T57</f>
        <v>18.073703703703703</v>
      </c>
      <c r="V57" s="205"/>
      <c r="W57" s="205">
        <f>(J57/9)*0.09*2</f>
        <v>19.519600000000001</v>
      </c>
      <c r="X57" s="205">
        <f>(J57*(1.5/12))/27</f>
        <v>4.5184259259259258</v>
      </c>
      <c r="Y57" s="205">
        <f>(J57*(1.75/12))/27</f>
        <v>5.271496913580247</v>
      </c>
      <c r="Z57" s="157"/>
      <c r="AA57" s="157"/>
      <c r="AB57" s="143"/>
      <c r="AC57" s="143"/>
      <c r="AE57" s="423" t="s">
        <v>125</v>
      </c>
    </row>
    <row r="58" spans="2:31" ht="12.75" customHeight="1" x14ac:dyDescent="0.25">
      <c r="B58" s="42"/>
      <c r="D58" s="144"/>
      <c r="E58" s="145"/>
      <c r="F58" s="145"/>
      <c r="G58" s="146"/>
      <c r="H58" s="147"/>
      <c r="I58" s="147"/>
      <c r="J58" s="147"/>
      <c r="K58" s="152"/>
      <c r="L58" s="148"/>
      <c r="M58" s="148"/>
      <c r="N58" s="148"/>
      <c r="O58" s="215"/>
      <c r="P58" s="149"/>
      <c r="Q58" s="149"/>
      <c r="R58" s="149"/>
      <c r="S58" s="149"/>
      <c r="T58" s="149"/>
      <c r="U58" s="149"/>
      <c r="V58" s="205"/>
      <c r="W58" s="205"/>
      <c r="X58" s="205"/>
      <c r="Y58" s="205"/>
      <c r="Z58" s="157"/>
      <c r="AA58" s="157"/>
      <c r="AB58" s="143"/>
      <c r="AC58" s="143"/>
    </row>
    <row r="59" spans="2:31" ht="12.75" customHeight="1" x14ac:dyDescent="0.25">
      <c r="B59" s="42"/>
      <c r="D59" s="216"/>
      <c r="E59" s="217"/>
      <c r="F59" s="217"/>
      <c r="G59" s="218"/>
      <c r="H59" s="219"/>
      <c r="I59" s="219"/>
      <c r="J59" s="219"/>
      <c r="K59" s="152"/>
      <c r="L59" s="220"/>
      <c r="M59" s="220"/>
      <c r="N59" s="220"/>
      <c r="O59" s="221"/>
      <c r="P59" s="220"/>
      <c r="Q59" s="220"/>
      <c r="R59" s="220"/>
      <c r="S59" s="220"/>
      <c r="T59" s="220"/>
      <c r="U59" s="220"/>
      <c r="V59" s="220"/>
      <c r="W59" s="222"/>
      <c r="X59" s="222"/>
      <c r="Y59" s="222"/>
      <c r="Z59" s="157"/>
      <c r="AA59" s="157"/>
      <c r="AB59" s="143"/>
      <c r="AC59" s="143"/>
    </row>
    <row r="60" spans="2:31" ht="12.75" customHeight="1" x14ac:dyDescent="0.25">
      <c r="B60" s="42"/>
      <c r="D60" s="153" t="s">
        <v>96</v>
      </c>
      <c r="E60" s="154">
        <v>111295.01</v>
      </c>
      <c r="F60" s="154">
        <v>111320.4</v>
      </c>
      <c r="G60" s="155" t="s">
        <v>34</v>
      </c>
      <c r="H60" s="156">
        <f>F60-E60</f>
        <v>25.389999999999418</v>
      </c>
      <c r="I60" s="156">
        <v>10</v>
      </c>
      <c r="J60" s="156">
        <v>253.48</v>
      </c>
      <c r="K60" s="152" t="str">
        <f t="shared" si="6"/>
        <v>04</v>
      </c>
      <c r="L60" s="152"/>
      <c r="M60" s="152"/>
      <c r="N60" s="152"/>
      <c r="O60" s="98"/>
      <c r="P60" s="152"/>
      <c r="Q60" s="152">
        <f>S60*0.75*14*115*0.05/2000</f>
        <v>0.8502141666666666</v>
      </c>
      <c r="R60" s="152">
        <f>S60</f>
        <v>28.164444444444442</v>
      </c>
      <c r="S60" s="152">
        <f>J60/9</f>
        <v>28.164444444444442</v>
      </c>
      <c r="T60" s="152"/>
      <c r="U60" s="152">
        <f>(J60*(6/12))/27</f>
        <v>4.6940740740740736</v>
      </c>
      <c r="V60" s="152"/>
      <c r="W60" s="152"/>
      <c r="X60" s="157"/>
      <c r="Y60" s="157"/>
      <c r="Z60" s="157">
        <f>(J60*(1.5/12))/27</f>
        <v>1.1735185185185184</v>
      </c>
      <c r="AA60" s="157">
        <f>(J60*(2.5/12))/27</f>
        <v>1.9558641975308642</v>
      </c>
      <c r="AB60" s="143"/>
      <c r="AC60" s="143"/>
      <c r="AE60" s="423" t="s">
        <v>125</v>
      </c>
    </row>
    <row r="61" spans="2:31" ht="12.75" customHeight="1" x14ac:dyDescent="0.25">
      <c r="B61" s="42"/>
      <c r="D61" s="158" t="s">
        <v>71</v>
      </c>
      <c r="E61" s="154">
        <f>E60</f>
        <v>111295.01</v>
      </c>
      <c r="F61" s="154">
        <f>F60</f>
        <v>111320.4</v>
      </c>
      <c r="G61" s="155" t="s">
        <v>34</v>
      </c>
      <c r="H61" s="159">
        <f>F61-E61</f>
        <v>25.389999999999418</v>
      </c>
      <c r="I61" s="159"/>
      <c r="J61" s="159"/>
      <c r="K61" s="152" t="str">
        <f t="shared" si="6"/>
        <v>04</v>
      </c>
      <c r="L61" s="160"/>
      <c r="M61" s="160"/>
      <c r="N61" s="160"/>
      <c r="O61" s="169"/>
      <c r="P61" s="160"/>
      <c r="Q61" s="160">
        <f>S61*0.75*14*115*0.05/2000</f>
        <v>0.25548687499999412</v>
      </c>
      <c r="R61" s="160">
        <f>S61</f>
        <v>8.4633333333331393</v>
      </c>
      <c r="S61" s="160">
        <f>(H61*1.5/9)*2</f>
        <v>8.4633333333331393</v>
      </c>
      <c r="T61" s="160"/>
      <c r="U61" s="160">
        <f>((H61*(6/12)*(6/12))/27)*2</f>
        <v>0.47018518518517438</v>
      </c>
      <c r="V61" s="160"/>
      <c r="W61" s="160"/>
      <c r="X61" s="161"/>
      <c r="Y61" s="161"/>
      <c r="Z61" s="157"/>
      <c r="AA61" s="157"/>
      <c r="AB61" s="143"/>
      <c r="AC61" s="143"/>
      <c r="AE61" s="423" t="s">
        <v>125</v>
      </c>
    </row>
    <row r="62" spans="2:31" ht="12.75" customHeight="1" x14ac:dyDescent="0.25">
      <c r="B62" s="42"/>
      <c r="D62" s="223"/>
      <c r="E62" s="224"/>
      <c r="F62" s="224"/>
      <c r="G62" s="155"/>
      <c r="H62" s="225"/>
      <c r="I62" s="225"/>
      <c r="J62" s="225"/>
      <c r="K62" s="152"/>
      <c r="L62" s="226"/>
      <c r="M62" s="226"/>
      <c r="N62" s="226"/>
      <c r="O62" s="113"/>
      <c r="P62" s="226"/>
      <c r="Q62" s="226"/>
      <c r="R62" s="226"/>
      <c r="S62" s="226"/>
      <c r="T62" s="226"/>
      <c r="U62" s="226"/>
      <c r="V62" s="143"/>
      <c r="W62" s="226"/>
      <c r="X62" s="226"/>
      <c r="Y62" s="226"/>
      <c r="Z62" s="157"/>
      <c r="AA62" s="157"/>
      <c r="AB62" s="143"/>
      <c r="AC62" s="143"/>
    </row>
    <row r="63" spans="2:31" ht="12.75" customHeight="1" x14ac:dyDescent="0.25">
      <c r="B63" s="42"/>
      <c r="D63" s="153" t="s">
        <v>96</v>
      </c>
      <c r="E63" s="154">
        <v>111329.17</v>
      </c>
      <c r="F63" s="154">
        <v>112205.7</v>
      </c>
      <c r="G63" s="155" t="s">
        <v>34</v>
      </c>
      <c r="H63" s="156">
        <f>F63-E63</f>
        <v>876.52999999999884</v>
      </c>
      <c r="I63" s="156">
        <v>10</v>
      </c>
      <c r="J63" s="156">
        <v>8765.2900000000009</v>
      </c>
      <c r="K63" s="152" t="str">
        <f t="shared" si="6"/>
        <v>04</v>
      </c>
      <c r="L63" s="152"/>
      <c r="M63" s="152"/>
      <c r="N63" s="152"/>
      <c r="O63" s="98"/>
      <c r="P63" s="152"/>
      <c r="Q63" s="152">
        <f>S63*0.75*14*115*0.05/2000</f>
        <v>29.400243541666676</v>
      </c>
      <c r="R63" s="152">
        <f>S63</f>
        <v>973.92111111111126</v>
      </c>
      <c r="S63" s="152">
        <f>J63/9</f>
        <v>973.92111111111126</v>
      </c>
      <c r="T63" s="152"/>
      <c r="U63" s="152">
        <f>(J63*(6/12))/27</f>
        <v>162.32018518518521</v>
      </c>
      <c r="V63" s="152"/>
      <c r="W63" s="152"/>
      <c r="X63" s="157"/>
      <c r="Y63" s="157"/>
      <c r="Z63" s="157">
        <f>(J63*(1.5/12))/27</f>
        <v>40.580046296296302</v>
      </c>
      <c r="AA63" s="157">
        <f>(J63*(2.5/12))/27</f>
        <v>67.633410493827171</v>
      </c>
      <c r="AB63" s="143"/>
      <c r="AC63" s="143"/>
      <c r="AE63" s="423" t="s">
        <v>125</v>
      </c>
    </row>
    <row r="64" spans="2:31" ht="12.75" customHeight="1" x14ac:dyDescent="0.25">
      <c r="B64" s="42"/>
      <c r="D64" s="158" t="s">
        <v>71</v>
      </c>
      <c r="E64" s="154">
        <f>E63</f>
        <v>111329.17</v>
      </c>
      <c r="F64" s="154">
        <f>F63</f>
        <v>112205.7</v>
      </c>
      <c r="G64" s="155" t="s">
        <v>34</v>
      </c>
      <c r="H64" s="159">
        <f>F64-E64</f>
        <v>876.52999999999884</v>
      </c>
      <c r="I64" s="159"/>
      <c r="J64" s="159"/>
      <c r="K64" s="152" t="str">
        <f t="shared" si="6"/>
        <v>04</v>
      </c>
      <c r="L64" s="160"/>
      <c r="M64" s="160"/>
      <c r="N64" s="160"/>
      <c r="O64" s="169"/>
      <c r="P64" s="160"/>
      <c r="Q64" s="160">
        <f>S64*0.75*14*115*0.05/2000</f>
        <v>8.8200831249999876</v>
      </c>
      <c r="R64" s="160">
        <f>S64</f>
        <v>292.17666666666628</v>
      </c>
      <c r="S64" s="160">
        <f>(H64*1.5/9)*2</f>
        <v>292.17666666666628</v>
      </c>
      <c r="T64" s="160"/>
      <c r="U64" s="160">
        <f>((H64*(6/12)*(6/12))/27)*2</f>
        <v>16.232037037037017</v>
      </c>
      <c r="V64" s="160"/>
      <c r="W64" s="160"/>
      <c r="X64" s="161"/>
      <c r="Y64" s="161"/>
      <c r="Z64" s="157"/>
      <c r="AA64" s="157"/>
      <c r="AB64" s="143"/>
      <c r="AC64" s="143"/>
      <c r="AE64" s="423" t="s">
        <v>125</v>
      </c>
    </row>
    <row r="65" spans="2:31" ht="12.75" customHeight="1" x14ac:dyDescent="0.25">
      <c r="B65" s="42"/>
      <c r="D65" s="158"/>
      <c r="E65" s="162"/>
      <c r="F65" s="162"/>
      <c r="G65" s="155"/>
      <c r="H65" s="159"/>
      <c r="I65" s="159"/>
      <c r="J65" s="159"/>
      <c r="K65" s="152"/>
      <c r="L65" s="160"/>
      <c r="M65" s="160"/>
      <c r="N65" s="160"/>
      <c r="O65" s="169"/>
      <c r="P65" s="160"/>
      <c r="Q65" s="160"/>
      <c r="R65" s="160"/>
      <c r="S65" s="160"/>
      <c r="T65" s="160"/>
      <c r="U65" s="160"/>
      <c r="V65" s="161"/>
      <c r="W65" s="160"/>
      <c r="X65" s="160"/>
      <c r="Y65" s="160"/>
      <c r="Z65" s="157"/>
      <c r="AA65" s="157"/>
      <c r="AB65" s="211"/>
      <c r="AC65" s="211"/>
    </row>
    <row r="66" spans="2:31" ht="12.75" customHeight="1" x14ac:dyDescent="0.25">
      <c r="B66" s="42"/>
      <c r="D66" s="153" t="s">
        <v>96</v>
      </c>
      <c r="E66" s="154">
        <v>112229.7</v>
      </c>
      <c r="F66" s="154">
        <v>113042.35</v>
      </c>
      <c r="G66" s="155" t="s">
        <v>34</v>
      </c>
      <c r="H66" s="156">
        <f>F66-E66</f>
        <v>812.65000000000873</v>
      </c>
      <c r="I66" s="156">
        <v>10</v>
      </c>
      <c r="J66" s="156">
        <v>8126.32</v>
      </c>
      <c r="K66" s="152" t="str">
        <f t="shared" si="6"/>
        <v>04</v>
      </c>
      <c r="L66" s="152"/>
      <c r="M66" s="152"/>
      <c r="N66" s="152"/>
      <c r="O66" s="98"/>
      <c r="P66" s="152"/>
      <c r="Q66" s="152">
        <f>S66*0.75*14*115*0.05/2000</f>
        <v>27.257031666666666</v>
      </c>
      <c r="R66" s="152">
        <f>S66</f>
        <v>902.92444444444436</v>
      </c>
      <c r="S66" s="152">
        <f>J66/9</f>
        <v>902.92444444444436</v>
      </c>
      <c r="T66" s="152"/>
      <c r="U66" s="152">
        <f>(J66*(6/12))/27</f>
        <v>150.4874074074074</v>
      </c>
      <c r="V66" s="152"/>
      <c r="W66" s="152"/>
      <c r="X66" s="157"/>
      <c r="Y66" s="157"/>
      <c r="Z66" s="157">
        <f>(J66*(1.5/12))/27</f>
        <v>37.621851851851851</v>
      </c>
      <c r="AA66" s="157">
        <f>(J66*(2.5/12))/27</f>
        <v>62.703086419753085</v>
      </c>
      <c r="AB66" s="143"/>
      <c r="AC66" s="143"/>
      <c r="AE66" s="423" t="s">
        <v>125</v>
      </c>
    </row>
    <row r="67" spans="2:31" ht="12.75" customHeight="1" x14ac:dyDescent="0.25">
      <c r="B67" s="42"/>
      <c r="D67" s="158" t="s">
        <v>71</v>
      </c>
      <c r="E67" s="154">
        <f>E66</f>
        <v>112229.7</v>
      </c>
      <c r="F67" s="154">
        <f>F66</f>
        <v>113042.35</v>
      </c>
      <c r="G67" s="155" t="s">
        <v>34</v>
      </c>
      <c r="H67" s="159">
        <f>F67-E67</f>
        <v>812.65000000000873</v>
      </c>
      <c r="I67" s="159"/>
      <c r="J67" s="159"/>
      <c r="K67" s="152" t="str">
        <f t="shared" si="6"/>
        <v>04</v>
      </c>
      <c r="L67" s="160"/>
      <c r="M67" s="160"/>
      <c r="N67" s="160"/>
      <c r="O67" s="169"/>
      <c r="P67" s="160"/>
      <c r="Q67" s="160">
        <f>S67*0.75*14*115*0.05/2000</f>
        <v>8.1772906250000883</v>
      </c>
      <c r="R67" s="160">
        <f>S67</f>
        <v>270.88333333333622</v>
      </c>
      <c r="S67" s="160">
        <f>(H67*1.5/9)*2</f>
        <v>270.88333333333622</v>
      </c>
      <c r="T67" s="160"/>
      <c r="U67" s="160">
        <f>((H67*(6/12)*(6/12))/27)*2</f>
        <v>15.049074074074236</v>
      </c>
      <c r="V67" s="160"/>
      <c r="W67" s="160"/>
      <c r="X67" s="160"/>
      <c r="Y67" s="160"/>
      <c r="Z67" s="160"/>
      <c r="AA67" s="160"/>
      <c r="AB67" s="160"/>
      <c r="AC67" s="161"/>
      <c r="AE67" s="423" t="s">
        <v>125</v>
      </c>
    </row>
    <row r="68" spans="2:31" ht="12.75" customHeight="1" x14ac:dyDescent="0.25">
      <c r="B68" s="42"/>
      <c r="D68" s="170"/>
      <c r="E68" s="171"/>
      <c r="F68" s="171"/>
      <c r="G68" s="227"/>
      <c r="H68" s="172"/>
      <c r="I68" s="172"/>
      <c r="J68" s="172"/>
      <c r="K68" s="173"/>
      <c r="L68" s="173"/>
      <c r="M68" s="173"/>
      <c r="N68" s="173"/>
      <c r="O68" s="174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5"/>
      <c r="AB68" s="175"/>
      <c r="AC68" s="175"/>
    </row>
    <row r="69" spans="2:31" ht="12.75" customHeight="1" x14ac:dyDescent="0.25">
      <c r="B69" s="42"/>
      <c r="D69" s="170"/>
      <c r="E69" s="171"/>
      <c r="F69" s="171"/>
      <c r="G69" s="227"/>
      <c r="H69" s="172"/>
      <c r="I69" s="172"/>
      <c r="J69" s="172"/>
      <c r="K69" s="173"/>
      <c r="L69" s="173"/>
      <c r="M69" s="173"/>
      <c r="N69" s="173"/>
      <c r="O69" s="174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5"/>
      <c r="AB69" s="175"/>
      <c r="AC69" s="175"/>
    </row>
    <row r="70" spans="2:31" ht="12.75" customHeight="1" x14ac:dyDescent="0.25">
      <c r="B70" s="42"/>
      <c r="D70" s="170"/>
      <c r="E70" s="171"/>
      <c r="F70" s="171"/>
      <c r="G70" s="227"/>
      <c r="H70" s="172"/>
      <c r="I70" s="172"/>
      <c r="J70" s="172"/>
      <c r="K70" s="173"/>
      <c r="L70" s="173"/>
      <c r="M70" s="173"/>
      <c r="N70" s="173"/>
      <c r="O70" s="174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5"/>
      <c r="AB70" s="175"/>
      <c r="AC70" s="175"/>
    </row>
    <row r="71" spans="2:31" ht="12.75" customHeight="1" x14ac:dyDescent="0.25">
      <c r="B71" s="42"/>
      <c r="D71" s="242"/>
      <c r="E71" s="141"/>
      <c r="F71" s="141"/>
      <c r="G71" s="142"/>
      <c r="H71" s="229"/>
      <c r="I71" s="229"/>
      <c r="J71" s="229"/>
      <c r="K71" s="143"/>
      <c r="L71" s="143"/>
      <c r="M71" s="143"/>
      <c r="N71" s="143"/>
      <c r="O71" s="12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</row>
    <row r="72" spans="2:31" ht="12.75" customHeight="1" x14ac:dyDescent="0.25">
      <c r="B72" s="42"/>
      <c r="D72" s="212"/>
      <c r="E72" s="213"/>
      <c r="F72" s="213"/>
      <c r="G72" s="230"/>
      <c r="H72" s="214"/>
      <c r="I72" s="214"/>
      <c r="J72" s="214"/>
      <c r="K72" s="149"/>
      <c r="L72" s="149"/>
      <c r="M72" s="149"/>
      <c r="N72" s="149"/>
      <c r="O72" s="215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205"/>
      <c r="AB72" s="205"/>
      <c r="AC72" s="205"/>
    </row>
    <row r="73" spans="2:31" ht="12.75" customHeight="1" x14ac:dyDescent="0.25">
      <c r="B73" s="42"/>
      <c r="D73" s="170"/>
      <c r="E73" s="171"/>
      <c r="F73" s="171"/>
      <c r="G73" s="227"/>
      <c r="H73" s="172"/>
      <c r="I73" s="172"/>
      <c r="J73" s="172"/>
      <c r="K73" s="173"/>
      <c r="L73" s="173"/>
      <c r="M73" s="173"/>
      <c r="N73" s="173"/>
      <c r="O73" s="174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5"/>
      <c r="AB73" s="175"/>
      <c r="AC73" s="175"/>
    </row>
    <row r="74" spans="2:31" ht="12.75" customHeight="1" x14ac:dyDescent="0.25">
      <c r="B74" s="42"/>
      <c r="D74" s="242"/>
      <c r="E74" s="141"/>
      <c r="F74" s="141"/>
      <c r="G74" s="142"/>
      <c r="H74" s="229"/>
      <c r="I74" s="229"/>
      <c r="J74" s="229"/>
      <c r="K74" s="143"/>
      <c r="L74" s="143"/>
      <c r="M74" s="143"/>
      <c r="N74" s="143"/>
      <c r="O74" s="12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</row>
    <row r="75" spans="2:31" ht="12.75" customHeight="1" x14ac:dyDescent="0.25">
      <c r="B75" s="42"/>
      <c r="D75" s="231"/>
      <c r="E75" s="232"/>
      <c r="F75" s="232"/>
      <c r="G75" s="233"/>
      <c r="H75" s="234"/>
      <c r="I75" s="234"/>
      <c r="J75" s="234"/>
      <c r="K75" s="235"/>
      <c r="L75" s="235"/>
      <c r="M75" s="235"/>
      <c r="N75" s="235"/>
      <c r="O75" s="240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7"/>
      <c r="AC75" s="237"/>
    </row>
    <row r="76" spans="2:31" ht="12.75" customHeight="1" x14ac:dyDescent="0.25">
      <c r="B76" s="42"/>
      <c r="D76" s="231"/>
      <c r="E76" s="232"/>
      <c r="F76" s="232"/>
      <c r="G76" s="233"/>
      <c r="H76" s="234"/>
      <c r="I76" s="234"/>
      <c r="J76" s="234"/>
      <c r="K76" s="235"/>
      <c r="L76" s="235"/>
      <c r="M76" s="235"/>
      <c r="N76" s="235"/>
      <c r="O76" s="240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7"/>
      <c r="AC76" s="237"/>
    </row>
    <row r="77" spans="2:31" ht="12.75" customHeight="1" x14ac:dyDescent="0.25">
      <c r="B77" s="42"/>
      <c r="D77" s="153"/>
      <c r="E77" s="154"/>
      <c r="F77" s="154"/>
      <c r="G77" s="155"/>
      <c r="H77" s="156"/>
      <c r="I77" s="156"/>
      <c r="J77" s="156"/>
      <c r="K77" s="152"/>
      <c r="L77" s="152"/>
      <c r="M77" s="152"/>
      <c r="N77" s="152"/>
      <c r="O77" s="98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7"/>
      <c r="AB77" s="152"/>
      <c r="AC77" s="152"/>
    </row>
    <row r="78" spans="2:31" ht="12.75" customHeight="1" x14ac:dyDescent="0.25">
      <c r="B78" s="42"/>
      <c r="D78" s="158"/>
      <c r="E78" s="162"/>
      <c r="F78" s="162"/>
      <c r="G78" s="163"/>
      <c r="H78" s="159"/>
      <c r="I78" s="159"/>
      <c r="J78" s="159"/>
      <c r="K78" s="160"/>
      <c r="L78" s="160"/>
      <c r="M78" s="160"/>
      <c r="N78" s="160"/>
      <c r="O78" s="169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0"/>
      <c r="AC78" s="160"/>
    </row>
    <row r="79" spans="2:31" ht="12.75" customHeight="1" x14ac:dyDescent="0.25">
      <c r="B79" s="42"/>
      <c r="D79" s="242"/>
      <c r="E79" s="141"/>
      <c r="F79" s="141"/>
      <c r="G79" s="142"/>
      <c r="H79" s="123"/>
      <c r="I79" s="123"/>
      <c r="J79" s="123"/>
      <c r="K79" s="143"/>
      <c r="L79" s="143"/>
      <c r="M79" s="143"/>
      <c r="N79" s="143"/>
      <c r="O79" s="12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</row>
    <row r="80" spans="2:31" ht="12.75" customHeight="1" x14ac:dyDescent="0.25">
      <c r="B80" s="42"/>
      <c r="D80" s="153"/>
      <c r="E80" s="154"/>
      <c r="F80" s="154"/>
      <c r="G80" s="155"/>
      <c r="H80" s="156"/>
      <c r="I80" s="156"/>
      <c r="J80" s="156"/>
      <c r="K80" s="152"/>
      <c r="L80" s="152"/>
      <c r="M80" s="152"/>
      <c r="N80" s="152"/>
      <c r="O80" s="98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7"/>
      <c r="AB80" s="152"/>
      <c r="AC80" s="152"/>
    </row>
    <row r="81" spans="2:29" ht="12.75" customHeight="1" x14ac:dyDescent="0.25">
      <c r="B81" s="42"/>
      <c r="D81" s="158"/>
      <c r="E81" s="162"/>
      <c r="F81" s="162"/>
      <c r="G81" s="163"/>
      <c r="H81" s="159"/>
      <c r="I81" s="159"/>
      <c r="J81" s="159"/>
      <c r="K81" s="160"/>
      <c r="L81" s="160"/>
      <c r="M81" s="160"/>
      <c r="N81" s="160"/>
      <c r="O81" s="169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1"/>
      <c r="AB81" s="160"/>
      <c r="AC81" s="160"/>
    </row>
    <row r="82" spans="2:29" ht="12.75" customHeight="1" x14ac:dyDescent="0.25">
      <c r="B82" s="42"/>
      <c r="D82" s="158"/>
      <c r="E82" s="162"/>
      <c r="F82" s="162"/>
      <c r="G82" s="163"/>
      <c r="H82" s="159"/>
      <c r="I82" s="159"/>
      <c r="J82" s="159"/>
      <c r="K82" s="160"/>
      <c r="L82" s="160"/>
      <c r="M82" s="160"/>
      <c r="N82" s="160"/>
      <c r="O82" s="169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1"/>
      <c r="AB82" s="160"/>
      <c r="AC82" s="160"/>
    </row>
    <row r="83" spans="2:29" ht="12.75" customHeight="1" x14ac:dyDescent="0.25">
      <c r="B83" s="42"/>
      <c r="D83" s="206"/>
      <c r="E83" s="207"/>
      <c r="F83" s="207"/>
      <c r="G83" s="208"/>
      <c r="H83" s="209"/>
      <c r="I83" s="209"/>
      <c r="J83" s="209"/>
      <c r="K83" s="210"/>
      <c r="L83" s="210"/>
      <c r="M83" s="210"/>
      <c r="N83" s="210"/>
      <c r="O83" s="102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1"/>
      <c r="AB83" s="210"/>
      <c r="AC83" s="210"/>
    </row>
    <row r="84" spans="2:29" ht="12.75" customHeight="1" x14ac:dyDescent="0.25">
      <c r="B84" s="42"/>
      <c r="D84" s="158"/>
      <c r="E84" s="162"/>
      <c r="F84" s="162"/>
      <c r="G84" s="163"/>
      <c r="H84" s="159"/>
      <c r="I84" s="159"/>
      <c r="J84" s="159"/>
      <c r="K84" s="160"/>
      <c r="L84" s="160"/>
      <c r="M84" s="160"/>
      <c r="N84" s="160"/>
      <c r="O84" s="169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1"/>
      <c r="AB84" s="160"/>
      <c r="AC84" s="160"/>
    </row>
    <row r="85" spans="2:29" ht="12.75" customHeight="1" x14ac:dyDescent="0.25">
      <c r="B85" s="42"/>
      <c r="D85" s="158"/>
      <c r="E85" s="162"/>
      <c r="F85" s="162"/>
      <c r="G85" s="163"/>
      <c r="H85" s="159"/>
      <c r="I85" s="159"/>
      <c r="J85" s="159"/>
      <c r="K85" s="160"/>
      <c r="L85" s="160"/>
      <c r="M85" s="160"/>
      <c r="N85" s="160"/>
      <c r="O85" s="169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1"/>
      <c r="AB85" s="160"/>
      <c r="AC85" s="160"/>
    </row>
    <row r="86" spans="2:29" ht="12.75" customHeight="1" x14ac:dyDescent="0.25">
      <c r="B86" s="42"/>
      <c r="D86" s="242"/>
      <c r="E86" s="141"/>
      <c r="F86" s="141"/>
      <c r="G86" s="142"/>
      <c r="H86" s="123" t="str">
        <f t="shared" ref="H86:H88" si="10">IF(E86&lt;&gt;"",F86-E86,"")</f>
        <v/>
      </c>
      <c r="I86" s="123"/>
      <c r="J86" s="123"/>
      <c r="K86" s="143"/>
      <c r="L86" s="143"/>
      <c r="M86" s="143"/>
      <c r="N86" s="143"/>
      <c r="O86" s="12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spans="2:29" ht="12.75" customHeight="1" thickBot="1" x14ac:dyDescent="0.3">
      <c r="B87" s="43"/>
      <c r="D87" s="243"/>
      <c r="E87" s="199"/>
      <c r="F87" s="200"/>
      <c r="G87" s="201"/>
      <c r="H87" s="201" t="str">
        <f t="shared" si="10"/>
        <v/>
      </c>
      <c r="I87" s="128"/>
      <c r="J87" s="128"/>
      <c r="K87" s="202"/>
      <c r="L87" s="202"/>
      <c r="M87" s="202"/>
      <c r="N87" s="202"/>
      <c r="O87" s="128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</row>
    <row r="88" spans="2:29" ht="12.75" customHeight="1" thickBot="1" x14ac:dyDescent="0.3">
      <c r="D88" s="243"/>
      <c r="E88" s="203"/>
      <c r="F88" s="203"/>
      <c r="G88" s="201"/>
      <c r="H88" s="128" t="str">
        <f t="shared" si="10"/>
        <v/>
      </c>
      <c r="I88" s="128"/>
      <c r="J88" s="128"/>
      <c r="K88" s="202"/>
      <c r="L88" s="202"/>
      <c r="M88" s="202"/>
      <c r="N88" s="202"/>
      <c r="O88" s="128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29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AC89" si="11">SUM(K28:K88)</f>
        <v>0</v>
      </c>
      <c r="L89" s="136">
        <f t="shared" si="11"/>
        <v>1305.4777777777776</v>
      </c>
      <c r="M89" s="136">
        <f t="shared" si="11"/>
        <v>507.68580246913575</v>
      </c>
      <c r="N89" s="136">
        <f t="shared" si="11"/>
        <v>507.68580246913575</v>
      </c>
      <c r="O89" s="135">
        <f t="shared" si="11"/>
        <v>0.65273888888888887</v>
      </c>
      <c r="P89" s="136">
        <f t="shared" si="11"/>
        <v>1305.4777777777776</v>
      </c>
      <c r="Q89" s="136">
        <f t="shared" si="11"/>
        <v>170.60903343750007</v>
      </c>
      <c r="R89" s="136">
        <f t="shared" si="11"/>
        <v>5651.6450000000013</v>
      </c>
      <c r="S89" s="136">
        <f t="shared" si="11"/>
        <v>5651.6450000000013</v>
      </c>
      <c r="T89" s="136">
        <f t="shared" si="11"/>
        <v>217.57962962962961</v>
      </c>
      <c r="U89" s="136">
        <f t="shared" si="11"/>
        <v>1064.6896296296297</v>
      </c>
      <c r="V89" s="136">
        <f t="shared" si="11"/>
        <v>0</v>
      </c>
      <c r="W89" s="136">
        <f t="shared" si="11"/>
        <v>234.98599999999999</v>
      </c>
      <c r="X89" s="136">
        <f t="shared" si="11"/>
        <v>54.394907407407402</v>
      </c>
      <c r="Y89" s="136">
        <f t="shared" si="11"/>
        <v>63.460725308641969</v>
      </c>
      <c r="Z89" s="136">
        <f t="shared" si="11"/>
        <v>196.76638888888888</v>
      </c>
      <c r="AA89" s="136">
        <f t="shared" si="11"/>
        <v>327.94398148148156</v>
      </c>
      <c r="AB89" s="136">
        <f t="shared" si="11"/>
        <v>0</v>
      </c>
      <c r="AC89" s="136">
        <f t="shared" si="11"/>
        <v>0</v>
      </c>
    </row>
    <row r="93" spans="2:29" ht="12.75" customHeight="1" x14ac:dyDescent="0.25">
      <c r="D93" s="442" t="s">
        <v>126</v>
      </c>
      <c r="E93" s="442"/>
      <c r="F93" s="442"/>
      <c r="G93" s="442"/>
      <c r="H93" s="442"/>
      <c r="I93" s="442"/>
      <c r="J93" s="442"/>
      <c r="K93" s="425"/>
      <c r="L93" s="426">
        <f>SUMIF($K29:$K88, 1, L29:L88)</f>
        <v>0</v>
      </c>
      <c r="M93" s="426">
        <f t="shared" ref="M93:AC93" si="12">SUMIF($K29:$K88, 1, M29:M88)</f>
        <v>0</v>
      </c>
      <c r="N93" s="426">
        <f t="shared" si="12"/>
        <v>0</v>
      </c>
      <c r="O93" s="426">
        <f t="shared" si="12"/>
        <v>0</v>
      </c>
      <c r="P93" s="426">
        <f t="shared" si="12"/>
        <v>0</v>
      </c>
      <c r="Q93" s="426">
        <f t="shared" si="12"/>
        <v>0</v>
      </c>
      <c r="R93" s="426">
        <f t="shared" si="12"/>
        <v>0</v>
      </c>
      <c r="S93" s="426">
        <f t="shared" si="12"/>
        <v>0</v>
      </c>
      <c r="T93" s="426">
        <f t="shared" si="12"/>
        <v>0</v>
      </c>
      <c r="U93" s="426">
        <f t="shared" si="12"/>
        <v>0</v>
      </c>
      <c r="V93" s="426">
        <f t="shared" si="12"/>
        <v>0</v>
      </c>
      <c r="W93" s="426">
        <f t="shared" si="12"/>
        <v>0</v>
      </c>
      <c r="X93" s="426">
        <f t="shared" si="12"/>
        <v>0</v>
      </c>
      <c r="Y93" s="426">
        <f t="shared" si="12"/>
        <v>0</v>
      </c>
      <c r="Z93" s="426">
        <f t="shared" si="12"/>
        <v>0</v>
      </c>
      <c r="AA93" s="426">
        <f t="shared" si="12"/>
        <v>0</v>
      </c>
      <c r="AB93" s="426">
        <f t="shared" si="12"/>
        <v>0</v>
      </c>
      <c r="AC93" s="426">
        <f t="shared" si="12"/>
        <v>0</v>
      </c>
    </row>
    <row r="94" spans="2:29" ht="12.75" customHeight="1" x14ac:dyDescent="0.25">
      <c r="D94" s="443" t="s">
        <v>127</v>
      </c>
      <c r="E94" s="443"/>
      <c r="F94" s="443"/>
      <c r="G94" s="443"/>
      <c r="H94" s="443"/>
      <c r="I94" s="443"/>
      <c r="J94" s="443"/>
      <c r="K94" s="427"/>
      <c r="L94" s="428">
        <f>SUMIF($K29:$K88, 4, L29:L88)</f>
        <v>1305.4777777777776</v>
      </c>
      <c r="M94" s="428">
        <f t="shared" ref="M94:AC94" si="13">SUMIF($K29:$K88, 4, M29:M88)</f>
        <v>507.68580246913575</v>
      </c>
      <c r="N94" s="428">
        <f t="shared" si="13"/>
        <v>507.68580246913575</v>
      </c>
      <c r="O94" s="429">
        <f t="shared" si="13"/>
        <v>0.65273888888888887</v>
      </c>
      <c r="P94" s="428">
        <f t="shared" si="13"/>
        <v>1305.4777777777776</v>
      </c>
      <c r="Q94" s="428">
        <f t="shared" si="13"/>
        <v>170.60903343750007</v>
      </c>
      <c r="R94" s="428">
        <f t="shared" si="13"/>
        <v>5651.6450000000013</v>
      </c>
      <c r="S94" s="428">
        <f t="shared" si="13"/>
        <v>5651.6450000000013</v>
      </c>
      <c r="T94" s="428">
        <f t="shared" si="13"/>
        <v>217.57962962962961</v>
      </c>
      <c r="U94" s="428">
        <f t="shared" si="13"/>
        <v>1064.6896296296297</v>
      </c>
      <c r="V94" s="428">
        <f t="shared" si="13"/>
        <v>0</v>
      </c>
      <c r="W94" s="428">
        <f t="shared" si="13"/>
        <v>234.98599999999999</v>
      </c>
      <c r="X94" s="428">
        <f t="shared" si="13"/>
        <v>54.394907407407402</v>
      </c>
      <c r="Y94" s="428">
        <f t="shared" si="13"/>
        <v>63.460725308641969</v>
      </c>
      <c r="Z94" s="428">
        <f t="shared" si="13"/>
        <v>196.76638888888888</v>
      </c>
      <c r="AA94" s="428">
        <f t="shared" si="13"/>
        <v>327.94398148148156</v>
      </c>
      <c r="AB94" s="428">
        <f t="shared" si="13"/>
        <v>0</v>
      </c>
      <c r="AC94" s="428">
        <f t="shared" si="13"/>
        <v>0</v>
      </c>
    </row>
  </sheetData>
  <mergeCells count="31">
    <mergeCell ref="V15:V26"/>
    <mergeCell ref="E29:F29"/>
    <mergeCell ref="D89:J89"/>
    <mergeCell ref="AB15:AB26"/>
    <mergeCell ref="AC15:AC26"/>
    <mergeCell ref="W15:W26"/>
    <mergeCell ref="L15:L26"/>
    <mergeCell ref="M15:M26"/>
    <mergeCell ref="N15:N26"/>
    <mergeCell ref="P15:P26"/>
    <mergeCell ref="X15:X26"/>
    <mergeCell ref="Y15:Y26"/>
    <mergeCell ref="Z15:Z26"/>
    <mergeCell ref="AA15:AA26"/>
    <mergeCell ref="K14:K27"/>
    <mergeCell ref="D93:J93"/>
    <mergeCell ref="D94:J94"/>
    <mergeCell ref="E9:AC9"/>
    <mergeCell ref="B14:B27"/>
    <mergeCell ref="D14:D27"/>
    <mergeCell ref="E14:F26"/>
    <mergeCell ref="G14:G27"/>
    <mergeCell ref="H14:H26"/>
    <mergeCell ref="I14:I26"/>
    <mergeCell ref="J14:J26"/>
    <mergeCell ref="O15:O26"/>
    <mergeCell ref="Q15:Q26"/>
    <mergeCell ref="R15:R26"/>
    <mergeCell ref="S15:S26"/>
    <mergeCell ref="T15:T26"/>
    <mergeCell ref="U15:U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31C3-3F8B-4A1C-A944-CF5DB9EE6CB7}">
  <sheetPr>
    <pageSetUpPr fitToPage="1"/>
  </sheetPr>
  <dimension ref="A1:AK95"/>
  <sheetViews>
    <sheetView showGridLines="0" topLeftCell="A56" zoomScale="80" zoomScaleNormal="80" workbookViewId="0">
      <selection activeCell="AF85" sqref="AF85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2"/>
      <c r="O1" s="2"/>
      <c r="P1" s="2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35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2"/>
      <c r="O2" s="2"/>
      <c r="P2" s="2"/>
      <c r="Q2" s="34"/>
      <c r="R2" s="34"/>
      <c r="S2" s="34"/>
      <c r="T2" s="34"/>
      <c r="U2" s="34"/>
      <c r="V2" s="34"/>
      <c r="W2" s="34"/>
      <c r="X2" s="34"/>
      <c r="Y2" s="34"/>
      <c r="Z2" s="2"/>
      <c r="AA2" s="2"/>
      <c r="AB2" s="2"/>
      <c r="AC2" s="35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35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35"/>
    </row>
    <row r="5" spans="1:37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2"/>
      <c r="AA5" s="2"/>
      <c r="AB5" s="2"/>
      <c r="AC5" s="35"/>
    </row>
    <row r="6" spans="1:37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2"/>
      <c r="AA6" s="2"/>
      <c r="AB6" s="2"/>
      <c r="AC6" s="35"/>
    </row>
    <row r="7" spans="1:37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2"/>
      <c r="AA7" s="2"/>
      <c r="AB7" s="2"/>
      <c r="AC7" s="35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114</v>
      </c>
      <c r="M10" s="38" t="s">
        <v>39</v>
      </c>
      <c r="N10" s="38" t="s">
        <v>88</v>
      </c>
      <c r="O10" s="38" t="s">
        <v>89</v>
      </c>
      <c r="P10" s="38" t="s">
        <v>80</v>
      </c>
      <c r="Q10" s="38" t="s">
        <v>41</v>
      </c>
      <c r="R10" s="38" t="s">
        <v>42</v>
      </c>
      <c r="S10" s="38" t="s">
        <v>42</v>
      </c>
      <c r="T10" s="38" t="s">
        <v>56</v>
      </c>
      <c r="U10" s="38" t="s">
        <v>74</v>
      </c>
      <c r="V10" s="38" t="s">
        <v>75</v>
      </c>
      <c r="W10" s="38" t="s">
        <v>81</v>
      </c>
      <c r="X10" s="38" t="s">
        <v>83</v>
      </c>
      <c r="Y10" s="38" t="s">
        <v>77</v>
      </c>
      <c r="Z10" s="38" t="s">
        <v>116</v>
      </c>
      <c r="AA10" s="38"/>
      <c r="AB10" s="38"/>
      <c r="AC10" s="38"/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/>
      <c r="N11" s="58"/>
      <c r="O11" s="58"/>
      <c r="P11" s="58"/>
      <c r="Q11" s="58" t="s">
        <v>90</v>
      </c>
      <c r="R11" s="58" t="s">
        <v>90</v>
      </c>
      <c r="S11" s="58" t="s">
        <v>119</v>
      </c>
      <c r="T11" s="58" t="s">
        <v>79</v>
      </c>
      <c r="U11" s="58"/>
      <c r="V11" s="58"/>
      <c r="W11" s="58"/>
      <c r="X11" s="58"/>
      <c r="Y11" s="58"/>
      <c r="Z11" s="58" t="s">
        <v>115</v>
      </c>
      <c r="AA11" s="58"/>
      <c r="AB11" s="58"/>
      <c r="AC11" s="58"/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</v>
      </c>
      <c r="N12" s="60">
        <v>3</v>
      </c>
      <c r="O12" s="60">
        <v>3</v>
      </c>
      <c r="P12" s="60">
        <v>3</v>
      </c>
      <c r="Q12" s="60">
        <v>4</v>
      </c>
      <c r="R12" s="60">
        <v>5</v>
      </c>
      <c r="S12" s="60">
        <v>23</v>
      </c>
      <c r="T12" s="60">
        <v>6</v>
      </c>
      <c r="U12" s="60">
        <v>7</v>
      </c>
      <c r="V12" s="60">
        <v>8</v>
      </c>
      <c r="W12" s="60">
        <v>9</v>
      </c>
      <c r="X12" s="60">
        <v>10</v>
      </c>
      <c r="Y12" s="60">
        <v>12</v>
      </c>
      <c r="Z12" s="60"/>
      <c r="AA12" s="60"/>
      <c r="AB12" s="60"/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 t="s">
        <v>117</v>
      </c>
      <c r="M13" s="61"/>
      <c r="N13" s="61"/>
      <c r="O13" s="61"/>
      <c r="P13" s="61"/>
      <c r="Q13" s="61"/>
      <c r="R13" s="61" t="s">
        <v>43</v>
      </c>
      <c r="S13" s="61" t="s">
        <v>118</v>
      </c>
      <c r="T13" s="61"/>
      <c r="U13" s="61" t="s">
        <v>66</v>
      </c>
      <c r="V13" s="61" t="s">
        <v>55</v>
      </c>
      <c r="W13" s="61" t="s">
        <v>66</v>
      </c>
      <c r="X13" s="61" t="s">
        <v>82</v>
      </c>
      <c r="Y13" s="61"/>
      <c r="Z13" s="61"/>
      <c r="AA13" s="61"/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62" t="str">
        <f t="shared" ref="L14:AC14" si="0">IF(OR(TRIM(L10)=0,TRIM(L10)=""),"",IF(IFERROR(TRIM(INDEX(QryItemNamed,MATCH(TRIM(L10),ITEM,0),2)),"")="Y","SPECIAL",LEFT(IFERROR(TRIM(INDEX(ITEM,MATCH(TRIM(L10),ITEM,0))),""),3)))</f>
        <v>203</v>
      </c>
      <c r="M14" s="62" t="str">
        <f t="shared" si="0"/>
        <v>204</v>
      </c>
      <c r="N14" s="62" t="str">
        <f t="shared" si="0"/>
        <v>206</v>
      </c>
      <c r="O14" s="62" t="str">
        <f t="shared" si="0"/>
        <v>206</v>
      </c>
      <c r="P14" s="62" t="str">
        <f t="shared" si="0"/>
        <v>206</v>
      </c>
      <c r="Q14" s="62" t="str">
        <f t="shared" si="0"/>
        <v>301</v>
      </c>
      <c r="R14" s="62" t="str">
        <f t="shared" si="0"/>
        <v>304</v>
      </c>
      <c r="S14" s="62" t="str">
        <f t="shared" si="0"/>
        <v>304</v>
      </c>
      <c r="T14" s="62" t="str">
        <f t="shared" si="0"/>
        <v>407</v>
      </c>
      <c r="U14" s="62" t="str">
        <f t="shared" si="0"/>
        <v>442</v>
      </c>
      <c r="V14" s="62" t="str">
        <f t="shared" si="0"/>
        <v>442</v>
      </c>
      <c r="W14" s="62" t="str">
        <f t="shared" si="0"/>
        <v>442</v>
      </c>
      <c r="X14" s="62" t="str">
        <f>IF(OR(TRIM(X10)=0,TRIM(X10)=""),"",IF(IFERROR(TRIM(INDEX(QryItemNamed,MATCH(TRIM(X10),ITEM,0),2)),"")="Y","SPECIAL",LEFT(IFERROR(TRIM(INDEX(ITEM,MATCH(TRIM(X10),ITEM,0))),""),3)))</f>
        <v>442</v>
      </c>
      <c r="Y14" s="62" t="str">
        <f t="shared" si="0"/>
        <v>452</v>
      </c>
      <c r="Z14" s="62" t="str">
        <f t="shared" si="0"/>
        <v>SPECIAL</v>
      </c>
      <c r="AA14" s="62" t="str">
        <f>IF(OR(TRIM(AA10)=0,TRIM(AA10)=""),"",IF(IFERROR(TRIM(INDEX(QryItemNamed,MATCH(TRIM(AA10),ITEM,0),2)),"")="Y","SPECIAL",LEFT(IFERROR(TRIM(INDEX(ITEM,MATCH(TRIM(AA10),ITEM,0))),""),3)))</f>
        <v/>
      </c>
      <c r="AB14" s="62" t="str">
        <f t="shared" si="0"/>
        <v/>
      </c>
      <c r="AC14" s="62" t="str">
        <f t="shared" si="0"/>
        <v/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48" t="str">
        <f t="shared" ref="L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EMBANKMENT</v>
      </c>
      <c r="M15" s="448" t="str">
        <f t="shared" ref="M15:AC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PROOF ROLLING</v>
      </c>
      <c r="N15" s="448" t="str">
        <f t="shared" si="2"/>
        <v>CEMENT</v>
      </c>
      <c r="O15" s="448" t="str">
        <f t="shared" si="2"/>
        <v>CURING COAT</v>
      </c>
      <c r="P15" s="448" t="str">
        <f t="shared" si="2"/>
        <v>CEMENT STABILIZED SUBGRADE, 14 INCHES DEEP</v>
      </c>
      <c r="Q15" s="448" t="str">
        <f t="shared" si="2"/>
        <v>ASPHALT CONCRETE BASE, PG64-22, (449) (6")</v>
      </c>
      <c r="R15" s="448" t="str">
        <f t="shared" si="2"/>
        <v>AGGREGATE BASE (6")</v>
      </c>
      <c r="S15" s="448" t="str">
        <f t="shared" si="2"/>
        <v>AGGREGATE BASE (15.25")</v>
      </c>
      <c r="T15" s="448" t="str">
        <f t="shared" si="2"/>
        <v>NON-TRACKING TACK COAT (@0.09 GAL/SY)</v>
      </c>
      <c r="U15" s="448" t="str">
        <f t="shared" si="2"/>
        <v>ASPHALT CONCRETE SURFACE COURSE, 12.5 MM, TYPE A (446), AS PER PLAN</v>
      </c>
      <c r="V15" s="448" t="str">
        <f t="shared" si="2"/>
        <v>ASPHALT CONCRETE INTERMEDIATE COURSE, 12.5 MM, TYPE A (448), AS PER PLAN</v>
      </c>
      <c r="W15" s="448" t="str">
        <f t="shared" si="2"/>
        <v>ASPHALT CONCRETE SURFACE COURSE, 9.5 MM, TYPE A (449), AS PER PLAN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ASPHALT CONCRETE INTERMEDIATE COURSE, 19 MM, TYPE A (449), AS PER PLAN</v>
      </c>
      <c r="Y15" s="448" t="str">
        <f t="shared" si="2"/>
        <v>6" NON-REINFORCED CONCRETE PAVEMENT, CLASS QC 1P, AS PER PLAN</v>
      </c>
      <c r="Z15" s="448" t="str">
        <f t="shared" si="2"/>
        <v>GRASS PAVERS</v>
      </c>
      <c r="AA15" s="448" t="str">
        <f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/>
      </c>
      <c r="AB15" s="448" t="str">
        <f t="shared" si="2"/>
        <v/>
      </c>
      <c r="AC15" s="448" t="str">
        <f t="shared" si="2"/>
        <v/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2"/>
      <c r="L27" s="63" t="str">
        <f t="shared" ref="L27:AC27" si="3">IF(OR(TRIM(L10)=0,TRIM(L10)=""),"",IF(IFERROR(TRIM(INDEX(QryItemNamed,MATCH(TRIM(L10),ITEM,0),3)),"")="LS","",IFERROR(TRIM(INDEX(QryItemNamed,MATCH(TRIM(L10),ITEM,0),3)),"")))</f>
        <v>CY</v>
      </c>
      <c r="M27" s="63" t="str">
        <f t="shared" si="3"/>
        <v>HOUR</v>
      </c>
      <c r="N27" s="63" t="str">
        <f t="shared" si="3"/>
        <v>TON</v>
      </c>
      <c r="O27" s="63" t="str">
        <f t="shared" si="3"/>
        <v>SY</v>
      </c>
      <c r="P27" s="63" t="str">
        <f t="shared" si="3"/>
        <v>SY</v>
      </c>
      <c r="Q27" s="63" t="str">
        <f t="shared" si="3"/>
        <v>CY</v>
      </c>
      <c r="R27" s="63" t="str">
        <f t="shared" si="3"/>
        <v>CY</v>
      </c>
      <c r="S27" s="63" t="str">
        <f t="shared" si="3"/>
        <v>CY</v>
      </c>
      <c r="T27" s="63" t="str">
        <f t="shared" si="3"/>
        <v>GAL</v>
      </c>
      <c r="U27" s="63" t="str">
        <f t="shared" si="3"/>
        <v>CY</v>
      </c>
      <c r="V27" s="63" t="str">
        <f t="shared" si="3"/>
        <v>CY</v>
      </c>
      <c r="W27" s="63" t="str">
        <f t="shared" si="3"/>
        <v>CY</v>
      </c>
      <c r="X27" s="63" t="str">
        <f t="shared" si="3"/>
        <v>CY</v>
      </c>
      <c r="Y27" s="63" t="str">
        <f t="shared" si="3"/>
        <v>SY</v>
      </c>
      <c r="Z27" s="63" t="str">
        <f t="shared" si="3"/>
        <v>SY</v>
      </c>
      <c r="AA27" s="63" t="str">
        <f t="shared" si="3"/>
        <v/>
      </c>
      <c r="AB27" s="63" t="str">
        <f t="shared" si="3"/>
        <v/>
      </c>
      <c r="AC27" s="63" t="str">
        <f t="shared" si="3"/>
        <v/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</row>
    <row r="29" spans="2:31" ht="12.75" customHeight="1" x14ac:dyDescent="0.25">
      <c r="B29" s="42"/>
      <c r="D29" s="242"/>
      <c r="E29" s="447" t="s">
        <v>106</v>
      </c>
      <c r="F29" s="447"/>
      <c r="G29" s="142"/>
      <c r="H29" s="123"/>
      <c r="I29" s="123"/>
      <c r="J29" s="12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E29" s="424"/>
    </row>
    <row r="30" spans="2:31" ht="12.75" customHeight="1" x14ac:dyDescent="0.25">
      <c r="B30" s="42"/>
      <c r="D30" s="212" t="s">
        <v>120</v>
      </c>
      <c r="E30" s="213">
        <v>65450</v>
      </c>
      <c r="F30" s="213">
        <v>65650</v>
      </c>
      <c r="G30" s="230" t="s">
        <v>34</v>
      </c>
      <c r="H30" s="214">
        <f>F30-E30</f>
        <v>200</v>
      </c>
      <c r="I30" s="214">
        <f>J30/H30</f>
        <v>31.67305</v>
      </c>
      <c r="J30" s="214">
        <v>6334.61</v>
      </c>
      <c r="K30" s="431" t="str">
        <f t="shared" ref="K30:K82" si="4">IF(D30="","",IF(ISNUMBER(SEARCH("SUP",D30)),"04","01"))</f>
        <v>01</v>
      </c>
      <c r="L30" s="149"/>
      <c r="M30" s="215">
        <f>J30/9/2000</f>
        <v>0.35192277777777775</v>
      </c>
      <c r="N30" s="149">
        <f>P30*0.75*14*115*0.05/2000</f>
        <v>21.247337708333333</v>
      </c>
      <c r="O30" s="149">
        <f>P30</f>
        <v>703.84555555555551</v>
      </c>
      <c r="P30" s="149">
        <f>J30/9</f>
        <v>703.84555555555551</v>
      </c>
      <c r="Q30" s="149">
        <f>(J30*(6/12))/27</f>
        <v>117.30759259259258</v>
      </c>
      <c r="R30" s="149">
        <f>Q30</f>
        <v>117.30759259259258</v>
      </c>
      <c r="S30" s="205"/>
      <c r="T30" s="205">
        <f>(J30/9)*0.09*2</f>
        <v>126.69219999999999</v>
      </c>
      <c r="U30" s="205">
        <f>(J30*(1.5/12))/27</f>
        <v>29.326898148148146</v>
      </c>
      <c r="V30" s="205">
        <f>(J30*(1.75/12))/27</f>
        <v>34.214714506172839</v>
      </c>
      <c r="W30" s="205"/>
      <c r="X30" s="205"/>
      <c r="Y30" s="143"/>
      <c r="Z30" s="143"/>
      <c r="AA30" s="143"/>
      <c r="AB30" s="143"/>
      <c r="AC30" s="143"/>
      <c r="AE30" s="424"/>
    </row>
    <row r="31" spans="2:31" ht="12.75" customHeight="1" x14ac:dyDescent="0.25">
      <c r="B31" s="42"/>
      <c r="D31" s="216" t="s">
        <v>28</v>
      </c>
      <c r="E31" s="217">
        <f>E30</f>
        <v>65450</v>
      </c>
      <c r="F31" s="217">
        <f>F30</f>
        <v>65650</v>
      </c>
      <c r="G31" s="218" t="s">
        <v>34</v>
      </c>
      <c r="H31" s="219">
        <f>F31-E31</f>
        <v>200</v>
      </c>
      <c r="I31" s="219"/>
      <c r="J31" s="219"/>
      <c r="K31" s="431" t="str">
        <f t="shared" si="4"/>
        <v>01</v>
      </c>
      <c r="L31" s="220"/>
      <c r="M31" s="221">
        <f>((H31*1.5)/9/2000)*2</f>
        <v>3.3333333333333333E-2</v>
      </c>
      <c r="N31" s="220">
        <f>P31*0.75*14*115*0.05/2000</f>
        <v>2.0125000000000002</v>
      </c>
      <c r="O31" s="220">
        <f>P31</f>
        <v>66.666666666666671</v>
      </c>
      <c r="P31" s="220">
        <f>(H31*1.5/9)*2</f>
        <v>66.666666666666671</v>
      </c>
      <c r="Q31" s="220">
        <f>((H31*(6/12)*(4/12))/27)*2</f>
        <v>2.4691358024691357</v>
      </c>
      <c r="R31" s="220">
        <f>((H31*(6/12)*(10/12))/27)*2</f>
        <v>6.1728395061728403</v>
      </c>
      <c r="S31" s="220"/>
      <c r="T31" s="222"/>
      <c r="U31" s="222"/>
      <c r="V31" s="222"/>
      <c r="W31" s="222"/>
      <c r="X31" s="143"/>
      <c r="Y31" s="143"/>
      <c r="Z31" s="143"/>
      <c r="AA31" s="143"/>
      <c r="AB31" s="143"/>
      <c r="AC31" s="143"/>
      <c r="AE31" s="424"/>
    </row>
    <row r="32" spans="2:31" ht="12.75" customHeight="1" x14ac:dyDescent="0.25">
      <c r="B32" s="42"/>
      <c r="D32" s="144"/>
      <c r="E32" s="145"/>
      <c r="F32" s="145"/>
      <c r="G32" s="146"/>
      <c r="H32" s="147"/>
      <c r="I32" s="147"/>
      <c r="J32" s="147"/>
      <c r="K32" s="431" t="str">
        <f t="shared" si="4"/>
        <v/>
      </c>
      <c r="L32" s="148"/>
      <c r="M32" s="221"/>
      <c r="N32" s="220"/>
      <c r="O32" s="220"/>
      <c r="P32" s="220"/>
      <c r="Q32" s="220"/>
      <c r="R32" s="220"/>
      <c r="S32" s="220"/>
      <c r="T32" s="222"/>
      <c r="U32" s="222"/>
      <c r="V32" s="222"/>
      <c r="W32" s="222"/>
      <c r="X32" s="143"/>
      <c r="Y32" s="143"/>
      <c r="Z32" s="143"/>
      <c r="AA32" s="143"/>
      <c r="AB32" s="143"/>
      <c r="AC32" s="143"/>
    </row>
    <row r="33" spans="2:31" ht="12.75" customHeight="1" x14ac:dyDescent="0.25">
      <c r="B33" s="42"/>
      <c r="D33" s="216"/>
      <c r="E33" s="217"/>
      <c r="F33" s="217"/>
      <c r="G33" s="218"/>
      <c r="H33" s="219"/>
      <c r="I33" s="219"/>
      <c r="J33" s="219"/>
      <c r="K33" s="431" t="str">
        <f t="shared" si="4"/>
        <v/>
      </c>
      <c r="L33" s="220"/>
      <c r="M33" s="221"/>
      <c r="N33" s="220"/>
      <c r="O33" s="220"/>
      <c r="P33" s="220"/>
      <c r="Q33" s="220"/>
      <c r="R33" s="220"/>
      <c r="S33" s="220"/>
      <c r="T33" s="222"/>
      <c r="U33" s="222"/>
      <c r="V33" s="222"/>
      <c r="W33" s="222"/>
      <c r="X33" s="143"/>
      <c r="Y33" s="143"/>
      <c r="Z33" s="143"/>
      <c r="AA33" s="143"/>
      <c r="AB33" s="143"/>
      <c r="AC33" s="143"/>
    </row>
    <row r="34" spans="2:31" ht="12.75" customHeight="1" x14ac:dyDescent="0.25">
      <c r="B34" s="42"/>
      <c r="D34" s="212" t="s">
        <v>120</v>
      </c>
      <c r="E34" s="213">
        <v>65650</v>
      </c>
      <c r="F34" s="213">
        <v>65888.289999999994</v>
      </c>
      <c r="G34" s="230" t="s">
        <v>34</v>
      </c>
      <c r="H34" s="214">
        <f>F34-E34</f>
        <v>238.2899999999936</v>
      </c>
      <c r="I34" s="214">
        <f>J34/H34</f>
        <v>32.194888581141491</v>
      </c>
      <c r="J34" s="214">
        <v>7671.72</v>
      </c>
      <c r="K34" s="431" t="str">
        <f t="shared" si="4"/>
        <v>01</v>
      </c>
      <c r="L34" s="149"/>
      <c r="M34" s="215">
        <f>J34/9/2000</f>
        <v>0.42620666666666673</v>
      </c>
      <c r="N34" s="149">
        <f t="shared" ref="N34:N37" si="5">P34*0.75*14*115*0.05/2000</f>
        <v>25.7322275</v>
      </c>
      <c r="O34" s="149">
        <f t="shared" ref="O34:O38" si="6">P34</f>
        <v>852.41333333333341</v>
      </c>
      <c r="P34" s="149">
        <f>J34/9</f>
        <v>852.41333333333341</v>
      </c>
      <c r="Q34" s="149">
        <f>(J34*(6/12))/27</f>
        <v>142.06888888888889</v>
      </c>
      <c r="R34" s="149">
        <f>Q34</f>
        <v>142.06888888888889</v>
      </c>
      <c r="S34" s="205"/>
      <c r="T34" s="205">
        <f>(J34/9)*0.09*2</f>
        <v>153.43440000000001</v>
      </c>
      <c r="U34" s="205">
        <f>(J34*(1.5/12))/27</f>
        <v>35.517222222222223</v>
      </c>
      <c r="V34" s="205">
        <f>(J34*(1.75/12))/27</f>
        <v>41.436759259259262</v>
      </c>
      <c r="W34" s="205"/>
      <c r="X34" s="151"/>
      <c r="Y34" s="143"/>
      <c r="Z34" s="143"/>
      <c r="AA34" s="143"/>
      <c r="AB34" s="143"/>
      <c r="AC34" s="143"/>
      <c r="AE34" s="424"/>
    </row>
    <row r="35" spans="2:31" ht="12.75" customHeight="1" x14ac:dyDescent="0.25">
      <c r="B35" s="42"/>
      <c r="D35" s="216" t="s">
        <v>28</v>
      </c>
      <c r="E35" s="217">
        <f>E34</f>
        <v>65650</v>
      </c>
      <c r="F35" s="217">
        <f>F34</f>
        <v>65888.289999999994</v>
      </c>
      <c r="G35" s="218" t="s">
        <v>33</v>
      </c>
      <c r="H35" s="219">
        <f>F35-E35</f>
        <v>238.2899999999936</v>
      </c>
      <c r="I35" s="219"/>
      <c r="J35" s="219"/>
      <c r="K35" s="431" t="str">
        <f t="shared" si="4"/>
        <v>01</v>
      </c>
      <c r="L35" s="220"/>
      <c r="M35" s="221">
        <f>(H35*1.5)/9/2000</f>
        <v>1.9857499999999466E-2</v>
      </c>
      <c r="N35" s="220">
        <f>P35*0.75*14*115*0.05/2000</f>
        <v>1.1988965624999677</v>
      </c>
      <c r="O35" s="220">
        <f>P35</f>
        <v>39.71499999999893</v>
      </c>
      <c r="P35" s="220">
        <f>(H35*1.5/9)</f>
        <v>39.71499999999893</v>
      </c>
      <c r="Q35" s="220">
        <f>(H35*(6/12)*(4/12))/27</f>
        <v>1.4709259259258862</v>
      </c>
      <c r="R35" s="220">
        <f>(H35*(6/12)*(10/12))/27</f>
        <v>3.6773148148147161</v>
      </c>
      <c r="S35" s="220"/>
      <c r="T35" s="222"/>
      <c r="U35" s="222"/>
      <c r="V35" s="222"/>
      <c r="W35" s="175"/>
      <c r="X35" s="245"/>
      <c r="Y35" s="143"/>
      <c r="Z35" s="143"/>
      <c r="AA35" s="143"/>
      <c r="AB35" s="143"/>
      <c r="AC35" s="143"/>
      <c r="AE35" s="424"/>
    </row>
    <row r="36" spans="2:31" ht="12.75" customHeight="1" x14ac:dyDescent="0.25">
      <c r="B36" s="42"/>
      <c r="D36" s="176" t="s">
        <v>103</v>
      </c>
      <c r="E36" s="246">
        <v>65744.02</v>
      </c>
      <c r="F36" s="246">
        <v>65888.289999999994</v>
      </c>
      <c r="G36" s="247" t="s">
        <v>32</v>
      </c>
      <c r="H36" s="178">
        <f>F36-E36</f>
        <v>144.26999999998952</v>
      </c>
      <c r="I36" s="178"/>
      <c r="J36" s="178">
        <v>291.3</v>
      </c>
      <c r="K36" s="431" t="str">
        <f t="shared" si="4"/>
        <v>01</v>
      </c>
      <c r="L36" s="179"/>
      <c r="M36" s="180">
        <f>P36/2000</f>
        <v>1.6183333333333334E-2</v>
      </c>
      <c r="N36" s="179">
        <f t="shared" si="5"/>
        <v>0.97706874999999993</v>
      </c>
      <c r="O36" s="179">
        <f t="shared" si="6"/>
        <v>32.366666666666667</v>
      </c>
      <c r="P36" s="179">
        <f>(J36/9)</f>
        <v>32.366666666666667</v>
      </c>
      <c r="Q36" s="220">
        <f>(H36*(6/12)*(20.4/12))/27</f>
        <v>4.5418333333330034</v>
      </c>
      <c r="R36" s="179">
        <f>((H36*(6/12)*(20.4/12))/27)</f>
        <v>4.5418333333330034</v>
      </c>
      <c r="S36" s="161"/>
      <c r="T36" s="160">
        <f>P36*0.09</f>
        <v>2.9129999999999998</v>
      </c>
      <c r="U36" s="160"/>
      <c r="V36" s="160"/>
      <c r="W36" s="161"/>
      <c r="X36" s="161"/>
      <c r="Y36" s="161"/>
      <c r="Z36" s="143"/>
      <c r="AA36" s="143"/>
      <c r="AB36" s="143"/>
      <c r="AC36" s="143"/>
      <c r="AE36" s="424"/>
    </row>
    <row r="37" spans="2:31" ht="12.75" customHeight="1" x14ac:dyDescent="0.25">
      <c r="B37" s="42"/>
      <c r="D37" s="153" t="s">
        <v>95</v>
      </c>
      <c r="E37" s="232">
        <v>65659.59</v>
      </c>
      <c r="F37" s="232">
        <v>65888.289999999994</v>
      </c>
      <c r="G37" s="155" t="s">
        <v>32</v>
      </c>
      <c r="H37" s="156">
        <f>F37-E37</f>
        <v>228.69999999999709</v>
      </c>
      <c r="I37" s="156">
        <v>10</v>
      </c>
      <c r="J37" s="156">
        <v>2262.75</v>
      </c>
      <c r="K37" s="431" t="str">
        <f t="shared" si="4"/>
        <v>04</v>
      </c>
      <c r="L37" s="152"/>
      <c r="M37" s="98"/>
      <c r="N37" s="152">
        <f t="shared" si="5"/>
        <v>7.5896406250000004</v>
      </c>
      <c r="O37" s="152">
        <f t="shared" si="6"/>
        <v>251.41666666666666</v>
      </c>
      <c r="P37" s="152">
        <f>J37/9</f>
        <v>251.41666666666666</v>
      </c>
      <c r="Q37" s="152"/>
      <c r="R37" s="152">
        <f>(J37*(6/12))/27</f>
        <v>41.902777777777779</v>
      </c>
      <c r="S37" s="152"/>
      <c r="T37" s="152"/>
      <c r="U37" s="157"/>
      <c r="V37" s="157"/>
      <c r="W37" s="157">
        <f>(J37*(1.5/12))/27</f>
        <v>10.475694444444445</v>
      </c>
      <c r="X37" s="157">
        <f>(J37*(2.5/12))/27</f>
        <v>17.45949074074074</v>
      </c>
      <c r="Y37" s="161"/>
      <c r="Z37" s="143"/>
      <c r="AA37" s="143"/>
      <c r="AB37" s="143"/>
      <c r="AC37" s="143"/>
      <c r="AE37" s="424"/>
    </row>
    <row r="38" spans="2:31" ht="12.75" customHeight="1" x14ac:dyDescent="0.25">
      <c r="B38" s="42"/>
      <c r="D38" s="158" t="s">
        <v>71</v>
      </c>
      <c r="E38" s="162">
        <f>E37</f>
        <v>65659.59</v>
      </c>
      <c r="F38" s="162">
        <f>F37</f>
        <v>65888.289999999994</v>
      </c>
      <c r="G38" s="163" t="s">
        <v>32</v>
      </c>
      <c r="H38" s="159">
        <f>H37</f>
        <v>228.69999999999709</v>
      </c>
      <c r="I38" s="159"/>
      <c r="J38" s="159"/>
      <c r="K38" s="431" t="str">
        <f t="shared" si="4"/>
        <v>04</v>
      </c>
      <c r="L38" s="160"/>
      <c r="M38" s="169"/>
      <c r="N38" s="160">
        <f>P38*0.75*14*115*0.05/2000</f>
        <v>1.1506468749999856</v>
      </c>
      <c r="O38" s="160">
        <f t="shared" si="6"/>
        <v>38.116666666666184</v>
      </c>
      <c r="P38" s="160">
        <f>(H38*1.5/9)</f>
        <v>38.116666666666184</v>
      </c>
      <c r="Q38" s="160"/>
      <c r="R38" s="160">
        <f>((H38*(6/12)*(6/12))/27)</f>
        <v>2.1175925925925658</v>
      </c>
      <c r="S38" s="161"/>
      <c r="T38" s="160"/>
      <c r="U38" s="160"/>
      <c r="V38" s="160"/>
      <c r="W38" s="161"/>
      <c r="X38" s="161"/>
      <c r="Y38" s="143"/>
      <c r="Z38" s="143"/>
      <c r="AA38" s="143"/>
      <c r="AB38" s="143"/>
      <c r="AC38" s="143"/>
      <c r="AE38" s="424"/>
    </row>
    <row r="39" spans="2:31" ht="12.75" customHeight="1" x14ac:dyDescent="0.25">
      <c r="B39" s="42"/>
      <c r="D39" s="144"/>
      <c r="E39" s="145"/>
      <c r="F39" s="145"/>
      <c r="G39" s="146"/>
      <c r="H39" s="147"/>
      <c r="I39" s="147"/>
      <c r="J39" s="147"/>
      <c r="K39" s="431" t="str">
        <f t="shared" si="4"/>
        <v/>
      </c>
      <c r="L39" s="148"/>
      <c r="M39" s="169"/>
      <c r="N39" s="160"/>
      <c r="O39" s="160"/>
      <c r="P39" s="160"/>
      <c r="Q39" s="160"/>
      <c r="R39" s="160"/>
      <c r="S39" s="161"/>
      <c r="T39" s="160"/>
      <c r="U39" s="160"/>
      <c r="V39" s="160"/>
      <c r="W39" s="161"/>
      <c r="X39" s="161"/>
      <c r="Y39" s="143"/>
      <c r="Z39" s="143"/>
      <c r="AA39" s="143"/>
      <c r="AB39" s="143"/>
      <c r="AC39" s="143"/>
    </row>
    <row r="40" spans="2:31" ht="12.75" customHeight="1" x14ac:dyDescent="0.25">
      <c r="B40" s="42"/>
      <c r="D40" s="144"/>
      <c r="E40" s="145"/>
      <c r="F40" s="145"/>
      <c r="G40" s="146"/>
      <c r="H40" s="147"/>
      <c r="I40" s="147"/>
      <c r="J40" s="147"/>
      <c r="K40" s="431" t="str">
        <f t="shared" si="4"/>
        <v/>
      </c>
      <c r="L40" s="148"/>
      <c r="M40" s="169"/>
      <c r="N40" s="160"/>
      <c r="O40" s="160"/>
      <c r="P40" s="160"/>
      <c r="Q40" s="160"/>
      <c r="R40" s="160"/>
      <c r="S40" s="161"/>
      <c r="T40" s="160"/>
      <c r="U40" s="160"/>
      <c r="V40" s="160"/>
      <c r="W40" s="161"/>
      <c r="X40" s="161"/>
      <c r="Y40" s="143"/>
      <c r="Z40" s="143"/>
      <c r="AA40" s="143"/>
      <c r="AB40" s="143"/>
      <c r="AC40" s="143"/>
    </row>
    <row r="41" spans="2:31" ht="12.75" customHeight="1" x14ac:dyDescent="0.25">
      <c r="B41" s="42"/>
      <c r="D41" s="212" t="s">
        <v>120</v>
      </c>
      <c r="E41" s="213">
        <v>65981.789999999994</v>
      </c>
      <c r="F41" s="213">
        <v>66169.3</v>
      </c>
      <c r="G41" s="230" t="s">
        <v>34</v>
      </c>
      <c r="H41" s="214">
        <f>F41-E41</f>
        <v>187.51000000000931</v>
      </c>
      <c r="I41" s="214">
        <f>J41/H41</f>
        <v>31.992053757131362</v>
      </c>
      <c r="J41" s="214">
        <v>5998.83</v>
      </c>
      <c r="K41" s="431" t="str">
        <f t="shared" si="4"/>
        <v>01</v>
      </c>
      <c r="L41" s="149"/>
      <c r="M41" s="215">
        <f>J41/9/2000</f>
        <v>0.33326833333333333</v>
      </c>
      <c r="N41" s="149">
        <f t="shared" ref="N41" si="7">P41*0.75*14*115*0.05/2000</f>
        <v>20.121075624999996</v>
      </c>
      <c r="O41" s="149">
        <f t="shared" ref="O41" si="8">P41</f>
        <v>666.53666666666663</v>
      </c>
      <c r="P41" s="149">
        <f>J41/9</f>
        <v>666.53666666666663</v>
      </c>
      <c r="Q41" s="149">
        <f>(J41*(6/12))/27</f>
        <v>111.08944444444444</v>
      </c>
      <c r="R41" s="149">
        <f>Q41</f>
        <v>111.08944444444444</v>
      </c>
      <c r="S41" s="205"/>
      <c r="T41" s="205">
        <f>(J41/9)*0.09*2</f>
        <v>119.97659999999999</v>
      </c>
      <c r="U41" s="205">
        <f>(J41*(1.5/12))/27</f>
        <v>27.77236111111111</v>
      </c>
      <c r="V41" s="205">
        <f>(J41*(1.75/12))/27</f>
        <v>32.401087962962961</v>
      </c>
      <c r="W41" s="205"/>
      <c r="X41" s="151"/>
      <c r="Y41" s="143"/>
      <c r="Z41" s="143"/>
      <c r="AA41" s="143"/>
      <c r="AB41" s="143"/>
      <c r="AC41" s="143"/>
      <c r="AE41" s="424"/>
    </row>
    <row r="42" spans="2:31" ht="12.75" customHeight="1" x14ac:dyDescent="0.25">
      <c r="B42" s="42"/>
      <c r="D42" s="216" t="s">
        <v>28</v>
      </c>
      <c r="E42" s="217">
        <v>65981.789999999994</v>
      </c>
      <c r="F42" s="217">
        <v>66169.3</v>
      </c>
      <c r="G42" s="218" t="s">
        <v>33</v>
      </c>
      <c r="H42" s="219">
        <f>F42-E42</f>
        <v>187.51000000000931</v>
      </c>
      <c r="I42" s="219"/>
      <c r="J42" s="219"/>
      <c r="K42" s="431" t="str">
        <f t="shared" si="4"/>
        <v>01</v>
      </c>
      <c r="L42" s="220"/>
      <c r="M42" s="221">
        <f>(H42*1.5)/9/2000</f>
        <v>1.5625833333334109E-2</v>
      </c>
      <c r="N42" s="220">
        <f>P42*0.75*14*115*0.05/2000</f>
        <v>0.94340968750004683</v>
      </c>
      <c r="O42" s="220">
        <f>P42</f>
        <v>31.251666666668218</v>
      </c>
      <c r="P42" s="220">
        <f>(H42*1.5/9)</f>
        <v>31.251666666668218</v>
      </c>
      <c r="Q42" s="220">
        <f>(H42*(6/12)*(4/12))/27</f>
        <v>1.1574691358025266</v>
      </c>
      <c r="R42" s="220">
        <f>(H42*(6/12)*(10/12))/27</f>
        <v>2.8936728395063169</v>
      </c>
      <c r="S42" s="220"/>
      <c r="T42" s="222"/>
      <c r="U42" s="222"/>
      <c r="V42" s="222"/>
      <c r="W42" s="175"/>
      <c r="X42" s="245"/>
      <c r="Y42" s="143"/>
      <c r="Z42" s="143"/>
      <c r="AA42" s="143"/>
      <c r="AB42" s="143"/>
      <c r="AC42" s="143"/>
      <c r="AE42" s="424"/>
    </row>
    <row r="43" spans="2:31" ht="12.75" customHeight="1" x14ac:dyDescent="0.25">
      <c r="B43" s="42"/>
      <c r="D43" s="176" t="s">
        <v>103</v>
      </c>
      <c r="E43" s="246">
        <v>65981.789999999994</v>
      </c>
      <c r="F43" s="246">
        <v>66169.3</v>
      </c>
      <c r="G43" s="247" t="s">
        <v>32</v>
      </c>
      <c r="H43" s="178">
        <f>F43-E43</f>
        <v>187.51000000000931</v>
      </c>
      <c r="I43" s="178"/>
      <c r="J43" s="178">
        <v>311.95999999999998</v>
      </c>
      <c r="K43" s="431" t="str">
        <f t="shared" si="4"/>
        <v>01</v>
      </c>
      <c r="L43" s="179"/>
      <c r="M43" s="180">
        <f>P43/2000</f>
        <v>1.733111111111111E-2</v>
      </c>
      <c r="N43" s="179">
        <f t="shared" ref="N43:N45" si="9">P43*0.75*14*115*0.05/2000</f>
        <v>1.046365833333333</v>
      </c>
      <c r="O43" s="179">
        <f t="shared" ref="O43:O45" si="10">P43</f>
        <v>34.662222222222219</v>
      </c>
      <c r="P43" s="179">
        <f>(J43/9)</f>
        <v>34.662222222222219</v>
      </c>
      <c r="Q43" s="179"/>
      <c r="R43" s="179">
        <f>((H43*(6/12)*(20.4/12))/27)</f>
        <v>5.903092592592885</v>
      </c>
      <c r="S43" s="161"/>
      <c r="T43" s="160">
        <f>P43*0.09</f>
        <v>3.1195999999999997</v>
      </c>
      <c r="U43" s="160"/>
      <c r="V43" s="160"/>
      <c r="W43" s="161"/>
      <c r="X43" s="161"/>
      <c r="Y43" s="161"/>
      <c r="Z43" s="143"/>
      <c r="AA43" s="143"/>
      <c r="AB43" s="143"/>
      <c r="AC43" s="143"/>
      <c r="AE43" s="424"/>
    </row>
    <row r="44" spans="2:31" ht="12.75" customHeight="1" x14ac:dyDescent="0.25">
      <c r="B44" s="42"/>
      <c r="D44" s="153" t="s">
        <v>95</v>
      </c>
      <c r="E44" s="232">
        <v>65981.789999999994</v>
      </c>
      <c r="F44" s="232">
        <v>66169.3</v>
      </c>
      <c r="G44" s="155" t="s">
        <v>32</v>
      </c>
      <c r="H44" s="156">
        <f>F44-E44</f>
        <v>187.51000000000931</v>
      </c>
      <c r="I44" s="156">
        <f>J44/H44</f>
        <v>9.984480827688694</v>
      </c>
      <c r="J44" s="156">
        <v>1872.19</v>
      </c>
      <c r="K44" s="431" t="str">
        <f t="shared" si="4"/>
        <v>04</v>
      </c>
      <c r="L44" s="152"/>
      <c r="M44" s="98"/>
      <c r="N44" s="152">
        <f t="shared" si="9"/>
        <v>6.2796372916666661</v>
      </c>
      <c r="O44" s="152">
        <f t="shared" si="10"/>
        <v>208.02111111111111</v>
      </c>
      <c r="P44" s="152">
        <f>J44/9</f>
        <v>208.02111111111111</v>
      </c>
      <c r="Q44" s="152"/>
      <c r="R44" s="152">
        <f>(J44*(6/12))/27</f>
        <v>34.670185185185183</v>
      </c>
      <c r="S44" s="152"/>
      <c r="T44" s="152"/>
      <c r="U44" s="157"/>
      <c r="V44" s="157"/>
      <c r="W44" s="157">
        <f>(J44*(1.5/12))/27</f>
        <v>8.6675462962962957</v>
      </c>
      <c r="X44" s="157">
        <f>(J44*(2.5/12))/27</f>
        <v>14.445910493827162</v>
      </c>
      <c r="Y44" s="161"/>
      <c r="Z44" s="143"/>
      <c r="AA44" s="143"/>
      <c r="AB44" s="143"/>
      <c r="AC44" s="143"/>
      <c r="AE44" s="424"/>
    </row>
    <row r="45" spans="2:31" ht="12.75" customHeight="1" x14ac:dyDescent="0.25">
      <c r="B45" s="42"/>
      <c r="D45" s="158" t="s">
        <v>71</v>
      </c>
      <c r="E45" s="162">
        <f>E44</f>
        <v>65981.789999999994</v>
      </c>
      <c r="F45" s="162">
        <f>F44</f>
        <v>66169.3</v>
      </c>
      <c r="G45" s="163" t="s">
        <v>32</v>
      </c>
      <c r="H45" s="159">
        <f>H44</f>
        <v>187.51000000000931</v>
      </c>
      <c r="I45" s="159"/>
      <c r="J45" s="159"/>
      <c r="K45" s="431" t="str">
        <f t="shared" si="4"/>
        <v>04</v>
      </c>
      <c r="L45" s="160"/>
      <c r="M45" s="169"/>
      <c r="N45" s="160">
        <f t="shared" si="9"/>
        <v>0.94340968750004683</v>
      </c>
      <c r="O45" s="160">
        <f t="shared" si="10"/>
        <v>31.251666666668218</v>
      </c>
      <c r="P45" s="160">
        <f>(H45*1.5/9)</f>
        <v>31.251666666668218</v>
      </c>
      <c r="Q45" s="160"/>
      <c r="R45" s="160">
        <f>((H45*(6/12)*(6/12))/27)</f>
        <v>1.7362037037037898</v>
      </c>
      <c r="S45" s="161"/>
      <c r="T45" s="160"/>
      <c r="U45" s="160"/>
      <c r="V45" s="160"/>
      <c r="W45" s="161"/>
      <c r="X45" s="161"/>
      <c r="Y45" s="143"/>
      <c r="Z45" s="143"/>
      <c r="AA45" s="143"/>
      <c r="AB45" s="143"/>
      <c r="AC45" s="143"/>
      <c r="AE45" s="424"/>
    </row>
    <row r="46" spans="2:31" ht="12.75" customHeight="1" x14ac:dyDescent="0.25">
      <c r="B46" s="42"/>
      <c r="D46" s="153"/>
      <c r="E46" s="154"/>
      <c r="F46" s="154"/>
      <c r="G46" s="155"/>
      <c r="H46" s="156"/>
      <c r="I46" s="156"/>
      <c r="J46" s="156"/>
      <c r="K46" s="431" t="str">
        <f t="shared" si="4"/>
        <v/>
      </c>
      <c r="L46" s="152"/>
      <c r="M46" s="98"/>
      <c r="N46" s="152"/>
      <c r="O46" s="152"/>
      <c r="P46" s="152"/>
      <c r="Q46" s="152"/>
      <c r="R46" s="168"/>
      <c r="S46" s="143"/>
      <c r="T46" s="152"/>
      <c r="U46" s="152"/>
      <c r="V46" s="152"/>
      <c r="W46" s="143"/>
      <c r="X46" s="143"/>
      <c r="Y46" s="143"/>
      <c r="Z46" s="143"/>
      <c r="AA46" s="143"/>
      <c r="AB46" s="143"/>
      <c r="AC46" s="143"/>
    </row>
    <row r="47" spans="2:31" ht="12.75" customHeight="1" x14ac:dyDescent="0.25">
      <c r="B47" s="42"/>
      <c r="D47" s="212" t="s">
        <v>120</v>
      </c>
      <c r="E47" s="213">
        <v>66169.3</v>
      </c>
      <c r="F47" s="213">
        <v>68186.600000000006</v>
      </c>
      <c r="G47" s="230" t="s">
        <v>34</v>
      </c>
      <c r="H47" s="214">
        <f>F47-E47</f>
        <v>2017.3000000000029</v>
      </c>
      <c r="I47" s="214">
        <f>J47/H47</f>
        <v>32.878605066177514</v>
      </c>
      <c r="J47" s="214">
        <v>66326.009999999995</v>
      </c>
      <c r="K47" s="431" t="str">
        <f t="shared" si="4"/>
        <v>01</v>
      </c>
      <c r="L47" s="149"/>
      <c r="M47" s="215">
        <f>J47/9/2000</f>
        <v>3.684778333333333</v>
      </c>
      <c r="N47" s="149">
        <f t="shared" ref="N47" si="11">P47*0.75*14*115*0.05/2000</f>
        <v>222.46849187500004</v>
      </c>
      <c r="O47" s="149">
        <f t="shared" ref="O47" si="12">P47</f>
        <v>7369.5566666666664</v>
      </c>
      <c r="P47" s="149">
        <f>J47/9</f>
        <v>7369.5566666666664</v>
      </c>
      <c r="Q47" s="149">
        <f>(J47*(6/12))/27</f>
        <v>1228.2594444444444</v>
      </c>
      <c r="R47" s="149">
        <f>Q47</f>
        <v>1228.2594444444444</v>
      </c>
      <c r="S47" s="205"/>
      <c r="T47" s="205">
        <f>(J47/9)*0.09*2</f>
        <v>1326.5201999999999</v>
      </c>
      <c r="U47" s="205">
        <f>(J47*(1.5/12))/27</f>
        <v>307.0648611111111</v>
      </c>
      <c r="V47" s="205">
        <f>(J47*(1.75/12))/27</f>
        <v>358.24233796296295</v>
      </c>
      <c r="W47" s="205"/>
      <c r="X47" s="151"/>
      <c r="Y47" s="143"/>
      <c r="Z47" s="143"/>
      <c r="AA47" s="143"/>
      <c r="AB47" s="143"/>
      <c r="AC47" s="143"/>
      <c r="AE47" s="424"/>
    </row>
    <row r="48" spans="2:31" ht="12.75" customHeight="1" x14ac:dyDescent="0.25">
      <c r="B48" s="42"/>
      <c r="D48" s="216" t="s">
        <v>28</v>
      </c>
      <c r="E48" s="217">
        <v>66169.3</v>
      </c>
      <c r="F48" s="217">
        <v>68186.600000000006</v>
      </c>
      <c r="G48" s="218" t="s">
        <v>34</v>
      </c>
      <c r="H48" s="219">
        <f>F48-E48</f>
        <v>2017.3000000000029</v>
      </c>
      <c r="I48" s="219"/>
      <c r="J48" s="219"/>
      <c r="K48" s="431" t="str">
        <f t="shared" si="4"/>
        <v>01</v>
      </c>
      <c r="L48" s="220"/>
      <c r="M48" s="221">
        <f>(H48*1.5)/9/2000</f>
        <v>0.16810833333333358</v>
      </c>
      <c r="N48" s="220">
        <f>P48*0.75*14*115*0.05/2000</f>
        <v>20.299081250000032</v>
      </c>
      <c r="O48" s="220">
        <f>P48</f>
        <v>672.4333333333343</v>
      </c>
      <c r="P48" s="220">
        <f>(H48*1.5/9)*2</f>
        <v>672.4333333333343</v>
      </c>
      <c r="Q48" s="220">
        <f>(H48*(6/12)*(4/12))/27</f>
        <v>12.452469135802486</v>
      </c>
      <c r="R48" s="220">
        <f>(H48*(6/12)*(10/12))/27</f>
        <v>31.131172839506217</v>
      </c>
      <c r="S48" s="220"/>
      <c r="T48" s="222"/>
      <c r="U48" s="222"/>
      <c r="V48" s="222"/>
      <c r="W48" s="175"/>
      <c r="X48" s="245"/>
      <c r="Y48" s="143"/>
      <c r="Z48" s="143"/>
      <c r="AA48" s="143"/>
      <c r="AB48" s="143"/>
      <c r="AC48" s="143"/>
      <c r="AE48" s="424"/>
    </row>
    <row r="49" spans="2:31" ht="12.75" customHeight="1" x14ac:dyDescent="0.25">
      <c r="B49" s="42"/>
      <c r="D49" s="176" t="s">
        <v>103</v>
      </c>
      <c r="E49" s="246">
        <v>66169.3</v>
      </c>
      <c r="F49" s="246">
        <v>66272.23</v>
      </c>
      <c r="G49" s="247" t="s">
        <v>32</v>
      </c>
      <c r="H49" s="178">
        <f>F49-E49</f>
        <v>102.92999999999302</v>
      </c>
      <c r="I49" s="178"/>
      <c r="J49" s="178">
        <v>221.53</v>
      </c>
      <c r="K49" s="431" t="str">
        <f t="shared" si="4"/>
        <v>01</v>
      </c>
      <c r="L49" s="179"/>
      <c r="M49" s="180">
        <f>P49/2000</f>
        <v>1.2307222222222223E-2</v>
      </c>
      <c r="N49" s="179">
        <f t="shared" ref="N49:N51" si="13">P49*0.75*14*115*0.05/2000</f>
        <v>0.74304854166666667</v>
      </c>
      <c r="O49" s="179">
        <f t="shared" ref="O49:O51" si="14">P49</f>
        <v>24.614444444444445</v>
      </c>
      <c r="P49" s="179">
        <f>(J49/9)</f>
        <v>24.614444444444445</v>
      </c>
      <c r="Q49" s="179"/>
      <c r="R49" s="179">
        <f>((H49*(6/12)*(20.4/12))/27)</f>
        <v>3.2403888888886687</v>
      </c>
      <c r="S49" s="161"/>
      <c r="T49" s="160">
        <f>P49*0.09</f>
        <v>2.2153</v>
      </c>
      <c r="U49" s="160"/>
      <c r="V49" s="160"/>
      <c r="W49" s="161"/>
      <c r="X49" s="161"/>
      <c r="Y49" s="161"/>
      <c r="Z49" s="143"/>
      <c r="AA49" s="143"/>
      <c r="AB49" s="143"/>
      <c r="AC49" s="143"/>
      <c r="AE49" s="424"/>
    </row>
    <row r="50" spans="2:31" ht="12.75" customHeight="1" x14ac:dyDescent="0.25">
      <c r="B50" s="42"/>
      <c r="D50" s="153" t="s">
        <v>95</v>
      </c>
      <c r="E50" s="232">
        <v>66169.3</v>
      </c>
      <c r="F50" s="232">
        <v>66834.22</v>
      </c>
      <c r="G50" s="155" t="s">
        <v>32</v>
      </c>
      <c r="H50" s="156">
        <f>F50-E50</f>
        <v>664.91999999999825</v>
      </c>
      <c r="I50" s="156">
        <v>10</v>
      </c>
      <c r="J50" s="156">
        <v>6491.44</v>
      </c>
      <c r="K50" s="431" t="str">
        <f t="shared" si="4"/>
        <v>04</v>
      </c>
      <c r="L50" s="152"/>
      <c r="M50" s="98"/>
      <c r="N50" s="152">
        <f t="shared" si="13"/>
        <v>21.773371666666666</v>
      </c>
      <c r="O50" s="152">
        <f t="shared" si="14"/>
        <v>721.27111111111105</v>
      </c>
      <c r="P50" s="152">
        <f>J50/9</f>
        <v>721.27111111111105</v>
      </c>
      <c r="Q50" s="152"/>
      <c r="R50" s="152">
        <f>(J50*(6/12))/27</f>
        <v>120.21185185185185</v>
      </c>
      <c r="S50" s="152"/>
      <c r="T50" s="152"/>
      <c r="U50" s="157"/>
      <c r="V50" s="157"/>
      <c r="W50" s="157">
        <f>(J50*(1.5/12))/27</f>
        <v>30.052962962962962</v>
      </c>
      <c r="X50" s="157">
        <f>(J50*(2.5/12))/27</f>
        <v>50.088271604938264</v>
      </c>
      <c r="Y50" s="161"/>
      <c r="Z50" s="143"/>
      <c r="AA50" s="143"/>
      <c r="AB50" s="143"/>
      <c r="AC50" s="143"/>
      <c r="AE50" s="424"/>
    </row>
    <row r="51" spans="2:31" ht="12.75" customHeight="1" x14ac:dyDescent="0.25">
      <c r="B51" s="42"/>
      <c r="D51" s="158" t="s">
        <v>71</v>
      </c>
      <c r="E51" s="162">
        <f>E50</f>
        <v>66169.3</v>
      </c>
      <c r="F51" s="162">
        <v>66834.22</v>
      </c>
      <c r="G51" s="163" t="s">
        <v>32</v>
      </c>
      <c r="H51" s="159">
        <f>H50</f>
        <v>664.91999999999825</v>
      </c>
      <c r="I51" s="159"/>
      <c r="J51" s="159"/>
      <c r="K51" s="431" t="str">
        <f t="shared" si="4"/>
        <v>04</v>
      </c>
      <c r="L51" s="160"/>
      <c r="M51" s="169"/>
      <c r="N51" s="160">
        <f t="shared" si="13"/>
        <v>6.6907574999999824</v>
      </c>
      <c r="O51" s="160">
        <f t="shared" si="14"/>
        <v>221.63999999999942</v>
      </c>
      <c r="P51" s="160">
        <f>(H51*1.5/9)*2</f>
        <v>221.63999999999942</v>
      </c>
      <c r="Q51" s="160"/>
      <c r="R51" s="160">
        <f>((H51*(6/12)*(6/12))/27)*2</f>
        <v>12.313333333333301</v>
      </c>
      <c r="S51" s="161"/>
      <c r="T51" s="160"/>
      <c r="U51" s="160"/>
      <c r="V51" s="160"/>
      <c r="W51" s="161"/>
      <c r="X51" s="161"/>
      <c r="Y51" s="143"/>
      <c r="Z51" s="143"/>
      <c r="AA51" s="143"/>
      <c r="AB51" s="143"/>
      <c r="AC51" s="143"/>
      <c r="AE51" s="424"/>
    </row>
    <row r="52" spans="2:31" ht="12.75" customHeight="1" x14ac:dyDescent="0.25">
      <c r="B52" s="42"/>
      <c r="D52" s="153" t="s">
        <v>95</v>
      </c>
      <c r="E52" s="232">
        <v>66854.86</v>
      </c>
      <c r="F52" s="232">
        <v>68056.83</v>
      </c>
      <c r="G52" s="155" t="s">
        <v>32</v>
      </c>
      <c r="H52" s="156">
        <f>F52-E52</f>
        <v>1201.9700000000012</v>
      </c>
      <c r="I52" s="156">
        <v>10</v>
      </c>
      <c r="J52" s="156">
        <v>12387.69</v>
      </c>
      <c r="K52" s="431" t="str">
        <f t="shared" si="4"/>
        <v>04</v>
      </c>
      <c r="L52" s="152"/>
      <c r="M52" s="98"/>
      <c r="N52" s="152">
        <f t="shared" ref="N52:N53" si="15">P52*0.75*14*115*0.05/2000</f>
        <v>41.550376875000012</v>
      </c>
      <c r="O52" s="152">
        <f t="shared" ref="O52:O53" si="16">P52</f>
        <v>1376.41</v>
      </c>
      <c r="P52" s="152">
        <f>J52/9</f>
        <v>1376.41</v>
      </c>
      <c r="Q52" s="152"/>
      <c r="R52" s="152">
        <f>(J52*(6/12))/27</f>
        <v>229.40166666666667</v>
      </c>
      <c r="S52" s="152"/>
      <c r="T52" s="152"/>
      <c r="U52" s="157"/>
      <c r="V52" s="157"/>
      <c r="W52" s="157">
        <f>(J52*(1.5/12))/27</f>
        <v>57.350416666666668</v>
      </c>
      <c r="X52" s="157">
        <f>(J52*(2.5/12))/27</f>
        <v>95.584027777777791</v>
      </c>
      <c r="Y52" s="143"/>
      <c r="Z52" s="143"/>
      <c r="AA52" s="143"/>
      <c r="AB52" s="143"/>
      <c r="AC52" s="143"/>
      <c r="AE52" s="424"/>
    </row>
    <row r="53" spans="2:31" ht="12.75" customHeight="1" x14ac:dyDescent="0.25">
      <c r="B53" s="42"/>
      <c r="D53" s="158" t="s">
        <v>71</v>
      </c>
      <c r="E53" s="162">
        <f>E52</f>
        <v>66854.86</v>
      </c>
      <c r="F53" s="162">
        <f>F52</f>
        <v>68056.83</v>
      </c>
      <c r="G53" s="163" t="s">
        <v>32</v>
      </c>
      <c r="H53" s="159">
        <f>H52</f>
        <v>1201.9700000000012</v>
      </c>
      <c r="I53" s="159"/>
      <c r="J53" s="159"/>
      <c r="K53" s="431" t="str">
        <f t="shared" si="4"/>
        <v>04</v>
      </c>
      <c r="L53" s="160"/>
      <c r="M53" s="169"/>
      <c r="N53" s="160">
        <f t="shared" si="15"/>
        <v>12.094823125000012</v>
      </c>
      <c r="O53" s="160">
        <f t="shared" si="16"/>
        <v>400.65666666666704</v>
      </c>
      <c r="P53" s="160">
        <f>(H53*1.5/9)*2</f>
        <v>400.65666666666704</v>
      </c>
      <c r="Q53" s="160"/>
      <c r="R53" s="160">
        <f>((H53*(6/12)*(6/12))/27)*2</f>
        <v>22.258703703703727</v>
      </c>
      <c r="S53" s="161"/>
      <c r="T53" s="160"/>
      <c r="U53" s="160"/>
      <c r="V53" s="160"/>
      <c r="W53" s="161"/>
      <c r="X53" s="161"/>
      <c r="Y53" s="143"/>
      <c r="Z53" s="143"/>
      <c r="AA53" s="143"/>
      <c r="AB53" s="143"/>
      <c r="AC53" s="143"/>
      <c r="AE53" s="424"/>
    </row>
    <row r="54" spans="2:31" ht="12.75" customHeight="1" x14ac:dyDescent="0.25">
      <c r="B54" s="42"/>
      <c r="D54" s="153" t="s">
        <v>95</v>
      </c>
      <c r="E54" s="232">
        <v>68094.87</v>
      </c>
      <c r="F54" s="232">
        <v>68186.600000000006</v>
      </c>
      <c r="G54" s="155" t="s">
        <v>32</v>
      </c>
      <c r="H54" s="156">
        <f>F54-E54</f>
        <v>91.730000000010477</v>
      </c>
      <c r="I54" s="156">
        <v>10</v>
      </c>
      <c r="J54" s="156">
        <v>965.21</v>
      </c>
      <c r="K54" s="431" t="str">
        <f t="shared" si="4"/>
        <v>04</v>
      </c>
      <c r="L54" s="152"/>
      <c r="M54" s="98"/>
      <c r="N54" s="152">
        <f t="shared" ref="N54:N55" si="17">P54*0.75*14*115*0.05/2000</f>
        <v>3.2374752083333331</v>
      </c>
      <c r="O54" s="152">
        <f t="shared" ref="O54:O55" si="18">P54</f>
        <v>107.24555555555555</v>
      </c>
      <c r="P54" s="152">
        <f>J54/9</f>
        <v>107.24555555555555</v>
      </c>
      <c r="Q54" s="152"/>
      <c r="R54" s="152">
        <f>(J54*(6/12))/27</f>
        <v>17.874259259259262</v>
      </c>
      <c r="S54" s="152"/>
      <c r="T54" s="152"/>
      <c r="U54" s="157"/>
      <c r="V54" s="157"/>
      <c r="W54" s="157">
        <f>(J54*(1.5/12))/27</f>
        <v>4.4685648148148154</v>
      </c>
      <c r="X54" s="157">
        <f>(J54*(2.5/12))/27</f>
        <v>7.4476080246913581</v>
      </c>
      <c r="Y54" s="143"/>
      <c r="Z54" s="143"/>
      <c r="AA54" s="143"/>
      <c r="AB54" s="143"/>
      <c r="AC54" s="143"/>
      <c r="AE54" s="424"/>
    </row>
    <row r="55" spans="2:31" ht="12.75" customHeight="1" x14ac:dyDescent="0.25">
      <c r="B55" s="42"/>
      <c r="D55" s="158" t="s">
        <v>71</v>
      </c>
      <c r="E55" s="162">
        <f>E54</f>
        <v>68094.87</v>
      </c>
      <c r="F55" s="162">
        <f>F54</f>
        <v>68186.600000000006</v>
      </c>
      <c r="G55" s="163" t="s">
        <v>32</v>
      </c>
      <c r="H55" s="159">
        <f>H54</f>
        <v>91.730000000010477</v>
      </c>
      <c r="I55" s="159"/>
      <c r="J55" s="159"/>
      <c r="K55" s="431" t="str">
        <f t="shared" si="4"/>
        <v>04</v>
      </c>
      <c r="L55" s="160"/>
      <c r="M55" s="169"/>
      <c r="N55" s="160">
        <f t="shared" si="17"/>
        <v>0.92303312500010548</v>
      </c>
      <c r="O55" s="160">
        <f t="shared" si="18"/>
        <v>30.57666666667016</v>
      </c>
      <c r="P55" s="160">
        <f>(H55*1.5/9)*2</f>
        <v>30.57666666667016</v>
      </c>
      <c r="Q55" s="160"/>
      <c r="R55" s="160">
        <f>((H55*(6/12)*(6/12))/27)*2</f>
        <v>1.6987037037038977</v>
      </c>
      <c r="S55" s="161"/>
      <c r="T55" s="160"/>
      <c r="U55" s="160"/>
      <c r="V55" s="160"/>
      <c r="W55" s="161"/>
      <c r="X55" s="161"/>
      <c r="Y55" s="143"/>
      <c r="Z55" s="143"/>
      <c r="AA55" s="143"/>
      <c r="AB55" s="143"/>
      <c r="AC55" s="143"/>
      <c r="AE55" s="424"/>
    </row>
    <row r="56" spans="2:31" ht="12.75" customHeight="1" x14ac:dyDescent="0.25">
      <c r="B56" s="42"/>
      <c r="D56" s="153"/>
      <c r="E56" s="154"/>
      <c r="F56" s="154"/>
      <c r="G56" s="155"/>
      <c r="H56" s="156"/>
      <c r="I56" s="156"/>
      <c r="J56" s="156"/>
      <c r="K56" s="431" t="str">
        <f t="shared" si="4"/>
        <v/>
      </c>
      <c r="L56" s="152"/>
      <c r="M56" s="98"/>
      <c r="N56" s="152"/>
      <c r="O56" s="152"/>
      <c r="P56" s="152"/>
      <c r="Q56" s="152"/>
      <c r="R56" s="152"/>
      <c r="S56" s="157"/>
      <c r="T56" s="152"/>
      <c r="U56" s="152"/>
      <c r="V56" s="152"/>
      <c r="W56" s="157"/>
      <c r="X56" s="157"/>
      <c r="Y56" s="143"/>
      <c r="Z56" s="143"/>
      <c r="AA56" s="143"/>
      <c r="AB56" s="143"/>
      <c r="AC56" s="143"/>
    </row>
    <row r="57" spans="2:31" ht="12.75" customHeight="1" x14ac:dyDescent="0.25">
      <c r="B57" s="42"/>
      <c r="D57" s="212" t="s">
        <v>120</v>
      </c>
      <c r="E57" s="213">
        <v>68186.600000000006</v>
      </c>
      <c r="F57" s="213">
        <v>68393.210000000006</v>
      </c>
      <c r="G57" s="230" t="s">
        <v>34</v>
      </c>
      <c r="H57" s="214">
        <f>F57-E57</f>
        <v>206.61000000000058</v>
      </c>
      <c r="I57" s="214">
        <f>J57/H57</f>
        <v>27.692464062726799</v>
      </c>
      <c r="J57" s="214">
        <v>5721.54</v>
      </c>
      <c r="K57" s="431" t="str">
        <f t="shared" si="4"/>
        <v>01</v>
      </c>
      <c r="L57" s="149"/>
      <c r="M57" s="215">
        <f>J57/9/2000</f>
        <v>0.31786333333333333</v>
      </c>
      <c r="N57" s="149">
        <f t="shared" ref="N57:N61" si="19">P57*0.75*14*115*0.05/2000</f>
        <v>19.190998750000002</v>
      </c>
      <c r="O57" s="149">
        <f t="shared" ref="O57:O61" si="20">P57</f>
        <v>635.72666666666669</v>
      </c>
      <c r="P57" s="149">
        <f>J57/9</f>
        <v>635.72666666666669</v>
      </c>
      <c r="Q57" s="149">
        <f>(J57*(6/12))/27</f>
        <v>105.95444444444445</v>
      </c>
      <c r="R57" s="149">
        <f>Q57</f>
        <v>105.95444444444445</v>
      </c>
      <c r="S57" s="205"/>
      <c r="T57" s="205">
        <f>(J57/9)*0.09*2</f>
        <v>114.4308</v>
      </c>
      <c r="U57" s="205">
        <f>(J57*(1.5/12))/27</f>
        <v>26.488611111111112</v>
      </c>
      <c r="V57" s="205">
        <f>(J57*(1.75/12))/27</f>
        <v>30.903379629629629</v>
      </c>
      <c r="W57" s="205"/>
      <c r="X57" s="151"/>
      <c r="Y57" s="151"/>
      <c r="Z57" s="143"/>
      <c r="AA57" s="143"/>
      <c r="AB57" s="143"/>
      <c r="AC57" s="143"/>
      <c r="AE57" s="424"/>
    </row>
    <row r="58" spans="2:31" ht="12.75" customHeight="1" x14ac:dyDescent="0.25">
      <c r="B58" s="42"/>
      <c r="D58" s="170" t="s">
        <v>29</v>
      </c>
      <c r="E58" s="171">
        <f>E57</f>
        <v>68186.600000000006</v>
      </c>
      <c r="F58" s="171">
        <f>F57</f>
        <v>68393.210000000006</v>
      </c>
      <c r="G58" s="227" t="s">
        <v>34</v>
      </c>
      <c r="H58" s="172">
        <f>F58-E58</f>
        <v>206.61000000000058</v>
      </c>
      <c r="I58" s="172">
        <v>2.5</v>
      </c>
      <c r="J58" s="172">
        <v>1071.76</v>
      </c>
      <c r="K58" s="431" t="str">
        <f t="shared" si="4"/>
        <v>01</v>
      </c>
      <c r="L58" s="173"/>
      <c r="M58" s="174">
        <f>(J58/9/2000)+(H58*1)/9/2000</f>
        <v>7.1020555555555587E-2</v>
      </c>
      <c r="N58" s="173">
        <f t="shared" si="19"/>
        <v>4.9808704166666713</v>
      </c>
      <c r="O58" s="173">
        <f t="shared" si="20"/>
        <v>164.99777777777791</v>
      </c>
      <c r="P58" s="173">
        <f>(J58/9)+((H58*(12/12)/9)*2)</f>
        <v>164.99777777777791</v>
      </c>
      <c r="Q58" s="173"/>
      <c r="R58" s="173">
        <f>((J58*(6/12))/27)+((H58*(6/12)*(12/12))/27)</f>
        <v>23.673518518518527</v>
      </c>
      <c r="S58" s="175"/>
      <c r="T58" s="175"/>
      <c r="U58" s="175"/>
      <c r="V58" s="175"/>
      <c r="W58" s="175"/>
      <c r="X58" s="245"/>
      <c r="Y58" s="245"/>
      <c r="Z58" s="143"/>
      <c r="AA58" s="143"/>
      <c r="AB58" s="143"/>
      <c r="AC58" s="143"/>
      <c r="AE58" s="424"/>
    </row>
    <row r="59" spans="2:31" ht="12.75" customHeight="1" x14ac:dyDescent="0.25">
      <c r="B59" s="42"/>
      <c r="D59" s="244" t="s">
        <v>72</v>
      </c>
      <c r="E59" s="248">
        <v>68186.600000000006</v>
      </c>
      <c r="F59" s="248">
        <v>68393.210000000006</v>
      </c>
      <c r="G59" s="249" t="s">
        <v>34</v>
      </c>
      <c r="H59" s="250">
        <f>F59-E59</f>
        <v>206.61000000000058</v>
      </c>
      <c r="I59" s="250">
        <v>0.5</v>
      </c>
      <c r="J59" s="250">
        <v>226.03</v>
      </c>
      <c r="K59" s="431" t="str">
        <f t="shared" si="4"/>
        <v>01</v>
      </c>
      <c r="L59" s="251"/>
      <c r="M59" s="252">
        <f>(J59/9/2000)+(H59*1)/9/2000</f>
        <v>2.4035555555555588E-2</v>
      </c>
      <c r="N59" s="251">
        <f>P59*0.75*14*115*0.05/2000</f>
        <v>0.75814229166666669</v>
      </c>
      <c r="O59" s="251">
        <f t="shared" si="20"/>
        <v>25.114444444444445</v>
      </c>
      <c r="P59" s="251">
        <f>(J59/9)</f>
        <v>25.114444444444445</v>
      </c>
      <c r="Q59" s="251"/>
      <c r="R59" s="251">
        <f>((J59*(6/12))/27)+((H59*(6/12)*(12/12))/27)</f>
        <v>8.011851851851862</v>
      </c>
      <c r="S59" s="253"/>
      <c r="T59" s="251"/>
      <c r="U59" s="251"/>
      <c r="V59" s="251"/>
      <c r="W59" s="253"/>
      <c r="X59" s="253"/>
      <c r="Y59" s="253"/>
      <c r="Z59" s="143"/>
      <c r="AA59" s="143"/>
      <c r="AB59" s="143"/>
      <c r="AC59" s="143"/>
      <c r="AE59" s="424"/>
    </row>
    <row r="60" spans="2:31" ht="12.75" customHeight="1" x14ac:dyDescent="0.25">
      <c r="B60" s="42"/>
      <c r="D60" s="153" t="s">
        <v>95</v>
      </c>
      <c r="E60" s="154">
        <v>68186.600000000006</v>
      </c>
      <c r="F60" s="154">
        <v>68351.759999999995</v>
      </c>
      <c r="G60" s="155" t="s">
        <v>32</v>
      </c>
      <c r="H60" s="156">
        <f>F60-E60</f>
        <v>165.15999999998894</v>
      </c>
      <c r="I60" s="156">
        <f>J60/H60</f>
        <v>10.333858077016918</v>
      </c>
      <c r="J60" s="156">
        <v>1706.74</v>
      </c>
      <c r="K60" s="431" t="str">
        <f t="shared" si="4"/>
        <v>04</v>
      </c>
      <c r="L60" s="152"/>
      <c r="M60" s="98"/>
      <c r="N60" s="152">
        <f t="shared" si="19"/>
        <v>5.7246904166666681</v>
      </c>
      <c r="O60" s="152">
        <f t="shared" si="20"/>
        <v>189.63777777777779</v>
      </c>
      <c r="P60" s="152">
        <f>J60/9</f>
        <v>189.63777777777779</v>
      </c>
      <c r="Q60" s="152"/>
      <c r="R60" s="152">
        <f>(J60*(6/12))/27</f>
        <v>31.606296296296296</v>
      </c>
      <c r="S60" s="152"/>
      <c r="T60" s="152"/>
      <c r="U60" s="157"/>
      <c r="V60" s="157"/>
      <c r="W60" s="157">
        <f>(J60*(1.5/12))/27</f>
        <v>7.9015740740740741</v>
      </c>
      <c r="X60" s="157">
        <f>(J60*(2.5/12))/27</f>
        <v>13.16929012345679</v>
      </c>
      <c r="Y60" s="253"/>
      <c r="Z60" s="143"/>
      <c r="AA60" s="143"/>
      <c r="AB60" s="143"/>
      <c r="AC60" s="143"/>
      <c r="AE60" s="424"/>
    </row>
    <row r="61" spans="2:31" ht="12.75" customHeight="1" x14ac:dyDescent="0.25">
      <c r="B61" s="42"/>
      <c r="D61" s="158" t="s">
        <v>71</v>
      </c>
      <c r="E61" s="162">
        <f>E60</f>
        <v>68186.600000000006</v>
      </c>
      <c r="F61" s="162">
        <f>F60</f>
        <v>68351.759999999995</v>
      </c>
      <c r="G61" s="163" t="s">
        <v>32</v>
      </c>
      <c r="H61" s="159">
        <f>H60</f>
        <v>165.15999999998894</v>
      </c>
      <c r="I61" s="159"/>
      <c r="J61" s="159"/>
      <c r="K61" s="431" t="str">
        <f t="shared" si="4"/>
        <v>04</v>
      </c>
      <c r="L61" s="160"/>
      <c r="M61" s="169"/>
      <c r="N61" s="160">
        <f t="shared" si="19"/>
        <v>1.6619224999998887</v>
      </c>
      <c r="O61" s="160">
        <f t="shared" si="20"/>
        <v>55.053333333329647</v>
      </c>
      <c r="P61" s="160">
        <f>(H61*1.5/9)*2</f>
        <v>55.053333333329647</v>
      </c>
      <c r="Q61" s="160"/>
      <c r="R61" s="160">
        <f>((H61*(6/12)*(6/12))/27)*2</f>
        <v>3.0585185185183139</v>
      </c>
      <c r="S61" s="161"/>
      <c r="T61" s="160"/>
      <c r="U61" s="160"/>
      <c r="V61" s="160"/>
      <c r="W61" s="161"/>
      <c r="X61" s="161"/>
      <c r="Y61" s="143"/>
      <c r="Z61" s="143"/>
      <c r="AA61" s="143"/>
      <c r="AB61" s="143"/>
      <c r="AC61" s="143"/>
      <c r="AE61" s="424"/>
    </row>
    <row r="62" spans="2:31" ht="12.75" customHeight="1" x14ac:dyDescent="0.25">
      <c r="B62" s="42"/>
      <c r="D62" s="153" t="s">
        <v>95</v>
      </c>
      <c r="E62" s="154">
        <v>68361.22</v>
      </c>
      <c r="F62" s="154">
        <v>68393.210000000006</v>
      </c>
      <c r="G62" s="155" t="s">
        <v>32</v>
      </c>
      <c r="H62" s="156">
        <f>F62-E62</f>
        <v>31.990000000005239</v>
      </c>
      <c r="I62" s="156">
        <f>J62/H62</f>
        <v>5.1159737417934732</v>
      </c>
      <c r="J62" s="156">
        <v>163.66</v>
      </c>
      <c r="K62" s="431" t="str">
        <f t="shared" si="4"/>
        <v>04</v>
      </c>
      <c r="L62" s="152"/>
      <c r="M62" s="98"/>
      <c r="N62" s="152">
        <f t="shared" ref="N62:N63" si="21">P62*0.75*14*115*0.05/2000</f>
        <v>0.54894291666666672</v>
      </c>
      <c r="O62" s="152">
        <f t="shared" ref="O62:O63" si="22">P62</f>
        <v>18.184444444444445</v>
      </c>
      <c r="P62" s="152">
        <f>J62/9</f>
        <v>18.184444444444445</v>
      </c>
      <c r="Q62" s="152"/>
      <c r="R62" s="152">
        <f>(J62*(6/12))/27</f>
        <v>3.0307407407407405</v>
      </c>
      <c r="S62" s="152"/>
      <c r="T62" s="152"/>
      <c r="U62" s="157"/>
      <c r="V62" s="157"/>
      <c r="W62" s="157">
        <f>(J62*(1.5/12))/27</f>
        <v>0.75768518518518513</v>
      </c>
      <c r="X62" s="157">
        <f>(J62*(2.5/12))/27</f>
        <v>1.2628086419753086</v>
      </c>
      <c r="Y62" s="253"/>
      <c r="Z62" s="143"/>
      <c r="AA62" s="143"/>
      <c r="AB62" s="143"/>
      <c r="AC62" s="143"/>
      <c r="AE62" s="424"/>
    </row>
    <row r="63" spans="2:31" ht="12.75" customHeight="1" x14ac:dyDescent="0.25">
      <c r="B63" s="42"/>
      <c r="D63" s="158" t="s">
        <v>71</v>
      </c>
      <c r="E63" s="162">
        <f>E62</f>
        <v>68361.22</v>
      </c>
      <c r="F63" s="162">
        <f>F62</f>
        <v>68393.210000000006</v>
      </c>
      <c r="G63" s="163" t="s">
        <v>32</v>
      </c>
      <c r="H63" s="159">
        <f>H62</f>
        <v>31.990000000005239</v>
      </c>
      <c r="I63" s="159"/>
      <c r="J63" s="159"/>
      <c r="K63" s="431" t="str">
        <f t="shared" si="4"/>
        <v>04</v>
      </c>
      <c r="L63" s="160"/>
      <c r="M63" s="169"/>
      <c r="N63" s="160">
        <f t="shared" si="21"/>
        <v>0.32189937500005272</v>
      </c>
      <c r="O63" s="160">
        <f t="shared" si="22"/>
        <v>10.66333333333508</v>
      </c>
      <c r="P63" s="160">
        <f>(H63*1.5/9)*2</f>
        <v>10.66333333333508</v>
      </c>
      <c r="Q63" s="160"/>
      <c r="R63" s="160">
        <f>((H63*(6/12)*(6/12))/27)*2</f>
        <v>0.59240740740750442</v>
      </c>
      <c r="S63" s="161"/>
      <c r="T63" s="160"/>
      <c r="U63" s="160"/>
      <c r="V63" s="160"/>
      <c r="W63" s="161"/>
      <c r="X63" s="161"/>
      <c r="Y63" s="143"/>
      <c r="Z63" s="143"/>
      <c r="AA63" s="143"/>
      <c r="AB63" s="143"/>
      <c r="AC63" s="143"/>
      <c r="AE63" s="424"/>
    </row>
    <row r="64" spans="2:31" ht="12.75" customHeight="1" x14ac:dyDescent="0.25">
      <c r="B64" s="42"/>
      <c r="D64" s="153" t="s">
        <v>95</v>
      </c>
      <c r="E64" s="154">
        <v>68364.61</v>
      </c>
      <c r="F64" s="154">
        <v>68381.72</v>
      </c>
      <c r="G64" s="155" t="s">
        <v>33</v>
      </c>
      <c r="H64" s="156">
        <f>F64-E64</f>
        <v>17.110000000000582</v>
      </c>
      <c r="I64" s="156">
        <f>J64/H64</f>
        <v>9.5651665692574177</v>
      </c>
      <c r="J64" s="156">
        <v>163.66</v>
      </c>
      <c r="K64" s="431" t="str">
        <f t="shared" si="4"/>
        <v>04</v>
      </c>
      <c r="L64" s="152"/>
      <c r="M64" s="98"/>
      <c r="N64" s="152">
        <f t="shared" ref="N64:N65" si="23">P64*0.75*14*115*0.05/2000</f>
        <v>0.54894291666666672</v>
      </c>
      <c r="O64" s="152">
        <f t="shared" ref="O64:O65" si="24">P64</f>
        <v>18.184444444444445</v>
      </c>
      <c r="P64" s="152">
        <f>J64/9</f>
        <v>18.184444444444445</v>
      </c>
      <c r="Q64" s="152"/>
      <c r="R64" s="152">
        <f>(J64*(6/12))/27</f>
        <v>3.0307407407407405</v>
      </c>
      <c r="S64" s="152"/>
      <c r="T64" s="152"/>
      <c r="U64" s="157"/>
      <c r="V64" s="157"/>
      <c r="W64" s="157">
        <f>(J64*(1.5/12))/27</f>
        <v>0.75768518518518513</v>
      </c>
      <c r="X64" s="157">
        <f>(J64*(2.5/12))/27</f>
        <v>1.2628086419753086</v>
      </c>
      <c r="Y64" s="143"/>
      <c r="Z64" s="143"/>
      <c r="AA64" s="143"/>
      <c r="AB64" s="143"/>
      <c r="AC64" s="143"/>
      <c r="AE64" s="424"/>
    </row>
    <row r="65" spans="2:31" ht="12.75" customHeight="1" x14ac:dyDescent="0.25">
      <c r="B65" s="42"/>
      <c r="D65" s="158" t="s">
        <v>71</v>
      </c>
      <c r="E65" s="162">
        <f>E64</f>
        <v>68364.61</v>
      </c>
      <c r="F65" s="162">
        <f>F64</f>
        <v>68381.72</v>
      </c>
      <c r="G65" s="163" t="s">
        <v>33</v>
      </c>
      <c r="H65" s="159">
        <f>H64</f>
        <v>17.110000000000582</v>
      </c>
      <c r="I65" s="159"/>
      <c r="J65" s="159"/>
      <c r="K65" s="431" t="str">
        <f t="shared" si="4"/>
        <v>04</v>
      </c>
      <c r="L65" s="160"/>
      <c r="M65" s="169"/>
      <c r="N65" s="160">
        <f t="shared" si="23"/>
        <v>0.17216937500000587</v>
      </c>
      <c r="O65" s="160">
        <f t="shared" si="24"/>
        <v>5.7033333333335277</v>
      </c>
      <c r="P65" s="160">
        <f>(H65*1.5/9)*2</f>
        <v>5.7033333333335277</v>
      </c>
      <c r="Q65" s="160"/>
      <c r="R65" s="160">
        <f>((H65*(6/12)*(6/12))/27)*2</f>
        <v>0.31685185185186265</v>
      </c>
      <c r="S65" s="161"/>
      <c r="T65" s="160"/>
      <c r="U65" s="160"/>
      <c r="V65" s="160"/>
      <c r="W65" s="161"/>
      <c r="X65" s="161"/>
      <c r="Y65" s="143"/>
      <c r="Z65" s="143"/>
      <c r="AA65" s="143"/>
      <c r="AB65" s="143"/>
      <c r="AC65" s="143"/>
      <c r="AE65" s="424"/>
    </row>
    <row r="66" spans="2:31" ht="12.75" customHeight="1" x14ac:dyDescent="0.25">
      <c r="B66" s="42"/>
      <c r="D66" s="153"/>
      <c r="E66" s="154"/>
      <c r="F66" s="154"/>
      <c r="G66" s="155"/>
      <c r="H66" s="156"/>
      <c r="I66" s="156"/>
      <c r="J66" s="156"/>
      <c r="K66" s="431" t="str">
        <f t="shared" si="4"/>
        <v/>
      </c>
      <c r="L66" s="152"/>
      <c r="M66" s="98"/>
      <c r="N66" s="152"/>
      <c r="O66" s="152"/>
      <c r="P66" s="152"/>
      <c r="Q66" s="152"/>
      <c r="R66" s="168"/>
      <c r="S66" s="143"/>
      <c r="T66" s="152"/>
      <c r="U66" s="152"/>
      <c r="V66" s="152"/>
      <c r="W66" s="143"/>
      <c r="X66" s="143"/>
      <c r="Y66" s="143"/>
      <c r="Z66" s="143"/>
      <c r="AA66" s="143"/>
      <c r="AB66" s="143"/>
      <c r="AC66" s="143"/>
    </row>
    <row r="67" spans="2:31" ht="12.75" customHeight="1" x14ac:dyDescent="0.25">
      <c r="B67" s="42"/>
      <c r="D67" s="231" t="s">
        <v>30</v>
      </c>
      <c r="E67" s="232">
        <v>68186.600000000006</v>
      </c>
      <c r="F67" s="232">
        <v>68393.210000000006</v>
      </c>
      <c r="G67" s="233" t="s">
        <v>34</v>
      </c>
      <c r="H67" s="234">
        <f>F67-E67</f>
        <v>206.61000000000058</v>
      </c>
      <c r="I67" s="234">
        <f>J67/H67</f>
        <v>8.4288272590871447</v>
      </c>
      <c r="J67" s="234">
        <v>1741.48</v>
      </c>
      <c r="K67" s="431" t="str">
        <f t="shared" si="4"/>
        <v>01</v>
      </c>
      <c r="L67" s="235"/>
      <c r="M67" s="240">
        <f>(J67/9/2000)+(124.06/9/2000)</f>
        <v>0.1036411111111111</v>
      </c>
      <c r="N67" s="235">
        <f>P67*0.75*14*115*0.05/2000</f>
        <v>6.2573320833333339</v>
      </c>
      <c r="O67" s="235">
        <f>P67</f>
        <v>207.2822222222222</v>
      </c>
      <c r="P67" s="235">
        <f>(J67/9)+(124.06/9)</f>
        <v>207.2822222222222</v>
      </c>
      <c r="Q67" s="235"/>
      <c r="R67" s="235"/>
      <c r="S67" s="235">
        <f>((J67*(15.25/12))/27)+((124.06*(4.25/12))/27)</f>
        <v>83.595138888888883</v>
      </c>
      <c r="T67" s="237"/>
      <c r="U67" s="237"/>
      <c r="V67" s="237"/>
      <c r="W67" s="237"/>
      <c r="X67" s="237"/>
      <c r="Y67" s="237">
        <f>J67/9</f>
        <v>193.49777777777777</v>
      </c>
      <c r="Z67" s="143"/>
      <c r="AA67" s="143"/>
      <c r="AB67" s="143"/>
      <c r="AC67" s="143"/>
      <c r="AE67" s="424"/>
    </row>
    <row r="68" spans="2:31" ht="12.75" customHeight="1" x14ac:dyDescent="0.25">
      <c r="B68" s="42"/>
      <c r="D68" s="244"/>
      <c r="E68" s="248"/>
      <c r="F68" s="248"/>
      <c r="G68" s="249"/>
      <c r="H68" s="250"/>
      <c r="I68" s="250"/>
      <c r="J68" s="250"/>
      <c r="K68" s="431" t="str">
        <f t="shared" si="4"/>
        <v/>
      </c>
      <c r="L68" s="251"/>
      <c r="M68" s="252"/>
      <c r="N68" s="251"/>
      <c r="O68" s="251"/>
      <c r="P68" s="251"/>
      <c r="Q68" s="251"/>
      <c r="R68" s="251"/>
      <c r="S68" s="253"/>
      <c r="T68" s="251"/>
      <c r="U68" s="251"/>
      <c r="V68" s="251"/>
      <c r="W68" s="253"/>
      <c r="X68" s="253"/>
      <c r="Y68" s="253"/>
      <c r="Z68" s="143"/>
      <c r="AA68" s="143"/>
      <c r="AB68" s="143"/>
      <c r="AC68" s="143"/>
    </row>
    <row r="69" spans="2:31" ht="12.75" customHeight="1" x14ac:dyDescent="0.25">
      <c r="B69" s="42"/>
      <c r="D69" s="212" t="s">
        <v>120</v>
      </c>
      <c r="E69" s="213">
        <v>68537.53</v>
      </c>
      <c r="F69" s="213">
        <v>68869.570000000007</v>
      </c>
      <c r="G69" s="230" t="s">
        <v>34</v>
      </c>
      <c r="H69" s="214">
        <f>F69-E69</f>
        <v>332.04000000000815</v>
      </c>
      <c r="I69" s="214">
        <f>J69/H69</f>
        <v>30.185760751715918</v>
      </c>
      <c r="J69" s="214">
        <v>10022.879999999999</v>
      </c>
      <c r="K69" s="431" t="str">
        <f t="shared" si="4"/>
        <v>01</v>
      </c>
      <c r="L69" s="149"/>
      <c r="M69" s="215">
        <f>J69/9/2000</f>
        <v>0.55682666666666658</v>
      </c>
      <c r="N69" s="149">
        <f t="shared" ref="N69:N70" si="25">P69*0.75*14*115*0.05/2000</f>
        <v>33.618409999999997</v>
      </c>
      <c r="O69" s="149">
        <f t="shared" ref="O69:O73" si="26">P69</f>
        <v>1113.6533333333332</v>
      </c>
      <c r="P69" s="149">
        <f>J69/9</f>
        <v>1113.6533333333332</v>
      </c>
      <c r="Q69" s="149">
        <f>(J69*(6/12))/27</f>
        <v>185.60888888888888</v>
      </c>
      <c r="R69" s="149">
        <f>Q69</f>
        <v>185.60888888888888</v>
      </c>
      <c r="S69" s="205"/>
      <c r="T69" s="205">
        <f>(J69/9)*0.09*2</f>
        <v>200.45759999999996</v>
      </c>
      <c r="U69" s="205">
        <f>(J69*(1.5/12))/27</f>
        <v>46.402222222222221</v>
      </c>
      <c r="V69" s="205">
        <f>(J69*(1.75/12))/27</f>
        <v>54.135925925925932</v>
      </c>
      <c r="W69" s="205"/>
      <c r="X69" s="151"/>
      <c r="Y69" s="151"/>
      <c r="Z69" s="143"/>
      <c r="AA69" s="143"/>
      <c r="AB69" s="143"/>
      <c r="AC69" s="143"/>
      <c r="AE69" s="424"/>
    </row>
    <row r="70" spans="2:31" ht="12.75" customHeight="1" x14ac:dyDescent="0.25">
      <c r="B70" s="42"/>
      <c r="D70" s="170" t="s">
        <v>29</v>
      </c>
      <c r="E70" s="171">
        <f>E69</f>
        <v>68537.53</v>
      </c>
      <c r="F70" s="171">
        <f>F69</f>
        <v>68869.570000000007</v>
      </c>
      <c r="G70" s="227" t="s">
        <v>34</v>
      </c>
      <c r="H70" s="172">
        <f>F70-E70</f>
        <v>332.04000000000815</v>
      </c>
      <c r="I70" s="172">
        <v>2.5</v>
      </c>
      <c r="J70" s="172">
        <v>1695.55</v>
      </c>
      <c r="K70" s="431" t="str">
        <f t="shared" si="4"/>
        <v>01</v>
      </c>
      <c r="L70" s="173"/>
      <c r="M70" s="174">
        <f>(J70/9/2000)+(H70*1)/9/2000</f>
        <v>0.11264388888888935</v>
      </c>
      <c r="N70" s="173">
        <f t="shared" si="25"/>
        <v>7.9145922916667235</v>
      </c>
      <c r="O70" s="173">
        <f t="shared" si="26"/>
        <v>262.18111111111295</v>
      </c>
      <c r="P70" s="173">
        <f>(J70/9)+((H70*(12/12)/9)*2)</f>
        <v>262.18111111111295</v>
      </c>
      <c r="Q70" s="173"/>
      <c r="R70" s="173">
        <f>((J70*(6/12))/27)+((H70*(6/12)*(12/12))/27)</f>
        <v>37.547962962963112</v>
      </c>
      <c r="S70" s="175"/>
      <c r="T70" s="175"/>
      <c r="U70" s="175"/>
      <c r="V70" s="175"/>
      <c r="W70" s="175"/>
      <c r="X70" s="245"/>
      <c r="Y70" s="245"/>
      <c r="Z70" s="143"/>
      <c r="AA70" s="143"/>
      <c r="AB70" s="143"/>
      <c r="AC70" s="143"/>
      <c r="AE70" s="424"/>
    </row>
    <row r="71" spans="2:31" ht="12.75" customHeight="1" x14ac:dyDescent="0.25">
      <c r="B71" s="42"/>
      <c r="D71" s="244" t="s">
        <v>72</v>
      </c>
      <c r="E71" s="248">
        <v>68537.53</v>
      </c>
      <c r="F71" s="248">
        <v>68869.570000000007</v>
      </c>
      <c r="G71" s="249" t="s">
        <v>34</v>
      </c>
      <c r="H71" s="250">
        <f>F71-E71</f>
        <v>332.04000000000815</v>
      </c>
      <c r="I71" s="250">
        <v>0.5</v>
      </c>
      <c r="J71" s="250">
        <v>202.96</v>
      </c>
      <c r="K71" s="431" t="str">
        <f t="shared" si="4"/>
        <v>01</v>
      </c>
      <c r="L71" s="251"/>
      <c r="M71" s="252">
        <f>(J71/9/2000)+(H71*1)/9/2000</f>
        <v>2.9722222222222677E-2</v>
      </c>
      <c r="N71" s="251">
        <f>P71*0.75*14*115*0.05/2000</f>
        <v>0.68076166666666682</v>
      </c>
      <c r="O71" s="251">
        <f t="shared" si="26"/>
        <v>22.551111111111112</v>
      </c>
      <c r="P71" s="251">
        <f>(J71/9)</f>
        <v>22.551111111111112</v>
      </c>
      <c r="Q71" s="251"/>
      <c r="R71" s="251">
        <f>((J71*(6/12))/27)+((H71*(6/12)*(12/12))/27)</f>
        <v>9.9074074074075593</v>
      </c>
      <c r="S71" s="253"/>
      <c r="T71" s="251"/>
      <c r="U71" s="251"/>
      <c r="V71" s="251"/>
      <c r="W71" s="253"/>
      <c r="X71" s="253"/>
      <c r="Y71" s="253"/>
      <c r="Z71" s="143"/>
      <c r="AA71" s="143"/>
      <c r="AB71" s="143"/>
      <c r="AC71" s="143"/>
      <c r="AE71" s="424"/>
    </row>
    <row r="72" spans="2:31" ht="12.75" customHeight="1" x14ac:dyDescent="0.25">
      <c r="B72" s="42"/>
      <c r="D72" s="153" t="s">
        <v>95</v>
      </c>
      <c r="E72" s="154">
        <v>68537.53</v>
      </c>
      <c r="F72" s="154">
        <v>68712.850000000006</v>
      </c>
      <c r="G72" s="155" t="s">
        <v>32</v>
      </c>
      <c r="H72" s="156">
        <f>F72-E72</f>
        <v>175.32000000000698</v>
      </c>
      <c r="I72" s="156">
        <f>J72/H72</f>
        <v>8.9008669860822369</v>
      </c>
      <c r="J72" s="156">
        <v>1560.5</v>
      </c>
      <c r="K72" s="431" t="str">
        <f t="shared" si="4"/>
        <v>04</v>
      </c>
      <c r="L72" s="152"/>
      <c r="M72" s="98"/>
      <c r="N72" s="152">
        <f t="shared" ref="N72:N73" si="27">P72*0.75*14*115*0.05/2000</f>
        <v>5.234177083333333</v>
      </c>
      <c r="O72" s="152">
        <f t="shared" si="26"/>
        <v>173.38888888888889</v>
      </c>
      <c r="P72" s="152">
        <f>J72/9</f>
        <v>173.38888888888889</v>
      </c>
      <c r="Q72" s="152"/>
      <c r="R72" s="152">
        <f>(J72*(6/12))/27</f>
        <v>28.898148148148149</v>
      </c>
      <c r="S72" s="152"/>
      <c r="T72" s="152"/>
      <c r="U72" s="157"/>
      <c r="V72" s="157"/>
      <c r="W72" s="157">
        <f>(J72*(1.5/12))/27</f>
        <v>7.2245370370370372</v>
      </c>
      <c r="X72" s="157">
        <f>(J72*(2.5/12))/27</f>
        <v>12.040895061728396</v>
      </c>
      <c r="Y72" s="253"/>
      <c r="Z72" s="143"/>
      <c r="AA72" s="143"/>
      <c r="AB72" s="143"/>
      <c r="AC72" s="143"/>
      <c r="AE72" s="424"/>
    </row>
    <row r="73" spans="2:31" ht="12.75" customHeight="1" x14ac:dyDescent="0.25">
      <c r="B73" s="42"/>
      <c r="D73" s="158" t="s">
        <v>71</v>
      </c>
      <c r="E73" s="162">
        <f>E72</f>
        <v>68537.53</v>
      </c>
      <c r="F73" s="162">
        <f>F72</f>
        <v>68712.850000000006</v>
      </c>
      <c r="G73" s="163" t="s">
        <v>32</v>
      </c>
      <c r="H73" s="159">
        <f>H72</f>
        <v>175.32000000000698</v>
      </c>
      <c r="I73" s="159"/>
      <c r="J73" s="159"/>
      <c r="K73" s="431" t="str">
        <f t="shared" si="4"/>
        <v>04</v>
      </c>
      <c r="L73" s="160"/>
      <c r="M73" s="169"/>
      <c r="N73" s="160">
        <f t="shared" si="27"/>
        <v>1.7641575000000702</v>
      </c>
      <c r="O73" s="160">
        <f t="shared" si="26"/>
        <v>58.440000000002328</v>
      </c>
      <c r="P73" s="160">
        <f>(H73*1.5/9)*2</f>
        <v>58.440000000002328</v>
      </c>
      <c r="Q73" s="160"/>
      <c r="R73" s="160">
        <f>((H73*(6/12)*(6/12))/27)*2</f>
        <v>3.2466666666667958</v>
      </c>
      <c r="S73" s="161"/>
      <c r="T73" s="160"/>
      <c r="U73" s="160"/>
      <c r="V73" s="160"/>
      <c r="W73" s="161"/>
      <c r="X73" s="161"/>
      <c r="Y73" s="143"/>
      <c r="Z73" s="143"/>
      <c r="AA73" s="143"/>
      <c r="AB73" s="143"/>
      <c r="AC73" s="143"/>
      <c r="AE73" s="424"/>
    </row>
    <row r="74" spans="2:31" ht="12.75" customHeight="1" x14ac:dyDescent="0.25">
      <c r="B74" s="42"/>
      <c r="D74" s="153" t="s">
        <v>95</v>
      </c>
      <c r="E74" s="154">
        <v>68756.740000000005</v>
      </c>
      <c r="F74" s="154">
        <v>68869.570000000007</v>
      </c>
      <c r="G74" s="155" t="s">
        <v>32</v>
      </c>
      <c r="H74" s="156">
        <f>F74-E74</f>
        <v>112.83000000000175</v>
      </c>
      <c r="I74" s="156">
        <f>J74/H74</f>
        <v>9.8307187804660359</v>
      </c>
      <c r="J74" s="156">
        <v>1109.2</v>
      </c>
      <c r="K74" s="431" t="str">
        <f t="shared" si="4"/>
        <v>04</v>
      </c>
      <c r="L74" s="152"/>
      <c r="M74" s="98"/>
      <c r="N74" s="152">
        <f t="shared" ref="N74:N75" si="28">P74*0.75*14*115*0.05/2000</f>
        <v>3.7204416666666664</v>
      </c>
      <c r="O74" s="152">
        <f t="shared" ref="O74:O75" si="29">P74</f>
        <v>123.24444444444445</v>
      </c>
      <c r="P74" s="152">
        <f>J74/9</f>
        <v>123.24444444444445</v>
      </c>
      <c r="Q74" s="152"/>
      <c r="R74" s="152">
        <f>(J74*(6/12))/27</f>
        <v>20.540740740740741</v>
      </c>
      <c r="S74" s="152"/>
      <c r="T74" s="152"/>
      <c r="U74" s="157"/>
      <c r="V74" s="157"/>
      <c r="W74" s="157">
        <f>(J74*(1.5/12))/27</f>
        <v>5.1351851851851853</v>
      </c>
      <c r="X74" s="157">
        <f>(J74*(2.5/12))/27</f>
        <v>8.5586419753086425</v>
      </c>
      <c r="Y74" s="253"/>
      <c r="Z74" s="143"/>
      <c r="AA74" s="143"/>
      <c r="AB74" s="143"/>
      <c r="AC74" s="143"/>
      <c r="AE74" s="424"/>
    </row>
    <row r="75" spans="2:31" ht="12.75" customHeight="1" x14ac:dyDescent="0.25">
      <c r="B75" s="42"/>
      <c r="D75" s="158" t="s">
        <v>71</v>
      </c>
      <c r="E75" s="162">
        <f>E74</f>
        <v>68756.740000000005</v>
      </c>
      <c r="F75" s="162">
        <f>F74</f>
        <v>68869.570000000007</v>
      </c>
      <c r="G75" s="163" t="s">
        <v>32</v>
      </c>
      <c r="H75" s="159">
        <f>H74</f>
        <v>112.83000000000175</v>
      </c>
      <c r="I75" s="159"/>
      <c r="J75" s="159"/>
      <c r="K75" s="431" t="str">
        <f t="shared" si="4"/>
        <v>04</v>
      </c>
      <c r="L75" s="160"/>
      <c r="M75" s="169"/>
      <c r="N75" s="160">
        <f t="shared" si="28"/>
        <v>1.1353518750000176</v>
      </c>
      <c r="O75" s="160">
        <f t="shared" si="29"/>
        <v>37.610000000000582</v>
      </c>
      <c r="P75" s="160">
        <f>(H75*1.5/9)*2</f>
        <v>37.610000000000582</v>
      </c>
      <c r="Q75" s="160"/>
      <c r="R75" s="160">
        <f>((H75*(6/12)*(6/12))/27)*2</f>
        <v>2.0894444444444766</v>
      </c>
      <c r="S75" s="161"/>
      <c r="T75" s="160"/>
      <c r="U75" s="160"/>
      <c r="V75" s="160"/>
      <c r="W75" s="161"/>
      <c r="X75" s="161"/>
      <c r="Y75" s="143"/>
      <c r="Z75" s="143"/>
      <c r="AA75" s="143"/>
      <c r="AB75" s="143"/>
      <c r="AC75" s="143"/>
      <c r="AE75" s="424"/>
    </row>
    <row r="76" spans="2:31" ht="12.75" customHeight="1" x14ac:dyDescent="0.25">
      <c r="B76" s="42"/>
      <c r="D76" s="153"/>
      <c r="E76" s="154"/>
      <c r="F76" s="154"/>
      <c r="G76" s="155"/>
      <c r="H76" s="156"/>
      <c r="I76" s="156"/>
      <c r="J76" s="156"/>
      <c r="K76" s="431" t="str">
        <f t="shared" si="4"/>
        <v/>
      </c>
      <c r="L76" s="152"/>
      <c r="M76" s="98"/>
      <c r="N76" s="152"/>
      <c r="O76" s="152"/>
      <c r="P76" s="152"/>
      <c r="Q76" s="152"/>
      <c r="R76" s="168"/>
      <c r="S76" s="143"/>
      <c r="T76" s="152"/>
      <c r="U76" s="152"/>
      <c r="V76" s="152"/>
      <c r="W76" s="143"/>
      <c r="X76" s="143"/>
      <c r="Y76" s="143"/>
      <c r="Z76" s="143"/>
      <c r="AA76" s="143"/>
      <c r="AB76" s="143"/>
      <c r="AC76" s="143"/>
    </row>
    <row r="77" spans="2:31" ht="12.75" customHeight="1" x14ac:dyDescent="0.25">
      <c r="B77" s="42"/>
      <c r="D77" s="231" t="s">
        <v>30</v>
      </c>
      <c r="E77" s="232">
        <v>68537.53</v>
      </c>
      <c r="F77" s="232">
        <v>68724.039999999994</v>
      </c>
      <c r="G77" s="233" t="s">
        <v>34</v>
      </c>
      <c r="H77" s="234">
        <f>F77-E77</f>
        <v>186.50999999999476</v>
      </c>
      <c r="I77" s="234">
        <f>J77/H77</f>
        <v>10.528068200096804</v>
      </c>
      <c r="J77" s="234">
        <v>1963.59</v>
      </c>
      <c r="K77" s="431" t="str">
        <f t="shared" si="4"/>
        <v>01</v>
      </c>
      <c r="L77" s="235"/>
      <c r="M77" s="240">
        <f>(J77/9/2000)</f>
        <v>0.10908833333333333</v>
      </c>
      <c r="N77" s="235">
        <f>P77*0.75*14*115*0.05/2000</f>
        <v>6.5862081250000006</v>
      </c>
      <c r="O77" s="235">
        <f>P77</f>
        <v>218.17666666666665</v>
      </c>
      <c r="P77" s="235">
        <f>(J77/9)</f>
        <v>218.17666666666665</v>
      </c>
      <c r="Q77" s="235"/>
      <c r="R77" s="235"/>
      <c r="S77" s="235">
        <f>((J77*(15.25/12))/27)</f>
        <v>92.422060185185174</v>
      </c>
      <c r="T77" s="237"/>
      <c r="U77" s="237"/>
      <c r="V77" s="237"/>
      <c r="W77" s="237"/>
      <c r="X77" s="237"/>
      <c r="Y77" s="237">
        <f>P77</f>
        <v>218.17666666666665</v>
      </c>
      <c r="Z77" s="143"/>
      <c r="AA77" s="143"/>
      <c r="AB77" s="143"/>
      <c r="AC77" s="143"/>
      <c r="AE77" s="424"/>
    </row>
    <row r="78" spans="2:31" ht="12.75" customHeight="1" x14ac:dyDescent="0.25">
      <c r="B78" s="42"/>
      <c r="D78" s="231"/>
      <c r="E78" s="232"/>
      <c r="F78" s="232"/>
      <c r="G78" s="233"/>
      <c r="H78" s="234"/>
      <c r="I78" s="234"/>
      <c r="J78" s="234"/>
      <c r="K78" s="431" t="str">
        <f t="shared" si="4"/>
        <v/>
      </c>
      <c r="L78" s="235"/>
      <c r="M78" s="240"/>
      <c r="N78" s="235"/>
      <c r="O78" s="235"/>
      <c r="P78" s="235"/>
      <c r="Q78" s="235"/>
      <c r="R78" s="235"/>
      <c r="S78" s="235"/>
      <c r="T78" s="237"/>
      <c r="U78" s="237"/>
      <c r="V78" s="237"/>
      <c r="W78" s="237"/>
      <c r="X78" s="237"/>
      <c r="Y78" s="237"/>
      <c r="Z78" s="143"/>
      <c r="AA78" s="143"/>
      <c r="AB78" s="143"/>
      <c r="AC78" s="143"/>
    </row>
    <row r="79" spans="2:31" ht="12.75" customHeight="1" x14ac:dyDescent="0.25">
      <c r="B79" s="42"/>
      <c r="D79" s="212" t="s">
        <v>120</v>
      </c>
      <c r="E79" s="213">
        <v>68869.53</v>
      </c>
      <c r="F79" s="213">
        <v>69245.97</v>
      </c>
      <c r="G79" s="230" t="s">
        <v>34</v>
      </c>
      <c r="H79" s="214">
        <f>F79-E79</f>
        <v>376.44000000000233</v>
      </c>
      <c r="I79" s="214">
        <f>J79/H79</f>
        <v>35.412203804058862</v>
      </c>
      <c r="J79" s="214">
        <v>13330.57</v>
      </c>
      <c r="K79" s="431" t="str">
        <f t="shared" si="4"/>
        <v>01</v>
      </c>
      <c r="L79" s="149"/>
      <c r="M79" s="215">
        <f>J79/9/2000</f>
        <v>0.74058722222222217</v>
      </c>
      <c r="N79" s="149">
        <f t="shared" ref="N79" si="30">P79*0.75*14*115*0.05/2000</f>
        <v>44.712953541666671</v>
      </c>
      <c r="O79" s="149">
        <f t="shared" ref="O79" si="31">P79</f>
        <v>1481.1744444444444</v>
      </c>
      <c r="P79" s="149">
        <f>J79/9</f>
        <v>1481.1744444444444</v>
      </c>
      <c r="Q79" s="149">
        <f>(J79*(6/12))/27</f>
        <v>246.8624074074074</v>
      </c>
      <c r="R79" s="149">
        <f>Q79</f>
        <v>246.8624074074074</v>
      </c>
      <c r="S79" s="205"/>
      <c r="T79" s="205">
        <f>(J79/9)*0.09*2</f>
        <v>266.6114</v>
      </c>
      <c r="U79" s="205">
        <f>(J79*(1.5/12))/27</f>
        <v>61.715601851851851</v>
      </c>
      <c r="V79" s="205">
        <f>(J79*(1.75/12))/27</f>
        <v>72.001535493827163</v>
      </c>
      <c r="W79" s="205"/>
      <c r="X79" s="151"/>
      <c r="Y79" s="143"/>
      <c r="Z79" s="143"/>
      <c r="AA79" s="143"/>
      <c r="AB79" s="143"/>
      <c r="AC79" s="143"/>
      <c r="AE79" s="424"/>
    </row>
    <row r="80" spans="2:31" ht="12.75" customHeight="1" x14ac:dyDescent="0.25">
      <c r="B80" s="42"/>
      <c r="D80" s="216" t="s">
        <v>28</v>
      </c>
      <c r="E80" s="217">
        <f>E79</f>
        <v>68869.53</v>
      </c>
      <c r="F80" s="217">
        <f>F79</f>
        <v>69245.97</v>
      </c>
      <c r="G80" s="218" t="s">
        <v>34</v>
      </c>
      <c r="H80" s="219">
        <f>F80-E80</f>
        <v>376.44000000000233</v>
      </c>
      <c r="I80" s="219"/>
      <c r="J80" s="219"/>
      <c r="K80" s="431" t="str">
        <f t="shared" si="4"/>
        <v>01</v>
      </c>
      <c r="L80" s="220"/>
      <c r="M80" s="221">
        <f>(H80*1.5)/9/2000</f>
        <v>3.1370000000000189E-2</v>
      </c>
      <c r="N80" s="220">
        <f>P80*0.75*14*115*0.05/2000</f>
        <v>3.7879275000000234</v>
      </c>
      <c r="O80" s="220">
        <f>P80</f>
        <v>125.48000000000077</v>
      </c>
      <c r="P80" s="220">
        <f>(H80*1.5/9)*2</f>
        <v>125.48000000000077</v>
      </c>
      <c r="Q80" s="220">
        <f>((H80*(6/12)*(4/12))/27)*2</f>
        <v>4.6474074074074361</v>
      </c>
      <c r="R80" s="220">
        <f>((H80*(6/12)*(10/12))/27)*2</f>
        <v>11.618518518518592</v>
      </c>
      <c r="S80" s="220"/>
      <c r="T80" s="222"/>
      <c r="U80" s="222"/>
      <c r="V80" s="222"/>
      <c r="W80" s="175"/>
      <c r="X80" s="245"/>
      <c r="Y80" s="143"/>
      <c r="Z80" s="143"/>
      <c r="AA80" s="143"/>
      <c r="AB80" s="143"/>
      <c r="AC80" s="143"/>
      <c r="AE80" s="424"/>
    </row>
    <row r="81" spans="2:31" ht="12.75" customHeight="1" x14ac:dyDescent="0.25">
      <c r="B81" s="42"/>
      <c r="D81" s="153" t="s">
        <v>95</v>
      </c>
      <c r="E81" s="232">
        <v>68869.53</v>
      </c>
      <c r="F81" s="232">
        <v>69245.97</v>
      </c>
      <c r="G81" s="155" t="s">
        <v>32</v>
      </c>
      <c r="H81" s="156">
        <f>(F81-E81)+19</f>
        <v>395.44000000000233</v>
      </c>
      <c r="I81" s="156">
        <f>J81/H81</f>
        <v>9.2499747117134792</v>
      </c>
      <c r="J81" s="156">
        <v>3657.81</v>
      </c>
      <c r="K81" s="431" t="str">
        <f t="shared" si="4"/>
        <v>04</v>
      </c>
      <c r="L81" s="152"/>
      <c r="M81" s="98"/>
      <c r="N81" s="152">
        <f t="shared" ref="N81:N82" si="32">P81*0.75*14*115*0.05/2000</f>
        <v>12.268904375</v>
      </c>
      <c r="O81" s="152">
        <f t="shared" ref="O81:O82" si="33">P81</f>
        <v>406.42333333333335</v>
      </c>
      <c r="P81" s="152">
        <f>J81/9</f>
        <v>406.42333333333335</v>
      </c>
      <c r="Q81" s="152"/>
      <c r="R81" s="152">
        <f>(J81*(6/12))/27</f>
        <v>67.737222222222215</v>
      </c>
      <c r="S81" s="152"/>
      <c r="T81" s="152"/>
      <c r="U81" s="157"/>
      <c r="V81" s="157"/>
      <c r="W81" s="157">
        <f>(J81*(1.5/12))/27</f>
        <v>16.934305555555554</v>
      </c>
      <c r="X81" s="157">
        <f>(J81*(2.5/12))/27</f>
        <v>28.223842592592593</v>
      </c>
      <c r="Y81" s="161"/>
      <c r="Z81" s="143"/>
      <c r="AA81" s="143"/>
      <c r="AB81" s="143"/>
      <c r="AC81" s="143"/>
      <c r="AE81" s="424"/>
    </row>
    <row r="82" spans="2:31" ht="12.75" customHeight="1" x14ac:dyDescent="0.25">
      <c r="B82" s="42"/>
      <c r="D82" s="158" t="s">
        <v>71</v>
      </c>
      <c r="E82" s="162">
        <f>E81</f>
        <v>68869.53</v>
      </c>
      <c r="F82" s="162">
        <f>F81</f>
        <v>69245.97</v>
      </c>
      <c r="G82" s="163" t="s">
        <v>32</v>
      </c>
      <c r="H82" s="159">
        <f>H81</f>
        <v>395.44000000000233</v>
      </c>
      <c r="I82" s="159"/>
      <c r="J82" s="159"/>
      <c r="K82" s="431" t="str">
        <f t="shared" si="4"/>
        <v>04</v>
      </c>
      <c r="L82" s="160"/>
      <c r="M82" s="169"/>
      <c r="N82" s="160">
        <f t="shared" si="32"/>
        <v>3.9791150000000233</v>
      </c>
      <c r="O82" s="160">
        <f t="shared" si="33"/>
        <v>131.8133333333341</v>
      </c>
      <c r="P82" s="160">
        <f>(H82*1.5/9)*2</f>
        <v>131.8133333333341</v>
      </c>
      <c r="Q82" s="160"/>
      <c r="R82" s="160">
        <f>((H82*(6/12)*(6/12))/27)*2</f>
        <v>7.3229629629630058</v>
      </c>
      <c r="S82" s="161"/>
      <c r="T82" s="160"/>
      <c r="U82" s="160"/>
      <c r="V82" s="160"/>
      <c r="W82" s="161"/>
      <c r="X82" s="161"/>
      <c r="Y82" s="143"/>
      <c r="Z82" s="143"/>
      <c r="AA82" s="143"/>
      <c r="AB82" s="143"/>
      <c r="AC82" s="143"/>
      <c r="AE82" s="424"/>
    </row>
    <row r="83" spans="2:31" ht="12.75" customHeight="1" x14ac:dyDescent="0.25">
      <c r="B83" s="42"/>
      <c r="D83" s="153"/>
      <c r="E83" s="154"/>
      <c r="F83" s="154"/>
      <c r="G83" s="155"/>
      <c r="H83" s="156"/>
      <c r="I83" s="156"/>
      <c r="J83" s="156"/>
      <c r="K83" s="152"/>
      <c r="L83" s="152"/>
      <c r="M83" s="189"/>
      <c r="N83" s="152"/>
      <c r="O83" s="152"/>
      <c r="P83" s="152"/>
      <c r="Q83" s="152"/>
      <c r="R83" s="152"/>
      <c r="S83" s="152"/>
      <c r="T83" s="152"/>
      <c r="U83" s="152"/>
      <c r="V83" s="152"/>
      <c r="W83" s="168"/>
      <c r="X83" s="143"/>
      <c r="Y83" s="152"/>
      <c r="Z83" s="152"/>
      <c r="AA83" s="143"/>
      <c r="AB83" s="143"/>
      <c r="AC83" s="143"/>
    </row>
    <row r="84" spans="2:31" ht="12.75" customHeight="1" x14ac:dyDescent="0.25">
      <c r="B84" s="42"/>
      <c r="D84" s="158"/>
      <c r="E84" s="162"/>
      <c r="F84" s="162"/>
      <c r="G84" s="163"/>
      <c r="H84" s="159"/>
      <c r="I84" s="159"/>
      <c r="J84" s="159"/>
      <c r="K84" s="160"/>
      <c r="L84" s="160"/>
      <c r="M84" s="238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1"/>
      <c r="Y84" s="160"/>
      <c r="Z84" s="160"/>
      <c r="AA84" s="161"/>
      <c r="AB84" s="143"/>
      <c r="AC84" s="143"/>
    </row>
    <row r="85" spans="2:31" ht="12.75" customHeight="1" x14ac:dyDescent="0.25">
      <c r="B85" s="42"/>
      <c r="D85" s="158"/>
      <c r="E85" s="162"/>
      <c r="F85" s="162"/>
      <c r="G85" s="163"/>
      <c r="H85" s="159"/>
      <c r="I85" s="159"/>
      <c r="J85" s="159"/>
      <c r="K85" s="160"/>
      <c r="L85" s="160"/>
      <c r="M85" s="238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1"/>
      <c r="Y85" s="160"/>
      <c r="Z85" s="160"/>
      <c r="AA85" s="161"/>
      <c r="AB85" s="143"/>
      <c r="AC85" s="143"/>
    </row>
    <row r="86" spans="2:31" ht="12.75" customHeight="1" x14ac:dyDescent="0.25">
      <c r="B86" s="42"/>
      <c r="D86" s="242"/>
      <c r="E86" s="141"/>
      <c r="F86" s="141"/>
      <c r="G86" s="142"/>
      <c r="H86" s="123" t="str">
        <f t="shared" ref="H86:H88" si="34">IF(E86&lt;&gt;"",F86-E86,"")</f>
        <v/>
      </c>
      <c r="I86" s="123"/>
      <c r="J86" s="123"/>
      <c r="K86" s="143"/>
      <c r="L86" s="143"/>
      <c r="M86" s="12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spans="2:31" ht="12.75" customHeight="1" thickBot="1" x14ac:dyDescent="0.3">
      <c r="B87" s="43"/>
      <c r="D87" s="243"/>
      <c r="E87" s="199"/>
      <c r="F87" s="200"/>
      <c r="G87" s="201"/>
      <c r="H87" s="201" t="str">
        <f t="shared" si="34"/>
        <v/>
      </c>
      <c r="I87" s="128"/>
      <c r="J87" s="128"/>
      <c r="K87" s="202"/>
      <c r="L87" s="202"/>
      <c r="M87" s="128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</row>
    <row r="88" spans="2:31" ht="12.75" customHeight="1" thickBot="1" x14ac:dyDescent="0.3">
      <c r="D88" s="243"/>
      <c r="E88" s="203"/>
      <c r="F88" s="203"/>
      <c r="G88" s="201"/>
      <c r="H88" s="128" t="str">
        <f t="shared" si="34"/>
        <v/>
      </c>
      <c r="I88" s="128"/>
      <c r="J88" s="128"/>
      <c r="K88" s="202"/>
      <c r="L88" s="202"/>
      <c r="M88" s="128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31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S89" si="35">SUM(K28:K88)</f>
        <v>0</v>
      </c>
      <c r="L89" s="136">
        <f t="shared" si="35"/>
        <v>0</v>
      </c>
      <c r="M89" s="135">
        <f t="shared" si="35"/>
        <v>7.175721666666667</v>
      </c>
      <c r="N89" s="136">
        <f t="shared" si="35"/>
        <v>584.59158697916689</v>
      </c>
      <c r="O89" s="136">
        <f t="shared" si="35"/>
        <v>19365.352777777796</v>
      </c>
      <c r="P89" s="136">
        <f t="shared" si="35"/>
        <v>19365.352777777796</v>
      </c>
      <c r="Q89" s="136">
        <f t="shared" si="35"/>
        <v>2163.8903518518514</v>
      </c>
      <c r="R89" s="136">
        <f t="shared" si="35"/>
        <v>2941.1267037037046</v>
      </c>
      <c r="S89" s="136">
        <f t="shared" si="35"/>
        <v>176.01719907407406</v>
      </c>
      <c r="T89" s="136">
        <f t="shared" ref="T89:AC89" si="36">SUM(T28:T88)</f>
        <v>2316.3711000000003</v>
      </c>
      <c r="U89" s="136">
        <f t="shared" si="36"/>
        <v>534.28777777777782</v>
      </c>
      <c r="V89" s="136">
        <f t="shared" si="36"/>
        <v>623.33574074074079</v>
      </c>
      <c r="W89" s="136">
        <f t="shared" si="36"/>
        <v>149.72615740740741</v>
      </c>
      <c r="X89" s="136">
        <f t="shared" si="36"/>
        <v>249.54359567901236</v>
      </c>
      <c r="Y89" s="136">
        <f t="shared" si="36"/>
        <v>411.67444444444442</v>
      </c>
      <c r="Z89" s="136">
        <f t="shared" si="36"/>
        <v>0</v>
      </c>
      <c r="AA89" s="136">
        <f t="shared" si="36"/>
        <v>0</v>
      </c>
      <c r="AB89" s="136">
        <f t="shared" si="36"/>
        <v>0</v>
      </c>
      <c r="AC89" s="136">
        <f t="shared" si="36"/>
        <v>0</v>
      </c>
    </row>
    <row r="93" spans="2:31" ht="12.75" customHeight="1" x14ac:dyDescent="0.25">
      <c r="D93" s="442" t="s">
        <v>126</v>
      </c>
      <c r="E93" s="442"/>
      <c r="F93" s="442"/>
      <c r="G93" s="442"/>
      <c r="H93" s="442"/>
      <c r="I93" s="442"/>
      <c r="J93" s="442"/>
      <c r="K93" s="425"/>
      <c r="L93" s="426">
        <f>SUMIF($K29:$K88, 1, L29:L88)</f>
        <v>0</v>
      </c>
      <c r="M93" s="430">
        <f t="shared" ref="M93:AC93" si="37">SUMIF($K29:$K88, 1, M29:M88)</f>
        <v>7.175721666666667</v>
      </c>
      <c r="N93" s="426">
        <f t="shared" si="37"/>
        <v>445.27770000000015</v>
      </c>
      <c r="O93" s="426">
        <f t="shared" si="37"/>
        <v>14750.400000000009</v>
      </c>
      <c r="P93" s="426">
        <f t="shared" si="37"/>
        <v>14750.400000000009</v>
      </c>
      <c r="Q93" s="426">
        <f t="shared" si="37"/>
        <v>2163.8903518518514</v>
      </c>
      <c r="R93" s="426">
        <f t="shared" si="37"/>
        <v>2285.4706851851852</v>
      </c>
      <c r="S93" s="426">
        <f t="shared" si="37"/>
        <v>176.01719907407406</v>
      </c>
      <c r="T93" s="426">
        <f t="shared" si="37"/>
        <v>2316.3711000000003</v>
      </c>
      <c r="U93" s="426">
        <f t="shared" si="37"/>
        <v>534.28777777777782</v>
      </c>
      <c r="V93" s="426">
        <f t="shared" si="37"/>
        <v>623.33574074074079</v>
      </c>
      <c r="W93" s="426">
        <f t="shared" si="37"/>
        <v>0</v>
      </c>
      <c r="X93" s="426">
        <f t="shared" si="37"/>
        <v>0</v>
      </c>
      <c r="Y93" s="426">
        <f t="shared" si="37"/>
        <v>411.67444444444442</v>
      </c>
      <c r="Z93" s="426">
        <f t="shared" si="37"/>
        <v>0</v>
      </c>
      <c r="AA93" s="426">
        <f t="shared" si="37"/>
        <v>0</v>
      </c>
      <c r="AB93" s="426">
        <f t="shared" si="37"/>
        <v>0</v>
      </c>
      <c r="AC93" s="426">
        <f t="shared" si="37"/>
        <v>0</v>
      </c>
    </row>
    <row r="94" spans="2:31" ht="12.75" customHeight="1" x14ac:dyDescent="0.25">
      <c r="D94" s="443" t="s">
        <v>127</v>
      </c>
      <c r="E94" s="443"/>
      <c r="F94" s="443"/>
      <c r="G94" s="443"/>
      <c r="H94" s="443"/>
      <c r="I94" s="443"/>
      <c r="J94" s="443"/>
      <c r="K94" s="427"/>
      <c r="L94" s="428">
        <f>SUMIF($K29:$K88, 4, L29:L88)</f>
        <v>0</v>
      </c>
      <c r="M94" s="428">
        <f t="shared" ref="M94:AC94" si="38">SUMIF($K29:$K88, 4, M29:M88)</f>
        <v>0</v>
      </c>
      <c r="N94" s="428">
        <f t="shared" si="38"/>
        <v>139.31388697916688</v>
      </c>
      <c r="O94" s="428">
        <f t="shared" si="38"/>
        <v>4614.9527777777848</v>
      </c>
      <c r="P94" s="428">
        <f t="shared" si="38"/>
        <v>4614.9527777777848</v>
      </c>
      <c r="Q94" s="428">
        <f t="shared" si="38"/>
        <v>0</v>
      </c>
      <c r="R94" s="428">
        <f t="shared" si="38"/>
        <v>655.65601851851864</v>
      </c>
      <c r="S94" s="428">
        <f t="shared" si="38"/>
        <v>0</v>
      </c>
      <c r="T94" s="428">
        <f t="shared" si="38"/>
        <v>0</v>
      </c>
      <c r="U94" s="428">
        <f t="shared" si="38"/>
        <v>0</v>
      </c>
      <c r="V94" s="428">
        <f t="shared" si="38"/>
        <v>0</v>
      </c>
      <c r="W94" s="428">
        <f t="shared" si="38"/>
        <v>149.72615740740741</v>
      </c>
      <c r="X94" s="428">
        <f t="shared" si="38"/>
        <v>249.54359567901236</v>
      </c>
      <c r="Y94" s="428">
        <f t="shared" si="38"/>
        <v>0</v>
      </c>
      <c r="Z94" s="428">
        <f t="shared" si="38"/>
        <v>0</v>
      </c>
      <c r="AA94" s="428">
        <f t="shared" si="38"/>
        <v>0</v>
      </c>
      <c r="AB94" s="428">
        <f t="shared" si="38"/>
        <v>0</v>
      </c>
      <c r="AC94" s="428">
        <f t="shared" si="38"/>
        <v>0</v>
      </c>
    </row>
    <row r="95" spans="2:31" ht="12.75" customHeight="1" x14ac:dyDescent="0.25">
      <c r="D95" s="469" t="s">
        <v>17</v>
      </c>
      <c r="E95" s="469"/>
      <c r="F95" s="469"/>
      <c r="G95" s="469"/>
      <c r="H95" s="469"/>
      <c r="I95" s="469"/>
      <c r="J95" s="469"/>
      <c r="K95" s="432"/>
      <c r="L95" s="433">
        <f>SUM(L93:L94)</f>
        <v>0</v>
      </c>
      <c r="M95" s="434">
        <f t="shared" ref="M95:AC95" si="39">SUM(M93:M94)</f>
        <v>7.175721666666667</v>
      </c>
      <c r="N95" s="433">
        <f t="shared" si="39"/>
        <v>584.591586979167</v>
      </c>
      <c r="O95" s="433">
        <f t="shared" si="39"/>
        <v>19365.352777777793</v>
      </c>
      <c r="P95" s="433">
        <f t="shared" si="39"/>
        <v>19365.352777777793</v>
      </c>
      <c r="Q95" s="433">
        <f t="shared" si="39"/>
        <v>2163.8903518518514</v>
      </c>
      <c r="R95" s="433">
        <f t="shared" si="39"/>
        <v>2941.1267037037037</v>
      </c>
      <c r="S95" s="433">
        <f t="shared" si="39"/>
        <v>176.01719907407406</v>
      </c>
      <c r="T95" s="433">
        <f t="shared" si="39"/>
        <v>2316.3711000000003</v>
      </c>
      <c r="U95" s="433">
        <f t="shared" si="39"/>
        <v>534.28777777777782</v>
      </c>
      <c r="V95" s="433">
        <f t="shared" si="39"/>
        <v>623.33574074074079</v>
      </c>
      <c r="W95" s="433">
        <f t="shared" si="39"/>
        <v>149.72615740740741</v>
      </c>
      <c r="X95" s="433">
        <f t="shared" si="39"/>
        <v>249.54359567901236</v>
      </c>
      <c r="Y95" s="433">
        <f t="shared" si="39"/>
        <v>411.67444444444442</v>
      </c>
      <c r="Z95" s="433">
        <f t="shared" si="39"/>
        <v>0</v>
      </c>
      <c r="AA95" s="433">
        <f t="shared" si="39"/>
        <v>0</v>
      </c>
      <c r="AB95" s="433">
        <f t="shared" si="39"/>
        <v>0</v>
      </c>
      <c r="AC95" s="433">
        <f t="shared" si="39"/>
        <v>0</v>
      </c>
    </row>
  </sheetData>
  <mergeCells count="32">
    <mergeCell ref="S15:S26"/>
    <mergeCell ref="T15:T26"/>
    <mergeCell ref="AC15:AC26"/>
    <mergeCell ref="E29:F29"/>
    <mergeCell ref="D89:J89"/>
    <mergeCell ref="Y15:Y26"/>
    <mergeCell ref="Z15:Z26"/>
    <mergeCell ref="O15:O26"/>
    <mergeCell ref="L15:L26"/>
    <mergeCell ref="K14:K27"/>
    <mergeCell ref="AA15:AA26"/>
    <mergeCell ref="AB15:AB26"/>
    <mergeCell ref="U15:U26"/>
    <mergeCell ref="V15:V26"/>
    <mergeCell ref="W15:W26"/>
    <mergeCell ref="X15:X26"/>
    <mergeCell ref="D93:J93"/>
    <mergeCell ref="D94:J94"/>
    <mergeCell ref="D95:J95"/>
    <mergeCell ref="E9:AC9"/>
    <mergeCell ref="B14:B27"/>
    <mergeCell ref="D14:D27"/>
    <mergeCell ref="E14:F26"/>
    <mergeCell ref="G14:G27"/>
    <mergeCell ref="H14:H26"/>
    <mergeCell ref="I14:I26"/>
    <mergeCell ref="J14:J26"/>
    <mergeCell ref="M15:M26"/>
    <mergeCell ref="N15:N26"/>
    <mergeCell ref="P15:P26"/>
    <mergeCell ref="Q15:Q26"/>
    <mergeCell ref="R15:R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AAAE-D0CE-4789-AEBE-D2D4CD94F1F1}">
  <sheetPr>
    <pageSetUpPr fitToPage="1"/>
  </sheetPr>
  <dimension ref="A1:AK96"/>
  <sheetViews>
    <sheetView showGridLines="0" topLeftCell="A11" zoomScale="80" zoomScaleNormal="80" workbookViewId="0">
      <selection activeCell="AG43" sqref="AG43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2"/>
      <c r="O1" s="2"/>
      <c r="P1" s="2"/>
      <c r="Q1" s="34"/>
      <c r="R1" s="34"/>
      <c r="S1" s="34"/>
      <c r="T1" s="34"/>
      <c r="U1" s="34"/>
      <c r="V1" s="34"/>
      <c r="W1" s="34"/>
      <c r="X1" s="34"/>
      <c r="Y1" s="34"/>
      <c r="Z1" s="34"/>
      <c r="AA1" s="2"/>
      <c r="AB1" s="2"/>
      <c r="AC1" s="35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2"/>
      <c r="O2" s="2"/>
      <c r="P2" s="2"/>
      <c r="Q2" s="34"/>
      <c r="R2" s="34"/>
      <c r="S2" s="34"/>
      <c r="T2" s="34"/>
      <c r="U2" s="34"/>
      <c r="V2" s="34"/>
      <c r="W2" s="34"/>
      <c r="X2" s="34"/>
      <c r="Y2" s="34"/>
      <c r="Z2" s="34"/>
      <c r="AA2" s="2"/>
      <c r="AB2" s="2"/>
      <c r="AC2" s="35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2"/>
      <c r="AB3" s="2"/>
      <c r="AC3" s="35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2"/>
      <c r="AB4" s="2"/>
      <c r="AC4" s="35"/>
    </row>
    <row r="5" spans="1:37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2"/>
      <c r="AB5" s="2"/>
      <c r="AC5" s="35"/>
    </row>
    <row r="6" spans="1:37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2"/>
      <c r="AB6" s="2"/>
      <c r="AC6" s="35"/>
    </row>
    <row r="7" spans="1:37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2"/>
      <c r="AB7" s="2"/>
      <c r="AC7" s="35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114</v>
      </c>
      <c r="M10" s="38" t="s">
        <v>39</v>
      </c>
      <c r="N10" s="38" t="s">
        <v>88</v>
      </c>
      <c r="O10" s="38" t="s">
        <v>89</v>
      </c>
      <c r="P10" s="38" t="s">
        <v>80</v>
      </c>
      <c r="Q10" s="38" t="s">
        <v>41</v>
      </c>
      <c r="R10" s="38" t="s">
        <v>42</v>
      </c>
      <c r="S10" s="38" t="s">
        <v>42</v>
      </c>
      <c r="T10" s="38" t="s">
        <v>56</v>
      </c>
      <c r="U10" s="38" t="s">
        <v>74</v>
      </c>
      <c r="V10" s="38" t="s">
        <v>75</v>
      </c>
      <c r="W10" s="38" t="s">
        <v>81</v>
      </c>
      <c r="X10" s="38" t="s">
        <v>83</v>
      </c>
      <c r="Y10" s="38" t="s">
        <v>122</v>
      </c>
      <c r="Z10" s="38" t="s">
        <v>77</v>
      </c>
      <c r="AA10" s="38" t="s">
        <v>116</v>
      </c>
      <c r="AB10" s="38"/>
      <c r="AC10" s="38"/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/>
      <c r="N11" s="58"/>
      <c r="O11" s="58"/>
      <c r="P11" s="58"/>
      <c r="Q11" s="58" t="s">
        <v>90</v>
      </c>
      <c r="R11" s="58" t="s">
        <v>90</v>
      </c>
      <c r="S11" s="58" t="s">
        <v>119</v>
      </c>
      <c r="T11" s="58" t="s">
        <v>79</v>
      </c>
      <c r="U11" s="58"/>
      <c r="V11" s="58"/>
      <c r="W11" s="58"/>
      <c r="X11" s="58"/>
      <c r="Y11" s="58"/>
      <c r="Z11" s="58"/>
      <c r="AA11" s="58" t="s">
        <v>115</v>
      </c>
      <c r="AB11" s="58"/>
      <c r="AC11" s="58"/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</v>
      </c>
      <c r="N12" s="60">
        <v>3</v>
      </c>
      <c r="O12" s="60">
        <v>3</v>
      </c>
      <c r="P12" s="60">
        <v>3</v>
      </c>
      <c r="Q12" s="60">
        <v>4</v>
      </c>
      <c r="R12" s="60">
        <v>5</v>
      </c>
      <c r="S12" s="60">
        <v>23</v>
      </c>
      <c r="T12" s="60">
        <v>6</v>
      </c>
      <c r="U12" s="60">
        <v>7</v>
      </c>
      <c r="V12" s="60">
        <v>8</v>
      </c>
      <c r="W12" s="60">
        <v>9</v>
      </c>
      <c r="X12" s="60">
        <v>10</v>
      </c>
      <c r="Y12" s="60">
        <v>26</v>
      </c>
      <c r="Z12" s="60">
        <v>12</v>
      </c>
      <c r="AA12" s="60"/>
      <c r="AB12" s="60"/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 t="s">
        <v>117</v>
      </c>
      <c r="M13" s="61"/>
      <c r="N13" s="61"/>
      <c r="O13" s="61"/>
      <c r="P13" s="61"/>
      <c r="Q13" s="61"/>
      <c r="R13" s="61" t="s">
        <v>43</v>
      </c>
      <c r="S13" s="61" t="s">
        <v>118</v>
      </c>
      <c r="T13" s="61"/>
      <c r="U13" s="61" t="s">
        <v>66</v>
      </c>
      <c r="V13" s="61" t="s">
        <v>55</v>
      </c>
      <c r="W13" s="61" t="s">
        <v>66</v>
      </c>
      <c r="X13" s="61" t="s">
        <v>82</v>
      </c>
      <c r="Y13" s="61" t="s">
        <v>123</v>
      </c>
      <c r="Z13" s="61"/>
      <c r="AA13" s="61"/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62" t="str">
        <f t="shared" ref="L14:AC14" si="0">IF(OR(TRIM(L10)=0,TRIM(L10)=""),"",IF(IFERROR(TRIM(INDEX(QryItemNamed,MATCH(TRIM(L10),ITEM,0),2)),"")="Y","SPECIAL",LEFT(IFERROR(TRIM(INDEX(ITEM,MATCH(TRIM(L10),ITEM,0))),""),3)))</f>
        <v>203</v>
      </c>
      <c r="M14" s="62" t="str">
        <f t="shared" si="0"/>
        <v>204</v>
      </c>
      <c r="N14" s="62" t="str">
        <f t="shared" si="0"/>
        <v>206</v>
      </c>
      <c r="O14" s="62" t="str">
        <f t="shared" si="0"/>
        <v>206</v>
      </c>
      <c r="P14" s="62" t="str">
        <f t="shared" si="0"/>
        <v>206</v>
      </c>
      <c r="Q14" s="62" t="str">
        <f t="shared" si="0"/>
        <v>301</v>
      </c>
      <c r="R14" s="62" t="str">
        <f t="shared" si="0"/>
        <v>304</v>
      </c>
      <c r="S14" s="62" t="str">
        <f t="shared" si="0"/>
        <v>304</v>
      </c>
      <c r="T14" s="62" t="str">
        <f t="shared" si="0"/>
        <v>407</v>
      </c>
      <c r="U14" s="62" t="str">
        <f t="shared" si="0"/>
        <v>442</v>
      </c>
      <c r="V14" s="62" t="str">
        <f t="shared" si="0"/>
        <v>442</v>
      </c>
      <c r="W14" s="62" t="str">
        <f t="shared" si="0"/>
        <v>442</v>
      </c>
      <c r="X14" s="62" t="str">
        <f>IF(OR(TRIM(X10)=0,TRIM(X10)=""),"",IF(IFERROR(TRIM(INDEX(QryItemNamed,MATCH(TRIM(X10),ITEM,0),2)),"")="Y","SPECIAL",LEFT(IFERROR(TRIM(INDEX(ITEM,MATCH(TRIM(X10),ITEM,0))),""),3)))</f>
        <v>442</v>
      </c>
      <c r="Y14" s="62" t="str">
        <f>IF(OR(TRIM(Y10)=0,TRIM(Y10)=""),"",IF(IFERROR(TRIM(INDEX(QryItemNamed,MATCH(TRIM(Y10),ITEM,0),2)),"")="Y","SPECIAL",LEFT(IFERROR(TRIM(INDEX(ITEM,MATCH(TRIM(Y10),ITEM,0))),""),3)))</f>
        <v>451</v>
      </c>
      <c r="Z14" s="62" t="str">
        <f t="shared" si="0"/>
        <v>452</v>
      </c>
      <c r="AA14" s="62" t="str">
        <f t="shared" si="0"/>
        <v>SPECIAL</v>
      </c>
      <c r="AB14" s="62" t="str">
        <f t="shared" si="0"/>
        <v/>
      </c>
      <c r="AC14" s="62" t="str">
        <f t="shared" si="0"/>
        <v/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48" t="str">
        <f t="shared" ref="L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EMBANKMENT</v>
      </c>
      <c r="M15" s="448" t="str">
        <f t="shared" ref="M15:AC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PROOF ROLLING</v>
      </c>
      <c r="N15" s="448" t="str">
        <f t="shared" si="2"/>
        <v>CEMENT</v>
      </c>
      <c r="O15" s="448" t="str">
        <f t="shared" si="2"/>
        <v>CURING COAT</v>
      </c>
      <c r="P15" s="448" t="str">
        <f t="shared" si="2"/>
        <v>CEMENT STABILIZED SUBGRADE, 14 INCHES DEEP</v>
      </c>
      <c r="Q15" s="448" t="str">
        <f t="shared" si="2"/>
        <v>ASPHALT CONCRETE BASE, PG64-22, (449) (6")</v>
      </c>
      <c r="R15" s="448" t="str">
        <f t="shared" si="2"/>
        <v>AGGREGATE BASE (6")</v>
      </c>
      <c r="S15" s="448" t="str">
        <f t="shared" si="2"/>
        <v>AGGREGATE BASE (15.25")</v>
      </c>
      <c r="T15" s="448" t="str">
        <f t="shared" si="2"/>
        <v>NON-TRACKING TACK COAT (@0.09 GAL/SY)</v>
      </c>
      <c r="U15" s="448" t="str">
        <f t="shared" si="2"/>
        <v>ASPHALT CONCRETE SURFACE COURSE, 12.5 MM, TYPE A (446), AS PER PLAN</v>
      </c>
      <c r="V15" s="448" t="str">
        <f t="shared" si="2"/>
        <v>ASPHALT CONCRETE INTERMEDIATE COURSE, 12.5 MM, TYPE A (448), AS PER PLAN</v>
      </c>
      <c r="W15" s="448" t="str">
        <f t="shared" si="2"/>
        <v>ASPHALT CONCRETE SURFACE COURSE, 9.5 MM, TYPE A (449), AS PER PLAN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ASPHALT CONCRETE INTERMEDIATE COURSE, 19 MM, TYPE A (449), AS PER PLAN</v>
      </c>
      <c r="Y15" s="448" t="str">
        <f>IF(OR(TRIM(Y10)=0,TRIM(Y10)=""),IF(Y11="","",Y11),IF(IFERROR(TRIM(INDEX(QryItemNamed,MATCH(TRIM(Y10),ITEM,0),2)),"")="Y",TRIM(RIGHT(IFERROR(TRIM(INDEX(QryItemNamed,MATCH(TRIM(Y10),ITEM,0),4)),"123456789012"),LEN(IFERROR(TRIM(INDEX(QryItemNamed,MATCH(TRIM(Y10),ITEM,0),4)),"123456789012"))-9))&amp;Y11,IFERROR(TRIM(INDEX(QryItemNamed,MATCH(TRIM(Y10),ITEM,0),4))&amp;Y11,"ITEM CODE DOES NOT EXIST IN ITEM MASTER")))</f>
        <v>8" REINFORCED CONCRETE PAVEMENT, CLASS QC 1P, AS PER PLAN</v>
      </c>
      <c r="Z15" s="448" t="str">
        <f t="shared" si="2"/>
        <v>6" NON-REINFORCED CONCRETE PAVEMENT, CLASS QC 1P, AS PER PLAN</v>
      </c>
      <c r="AA15" s="448" t="str">
        <f t="shared" si="2"/>
        <v>GRASS PAVERS</v>
      </c>
      <c r="AB15" s="448" t="str">
        <f t="shared" si="2"/>
        <v/>
      </c>
      <c r="AC15" s="448" t="str">
        <f t="shared" si="2"/>
        <v/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5"/>
      <c r="L27" s="63" t="str">
        <f t="shared" ref="L27:AC27" si="3">IF(OR(TRIM(L10)=0,TRIM(L10)=""),"",IF(IFERROR(TRIM(INDEX(QryItemNamed,MATCH(TRIM(L10),ITEM,0),3)),"")="LS","",IFERROR(TRIM(INDEX(QryItemNamed,MATCH(TRIM(L10),ITEM,0),3)),"")))</f>
        <v>CY</v>
      </c>
      <c r="M27" s="63" t="str">
        <f t="shared" si="3"/>
        <v>HOUR</v>
      </c>
      <c r="N27" s="63" t="str">
        <f t="shared" si="3"/>
        <v>TON</v>
      </c>
      <c r="O27" s="63" t="str">
        <f t="shared" si="3"/>
        <v>SY</v>
      </c>
      <c r="P27" s="63" t="str">
        <f t="shared" si="3"/>
        <v>SY</v>
      </c>
      <c r="Q27" s="63" t="str">
        <f t="shared" si="3"/>
        <v>CY</v>
      </c>
      <c r="R27" s="63" t="str">
        <f t="shared" si="3"/>
        <v>CY</v>
      </c>
      <c r="S27" s="63" t="str">
        <f t="shared" si="3"/>
        <v>CY</v>
      </c>
      <c r="T27" s="63" t="str">
        <f t="shared" si="3"/>
        <v>GAL</v>
      </c>
      <c r="U27" s="63" t="str">
        <f t="shared" si="3"/>
        <v>CY</v>
      </c>
      <c r="V27" s="63" t="str">
        <f t="shared" si="3"/>
        <v>CY</v>
      </c>
      <c r="W27" s="63" t="str">
        <f t="shared" si="3"/>
        <v>CY</v>
      </c>
      <c r="X27" s="63" t="str">
        <f t="shared" si="3"/>
        <v>CY</v>
      </c>
      <c r="Y27" s="63" t="str">
        <f t="shared" si="3"/>
        <v>SY</v>
      </c>
      <c r="Z27" s="63" t="str">
        <f t="shared" si="3"/>
        <v>SY</v>
      </c>
      <c r="AA27" s="63" t="str">
        <f t="shared" si="3"/>
        <v>SY</v>
      </c>
      <c r="AB27" s="63" t="str">
        <f t="shared" si="3"/>
        <v/>
      </c>
      <c r="AC27" s="63" t="str">
        <f t="shared" si="3"/>
        <v/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204"/>
      <c r="L28" s="204"/>
      <c r="M28" s="66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</row>
    <row r="29" spans="2:31" ht="12.75" customHeight="1" x14ac:dyDescent="0.25">
      <c r="B29" s="42"/>
      <c r="D29" s="170"/>
      <c r="E29" s="472" t="s">
        <v>109</v>
      </c>
      <c r="F29" s="474"/>
      <c r="G29" s="227"/>
      <c r="H29" s="172"/>
      <c r="I29" s="172"/>
      <c r="J29" s="172"/>
      <c r="K29" s="173"/>
      <c r="L29" s="173"/>
      <c r="M29" s="228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5"/>
      <c r="Y29" s="175"/>
      <c r="Z29" s="175"/>
      <c r="AA29" s="175"/>
      <c r="AB29" s="237"/>
      <c r="AC29" s="143"/>
    </row>
    <row r="30" spans="2:31" ht="12.75" customHeight="1" x14ac:dyDescent="0.25">
      <c r="B30" s="42"/>
      <c r="D30" s="212" t="s">
        <v>120</v>
      </c>
      <c r="E30" s="213">
        <v>10000</v>
      </c>
      <c r="F30" s="213">
        <v>10439.82</v>
      </c>
      <c r="G30" s="230" t="s">
        <v>34</v>
      </c>
      <c r="H30" s="214">
        <f>F30-E30</f>
        <v>439.81999999999971</v>
      </c>
      <c r="I30" s="214">
        <f>J30/H30</f>
        <v>20.747419398844993</v>
      </c>
      <c r="J30" s="214">
        <v>9125.1299999999992</v>
      </c>
      <c r="K30" s="149" t="str">
        <f>IF(D30="","",IF(ISNUMBER(SEARCH("SUP",D30)),"04","01"))</f>
        <v>01</v>
      </c>
      <c r="L30" s="149"/>
      <c r="M30" s="215">
        <f>J30/9/2000</f>
        <v>0.50695166666666658</v>
      </c>
      <c r="N30" s="149">
        <f>P30*0.75*14*115*0.05/2000</f>
        <v>30.607206874999999</v>
      </c>
      <c r="O30" s="149">
        <f>P30</f>
        <v>1013.9033333333332</v>
      </c>
      <c r="P30" s="149">
        <f>J30/9</f>
        <v>1013.9033333333332</v>
      </c>
      <c r="Q30" s="149">
        <f>(J30*(6/12))/27</f>
        <v>168.98388888888888</v>
      </c>
      <c r="R30" s="149">
        <f>Q30</f>
        <v>168.98388888888888</v>
      </c>
      <c r="S30" s="205"/>
      <c r="T30" s="205">
        <f>(J30/9)*0.09*2</f>
        <v>182.50259999999997</v>
      </c>
      <c r="U30" s="205">
        <f>(J30*(1.5/12))/27</f>
        <v>42.245972222222221</v>
      </c>
      <c r="V30" s="205">
        <f>(J30*(1.75/12))/27</f>
        <v>49.286967592592596</v>
      </c>
      <c r="W30" s="205"/>
      <c r="X30" s="151"/>
      <c r="Y30" s="151"/>
      <c r="Z30" s="151"/>
      <c r="AA30" s="143"/>
      <c r="AB30" s="143"/>
      <c r="AC30" s="143"/>
      <c r="AE30" s="424"/>
    </row>
    <row r="31" spans="2:31" ht="12.75" customHeight="1" x14ac:dyDescent="0.25">
      <c r="B31" s="42"/>
      <c r="D31" s="170" t="s">
        <v>29</v>
      </c>
      <c r="E31" s="171">
        <f>E30</f>
        <v>10000</v>
      </c>
      <c r="F31" s="171">
        <f>F30</f>
        <v>10439.82</v>
      </c>
      <c r="G31" s="227" t="s">
        <v>34</v>
      </c>
      <c r="H31" s="172">
        <v>337.26</v>
      </c>
      <c r="I31" s="172">
        <v>2.5</v>
      </c>
      <c r="J31" s="172">
        <v>844.34</v>
      </c>
      <c r="K31" s="149" t="str">
        <f t="shared" ref="K31:K59" si="4">IF(D31="","",IF(ISNUMBER(SEARCH("SUP",D31)),"04","01"))</f>
        <v>01</v>
      </c>
      <c r="L31" s="173"/>
      <c r="M31" s="174">
        <f>(J31/9/2000)+(H31*1)/9/2000</f>
        <v>6.564444444444445E-2</v>
      </c>
      <c r="N31" s="173">
        <f t="shared" ref="N31" si="5">P31*0.75*14*115*0.05/2000</f>
        <v>3.9632833333333339</v>
      </c>
      <c r="O31" s="173">
        <f t="shared" ref="O31:O36" si="6">P31</f>
        <v>131.28888888888889</v>
      </c>
      <c r="P31" s="173">
        <f>(J31/9)+((H31*(12/12)/9))</f>
        <v>131.28888888888889</v>
      </c>
      <c r="Q31" s="173"/>
      <c r="R31" s="173">
        <f>((J31*(6/12))/27)</f>
        <v>15.635925925925926</v>
      </c>
      <c r="S31" s="175"/>
      <c r="T31" s="175"/>
      <c r="U31" s="175"/>
      <c r="V31" s="175"/>
      <c r="W31" s="175"/>
      <c r="X31" s="245"/>
      <c r="Y31" s="245"/>
      <c r="Z31" s="245"/>
      <c r="AA31" s="143"/>
      <c r="AB31" s="143"/>
      <c r="AC31" s="143"/>
      <c r="AE31" s="424"/>
    </row>
    <row r="32" spans="2:31" ht="12.75" customHeight="1" x14ac:dyDescent="0.25">
      <c r="B32" s="42"/>
      <c r="D32" s="216" t="s">
        <v>107</v>
      </c>
      <c r="E32" s="217">
        <v>10000</v>
      </c>
      <c r="F32" s="217">
        <v>10439.82</v>
      </c>
      <c r="G32" s="218" t="s">
        <v>34</v>
      </c>
      <c r="H32" s="219">
        <v>326.72000000000003</v>
      </c>
      <c r="I32" s="219">
        <v>0.5</v>
      </c>
      <c r="J32" s="219">
        <v>323.58</v>
      </c>
      <c r="K32" s="149" t="str">
        <f t="shared" si="4"/>
        <v>01</v>
      </c>
      <c r="L32" s="220"/>
      <c r="M32" s="221">
        <f>(J32/9/2000)+(H32*1)/9/2000</f>
        <v>3.6127777777777779E-2</v>
      </c>
      <c r="N32" s="220">
        <f>P32*0.75*14*115*0.05/2000</f>
        <v>1.0853412500000001</v>
      </c>
      <c r="O32" s="220">
        <f t="shared" si="6"/>
        <v>35.953333333333333</v>
      </c>
      <c r="P32" s="220">
        <f>(J32/9)</f>
        <v>35.953333333333333</v>
      </c>
      <c r="Q32" s="220"/>
      <c r="R32" s="220">
        <f>((J32*(6/12))/27)</f>
        <v>5.9922222222222219</v>
      </c>
      <c r="S32" s="222"/>
      <c r="T32" s="220"/>
      <c r="U32" s="220"/>
      <c r="V32" s="220"/>
      <c r="W32" s="222"/>
      <c r="X32" s="222"/>
      <c r="Y32" s="222"/>
      <c r="Z32" s="222"/>
      <c r="AA32" s="222"/>
      <c r="AB32" s="222"/>
      <c r="AC32" s="222"/>
      <c r="AE32" s="424"/>
    </row>
    <row r="33" spans="2:31" ht="12.75" customHeight="1" x14ac:dyDescent="0.25">
      <c r="B33" s="42"/>
      <c r="D33" s="254" t="s">
        <v>51</v>
      </c>
      <c r="E33" s="256">
        <v>10000</v>
      </c>
      <c r="F33" s="256">
        <v>10439.82</v>
      </c>
      <c r="G33" s="257" t="s">
        <v>34</v>
      </c>
      <c r="H33" s="258">
        <f t="shared" ref="H33:H34" si="7">F33-E33</f>
        <v>439.81999999999971</v>
      </c>
      <c r="I33" s="258"/>
      <c r="J33" s="258">
        <v>3870.44</v>
      </c>
      <c r="K33" s="149" t="str">
        <f t="shared" si="4"/>
        <v>01</v>
      </c>
      <c r="L33" s="259"/>
      <c r="M33" s="260">
        <f>(J33/9/2000)+(H33*1)/9/2000</f>
        <v>0.23945888888888886</v>
      </c>
      <c r="N33" s="259">
        <f t="shared" ref="N33:N36" si="8">P33*0.75*14*115*0.05/2000</f>
        <v>12.98210083333333</v>
      </c>
      <c r="O33" s="259">
        <f t="shared" si="6"/>
        <v>430.04888888888888</v>
      </c>
      <c r="P33" s="259">
        <f>(J33/9)</f>
        <v>430.04888888888888</v>
      </c>
      <c r="Q33" s="259"/>
      <c r="R33" s="259">
        <f>((J33*(6/12))/27)</f>
        <v>71.674814814814809</v>
      </c>
      <c r="S33" s="261"/>
      <c r="T33" s="259"/>
      <c r="U33" s="259"/>
      <c r="V33" s="259"/>
      <c r="W33" s="261"/>
      <c r="X33" s="261"/>
      <c r="Y33" s="261">
        <f>J33/9</f>
        <v>430.04888888888888</v>
      </c>
      <c r="Z33" s="261"/>
      <c r="AA33" s="261"/>
      <c r="AB33" s="261"/>
      <c r="AC33" s="261"/>
      <c r="AE33" s="424"/>
    </row>
    <row r="34" spans="2:31" ht="12.75" customHeight="1" x14ac:dyDescent="0.25">
      <c r="B34" s="42"/>
      <c r="D34" s="255" t="s">
        <v>108</v>
      </c>
      <c r="E34" s="262">
        <v>10000</v>
      </c>
      <c r="F34" s="262">
        <v>10439.82</v>
      </c>
      <c r="G34" s="263" t="s">
        <v>34</v>
      </c>
      <c r="H34" s="264">
        <f t="shared" si="7"/>
        <v>439.81999999999971</v>
      </c>
      <c r="I34" s="264"/>
      <c r="J34" s="264">
        <v>115.45</v>
      </c>
      <c r="K34" s="149" t="str">
        <f t="shared" si="4"/>
        <v>01</v>
      </c>
      <c r="L34" s="265"/>
      <c r="M34" s="266">
        <f>(J34/9/2000)+(H34*1)/9/2000</f>
        <v>3.0848333333333318E-2</v>
      </c>
      <c r="N34" s="265">
        <f t="shared" si="8"/>
        <v>1.8624681249999988</v>
      </c>
      <c r="O34" s="265">
        <f t="shared" si="6"/>
        <v>61.69666666666663</v>
      </c>
      <c r="P34" s="265">
        <f>(J34/9)+((H34*(12/12)/9))</f>
        <v>61.69666666666663</v>
      </c>
      <c r="Q34" s="265"/>
      <c r="R34" s="265">
        <f>((J34*(6/12))/27)+((H34*(6/12)*(12/12))/27)</f>
        <v>10.282777777777772</v>
      </c>
      <c r="S34" s="267"/>
      <c r="T34" s="265"/>
      <c r="U34" s="265"/>
      <c r="V34" s="265"/>
      <c r="W34" s="267"/>
      <c r="X34" s="267"/>
      <c r="Y34" s="267"/>
      <c r="Z34" s="267"/>
      <c r="AA34" s="267"/>
      <c r="AB34" s="267"/>
      <c r="AC34" s="267"/>
      <c r="AE34" s="424"/>
    </row>
    <row r="35" spans="2:31" ht="12.75" customHeight="1" x14ac:dyDescent="0.25">
      <c r="B35" s="42"/>
      <c r="D35" s="153" t="s">
        <v>95</v>
      </c>
      <c r="E35" s="154">
        <v>10000</v>
      </c>
      <c r="F35" s="154">
        <v>10439.82</v>
      </c>
      <c r="G35" s="155" t="s">
        <v>34</v>
      </c>
      <c r="H35" s="156">
        <f>F35-E35</f>
        <v>439.81999999999971</v>
      </c>
      <c r="I35" s="156">
        <f>J35/H35</f>
        <v>5.8912964394525078</v>
      </c>
      <c r="J35" s="156">
        <v>2591.11</v>
      </c>
      <c r="K35" s="149" t="str">
        <f t="shared" si="4"/>
        <v>04</v>
      </c>
      <c r="L35" s="152"/>
      <c r="M35" s="98"/>
      <c r="N35" s="152">
        <f t="shared" si="8"/>
        <v>8.6910147916666691</v>
      </c>
      <c r="O35" s="152">
        <f t="shared" si="6"/>
        <v>287.90111111111111</v>
      </c>
      <c r="P35" s="152">
        <f>J35/9</f>
        <v>287.90111111111111</v>
      </c>
      <c r="Q35" s="152"/>
      <c r="R35" s="152">
        <f>(J35*(6/12))/27</f>
        <v>47.983518518518522</v>
      </c>
      <c r="S35" s="152"/>
      <c r="T35" s="152"/>
      <c r="U35" s="157"/>
      <c r="V35" s="157"/>
      <c r="W35" s="157">
        <f>(J35*(1.5/12))/27</f>
        <v>11.995879629629631</v>
      </c>
      <c r="X35" s="157">
        <f>(J35*(2.5/12))/27</f>
        <v>19.993132716049384</v>
      </c>
      <c r="Y35" s="157"/>
      <c r="Z35" s="253"/>
      <c r="AA35" s="143"/>
      <c r="AB35" s="143"/>
      <c r="AC35" s="143"/>
      <c r="AE35" s="424"/>
    </row>
    <row r="36" spans="2:31" ht="12.75" customHeight="1" x14ac:dyDescent="0.25">
      <c r="B36" s="42"/>
      <c r="D36" s="158" t="s">
        <v>71</v>
      </c>
      <c r="E36" s="162">
        <f>E35</f>
        <v>10000</v>
      </c>
      <c r="F36" s="162">
        <f>F35</f>
        <v>10439.82</v>
      </c>
      <c r="G36" s="163" t="s">
        <v>34</v>
      </c>
      <c r="H36" s="159">
        <v>265.55</v>
      </c>
      <c r="I36" s="159"/>
      <c r="J36" s="159"/>
      <c r="K36" s="149" t="str">
        <f t="shared" si="4"/>
        <v>04</v>
      </c>
      <c r="L36" s="160"/>
      <c r="M36" s="169"/>
      <c r="N36" s="160">
        <f t="shared" si="8"/>
        <v>2.6720968750000007</v>
      </c>
      <c r="O36" s="160">
        <f t="shared" si="6"/>
        <v>88.51666666666668</v>
      </c>
      <c r="P36" s="160">
        <f>(H36*1.5/9)*2</f>
        <v>88.51666666666668</v>
      </c>
      <c r="Q36" s="160"/>
      <c r="R36" s="160">
        <f>((H36*(6/12)*(6/12))/27)*2</f>
        <v>4.9175925925925927</v>
      </c>
      <c r="S36" s="161"/>
      <c r="T36" s="160"/>
      <c r="U36" s="160"/>
      <c r="V36" s="160"/>
      <c r="W36" s="161"/>
      <c r="X36" s="161"/>
      <c r="Y36" s="161"/>
      <c r="Z36" s="143"/>
      <c r="AA36" s="143"/>
      <c r="AB36" s="143"/>
      <c r="AC36" s="143"/>
      <c r="AE36" s="424"/>
    </row>
    <row r="37" spans="2:31" ht="12.75" customHeight="1" x14ac:dyDescent="0.25">
      <c r="B37" s="42"/>
      <c r="D37" s="158"/>
      <c r="E37" s="162"/>
      <c r="F37" s="162"/>
      <c r="G37" s="163"/>
      <c r="H37" s="159"/>
      <c r="I37" s="159"/>
      <c r="J37" s="159"/>
      <c r="K37" s="149" t="str">
        <f t="shared" si="4"/>
        <v/>
      </c>
      <c r="L37" s="160"/>
      <c r="M37" s="169"/>
      <c r="N37" s="160"/>
      <c r="O37" s="160"/>
      <c r="P37" s="160"/>
      <c r="Q37" s="160"/>
      <c r="R37" s="160"/>
      <c r="S37" s="161"/>
      <c r="T37" s="160"/>
      <c r="U37" s="160"/>
      <c r="V37" s="160"/>
      <c r="W37" s="161"/>
      <c r="X37" s="161"/>
      <c r="Y37" s="161"/>
      <c r="Z37" s="143"/>
      <c r="AA37" s="143"/>
      <c r="AB37" s="143"/>
      <c r="AC37" s="143"/>
    </row>
    <row r="38" spans="2:31" ht="12.75" customHeight="1" x14ac:dyDescent="0.25">
      <c r="B38" s="42"/>
      <c r="D38" s="153"/>
      <c r="E38" s="470" t="s">
        <v>121</v>
      </c>
      <c r="F38" s="471"/>
      <c r="G38" s="155"/>
      <c r="H38" s="156"/>
      <c r="I38" s="156"/>
      <c r="J38" s="156"/>
      <c r="K38" s="149" t="str">
        <f t="shared" si="4"/>
        <v/>
      </c>
      <c r="L38" s="152"/>
      <c r="M38" s="98"/>
      <c r="N38" s="152"/>
      <c r="O38" s="152"/>
      <c r="P38" s="152"/>
      <c r="Q38" s="152"/>
      <c r="R38" s="168"/>
      <c r="S38" s="143"/>
      <c r="T38" s="152"/>
      <c r="U38" s="152"/>
      <c r="V38" s="152"/>
      <c r="W38" s="143"/>
      <c r="X38" s="143"/>
      <c r="Y38" s="143"/>
      <c r="Z38" s="143"/>
      <c r="AA38" s="143"/>
      <c r="AB38" s="143"/>
      <c r="AC38" s="143"/>
    </row>
    <row r="39" spans="2:31" ht="12.75" customHeight="1" x14ac:dyDescent="0.25">
      <c r="B39" s="42"/>
      <c r="D39" s="212" t="s">
        <v>120</v>
      </c>
      <c r="E39" s="213">
        <v>4867.79</v>
      </c>
      <c r="F39" s="213">
        <v>5075.99</v>
      </c>
      <c r="G39" s="230" t="s">
        <v>34</v>
      </c>
      <c r="H39" s="214">
        <f>F39-E39</f>
        <v>208.19999999999982</v>
      </c>
      <c r="I39" s="214">
        <f>J39/H39</f>
        <v>35.398559077809828</v>
      </c>
      <c r="J39" s="214">
        <v>7369.98</v>
      </c>
      <c r="K39" s="149" t="str">
        <f t="shared" si="4"/>
        <v>01</v>
      </c>
      <c r="L39" s="149"/>
      <c r="M39" s="215">
        <f>J39/9/2000</f>
        <v>0.40944333333333333</v>
      </c>
      <c r="N39" s="149">
        <f t="shared" ref="N39:N42" si="9">P39*0.75*14*115*0.05/2000</f>
        <v>24.720141250000001</v>
      </c>
      <c r="O39" s="149">
        <f t="shared" ref="O39:O42" si="10">P39</f>
        <v>818.88666666666666</v>
      </c>
      <c r="P39" s="149">
        <f>J39/9</f>
        <v>818.88666666666666</v>
      </c>
      <c r="Q39" s="149">
        <f>(J39*(6/12))/27</f>
        <v>136.48111111111109</v>
      </c>
      <c r="R39" s="149">
        <f>Q39</f>
        <v>136.48111111111109</v>
      </c>
      <c r="S39" s="205"/>
      <c r="T39" s="205">
        <f>(J39/9)*0.09*2</f>
        <v>147.39959999999999</v>
      </c>
      <c r="U39" s="205">
        <f>(J39*(1.5/12))/27</f>
        <v>34.120277777777773</v>
      </c>
      <c r="V39" s="205">
        <f>(J39*(1.75/12))/27</f>
        <v>39.806990740740737</v>
      </c>
      <c r="W39" s="205"/>
      <c r="X39" s="151"/>
      <c r="Y39" s="151"/>
      <c r="Z39" s="143"/>
      <c r="AA39" s="143"/>
      <c r="AB39" s="143"/>
      <c r="AC39" s="143"/>
      <c r="AE39" s="424"/>
    </row>
    <row r="40" spans="2:31" ht="12.75" customHeight="1" x14ac:dyDescent="0.25">
      <c r="B40" s="42"/>
      <c r="D40" s="216" t="s">
        <v>28</v>
      </c>
      <c r="E40" s="217">
        <f>E39</f>
        <v>4867.79</v>
      </c>
      <c r="F40" s="217">
        <f>F39</f>
        <v>5075.99</v>
      </c>
      <c r="G40" s="218" t="s">
        <v>34</v>
      </c>
      <c r="H40" s="219">
        <f>F40-E40</f>
        <v>208.19999999999982</v>
      </c>
      <c r="I40" s="219"/>
      <c r="J40" s="219"/>
      <c r="K40" s="149" t="str">
        <f t="shared" si="4"/>
        <v>01</v>
      </c>
      <c r="L40" s="220"/>
      <c r="M40" s="221">
        <f>(H40*1.5)/9/2000</f>
        <v>1.7349999999999983E-2</v>
      </c>
      <c r="N40" s="220">
        <f>P40*0.75*14*115*0.05/2000</f>
        <v>2.0950124999999984</v>
      </c>
      <c r="O40" s="220">
        <f>P40</f>
        <v>69.399999999999935</v>
      </c>
      <c r="P40" s="220">
        <f>(H40*1.5/9)*2</f>
        <v>69.399999999999935</v>
      </c>
      <c r="Q40" s="220">
        <f>((H40*(6/12)*(4/12))/27)*2</f>
        <v>2.5703703703703678</v>
      </c>
      <c r="R40" s="220">
        <f>((H40*(6/12)*(10/12))/27)*2</f>
        <v>6.4259259259259203</v>
      </c>
      <c r="S40" s="220"/>
      <c r="T40" s="222"/>
      <c r="U40" s="222"/>
      <c r="V40" s="222"/>
      <c r="W40" s="175"/>
      <c r="X40" s="245"/>
      <c r="Y40" s="245"/>
      <c r="Z40" s="143"/>
      <c r="AA40" s="143"/>
      <c r="AB40" s="143"/>
      <c r="AC40" s="143"/>
      <c r="AE40" s="424"/>
    </row>
    <row r="41" spans="2:31" ht="12.75" customHeight="1" x14ac:dyDescent="0.25">
      <c r="B41" s="42"/>
      <c r="D41" s="153" t="s">
        <v>95</v>
      </c>
      <c r="E41" s="232">
        <v>4947.72</v>
      </c>
      <c r="F41" s="232">
        <v>5022.58</v>
      </c>
      <c r="G41" s="155" t="s">
        <v>32</v>
      </c>
      <c r="H41" s="156">
        <f>F41-E41</f>
        <v>74.859999999999673</v>
      </c>
      <c r="I41" s="156">
        <v>10</v>
      </c>
      <c r="J41" s="156">
        <v>690.97</v>
      </c>
      <c r="K41" s="149" t="str">
        <f t="shared" si="4"/>
        <v>04</v>
      </c>
      <c r="L41" s="152"/>
      <c r="M41" s="98"/>
      <c r="N41" s="152">
        <f t="shared" si="9"/>
        <v>2.3176285416666667</v>
      </c>
      <c r="O41" s="152">
        <f t="shared" si="10"/>
        <v>76.774444444444441</v>
      </c>
      <c r="P41" s="152">
        <f>J41/9</f>
        <v>76.774444444444441</v>
      </c>
      <c r="Q41" s="152"/>
      <c r="R41" s="152">
        <f>(J41*(6/12))/27</f>
        <v>12.795740740740742</v>
      </c>
      <c r="S41" s="152"/>
      <c r="T41" s="152"/>
      <c r="U41" s="157"/>
      <c r="V41" s="157"/>
      <c r="W41" s="157">
        <f>(J41*(1.5/12))/27</f>
        <v>3.1989351851851855</v>
      </c>
      <c r="X41" s="157">
        <f>(J41*(2.5/12))/27</f>
        <v>5.3315586419753096</v>
      </c>
      <c r="Y41" s="157"/>
      <c r="Z41" s="161"/>
      <c r="AA41" s="143"/>
      <c r="AB41" s="143"/>
      <c r="AC41" s="143"/>
      <c r="AE41" s="424"/>
    </row>
    <row r="42" spans="2:31" ht="12.75" customHeight="1" x14ac:dyDescent="0.25">
      <c r="B42" s="42"/>
      <c r="D42" s="158" t="s">
        <v>71</v>
      </c>
      <c r="E42" s="162">
        <f>E41</f>
        <v>4947.72</v>
      </c>
      <c r="F42" s="162">
        <f>F41</f>
        <v>5022.58</v>
      </c>
      <c r="G42" s="163" t="s">
        <v>32</v>
      </c>
      <c r="H42" s="159">
        <f>H41</f>
        <v>74.859999999999673</v>
      </c>
      <c r="I42" s="159"/>
      <c r="J42" s="159"/>
      <c r="K42" s="149" t="str">
        <f t="shared" si="4"/>
        <v>04</v>
      </c>
      <c r="L42" s="160"/>
      <c r="M42" s="169"/>
      <c r="N42" s="160">
        <f t="shared" si="9"/>
        <v>0.75327874999999678</v>
      </c>
      <c r="O42" s="160">
        <f t="shared" si="10"/>
        <v>24.953333333333223</v>
      </c>
      <c r="P42" s="160">
        <f>(H42*1.5/9)*2</f>
        <v>24.953333333333223</v>
      </c>
      <c r="Q42" s="160"/>
      <c r="R42" s="160">
        <f>((H42*(6/12)*(6/12))/27)</f>
        <v>0.69314814814814507</v>
      </c>
      <c r="S42" s="161"/>
      <c r="T42" s="160"/>
      <c r="U42" s="160"/>
      <c r="V42" s="160"/>
      <c r="W42" s="161"/>
      <c r="X42" s="161"/>
      <c r="Y42" s="161"/>
      <c r="Z42" s="143"/>
      <c r="AA42" s="143"/>
      <c r="AB42" s="143"/>
      <c r="AC42" s="143"/>
      <c r="AE42" s="424"/>
    </row>
    <row r="43" spans="2:31" ht="12.75" customHeight="1" x14ac:dyDescent="0.25">
      <c r="B43" s="42"/>
      <c r="D43" s="153" t="s">
        <v>95</v>
      </c>
      <c r="E43" s="232">
        <v>5045.83</v>
      </c>
      <c r="F43" s="232">
        <v>5075.99</v>
      </c>
      <c r="G43" s="155" t="s">
        <v>32</v>
      </c>
      <c r="H43" s="156">
        <f>F43-E43</f>
        <v>30.159999999999854</v>
      </c>
      <c r="I43" s="156">
        <v>10</v>
      </c>
      <c r="J43" s="156">
        <v>272.02</v>
      </c>
      <c r="K43" s="149" t="str">
        <f t="shared" si="4"/>
        <v>04</v>
      </c>
      <c r="L43" s="152"/>
      <c r="M43" s="98"/>
      <c r="N43" s="152">
        <f t="shared" ref="N43:N44" si="11">P43*0.75*14*115*0.05/2000</f>
        <v>0.91240041666666682</v>
      </c>
      <c r="O43" s="152">
        <f t="shared" ref="O43:O44" si="12">P43</f>
        <v>30.224444444444444</v>
      </c>
      <c r="P43" s="152">
        <f>J43/9</f>
        <v>30.224444444444444</v>
      </c>
      <c r="Q43" s="152"/>
      <c r="R43" s="152">
        <f>(J43*(6/12))/27</f>
        <v>5.0374074074074073</v>
      </c>
      <c r="S43" s="152"/>
      <c r="T43" s="152"/>
      <c r="U43" s="157"/>
      <c r="V43" s="157"/>
      <c r="W43" s="157">
        <f>(J43*(1.5/12))/27</f>
        <v>1.2593518518518518</v>
      </c>
      <c r="X43" s="157">
        <f>(J43*(2.5/12))/27</f>
        <v>2.0989197530864199</v>
      </c>
      <c r="Y43" s="157"/>
      <c r="Z43" s="161"/>
      <c r="AA43" s="143"/>
      <c r="AB43" s="143"/>
      <c r="AC43" s="143"/>
      <c r="AE43" s="424"/>
    </row>
    <row r="44" spans="2:31" ht="12.75" customHeight="1" x14ac:dyDescent="0.25">
      <c r="B44" s="42"/>
      <c r="D44" s="158" t="s">
        <v>71</v>
      </c>
      <c r="E44" s="162">
        <f>E43</f>
        <v>5045.83</v>
      </c>
      <c r="F44" s="162">
        <f>F43</f>
        <v>5075.99</v>
      </c>
      <c r="G44" s="163" t="s">
        <v>32</v>
      </c>
      <c r="H44" s="159">
        <f>H43</f>
        <v>30.159999999999854</v>
      </c>
      <c r="I44" s="159"/>
      <c r="J44" s="159"/>
      <c r="K44" s="149" t="str">
        <f t="shared" si="4"/>
        <v>04</v>
      </c>
      <c r="L44" s="160"/>
      <c r="M44" s="169"/>
      <c r="N44" s="160">
        <f t="shared" si="11"/>
        <v>0.30348499999999856</v>
      </c>
      <c r="O44" s="160">
        <f t="shared" si="12"/>
        <v>10.053333333333285</v>
      </c>
      <c r="P44" s="160">
        <f>(H44*1.5/9)*2</f>
        <v>10.053333333333285</v>
      </c>
      <c r="Q44" s="160"/>
      <c r="R44" s="160">
        <f>((H44*(6/12)*(6/12))/27)</f>
        <v>0.27925925925925793</v>
      </c>
      <c r="S44" s="161"/>
      <c r="T44" s="160"/>
      <c r="U44" s="160"/>
      <c r="V44" s="160"/>
      <c r="W44" s="161"/>
      <c r="X44" s="161"/>
      <c r="Y44" s="161"/>
      <c r="Z44" s="143"/>
      <c r="AA44" s="143"/>
      <c r="AB44" s="143"/>
      <c r="AC44" s="143"/>
      <c r="AE44" s="424"/>
    </row>
    <row r="45" spans="2:31" ht="12.75" customHeight="1" x14ac:dyDescent="0.25">
      <c r="B45" s="42"/>
      <c r="D45" s="153"/>
      <c r="E45" s="154"/>
      <c r="F45" s="154"/>
      <c r="G45" s="155"/>
      <c r="H45" s="156"/>
      <c r="I45" s="156"/>
      <c r="J45" s="156"/>
      <c r="K45" s="149" t="str">
        <f t="shared" si="4"/>
        <v/>
      </c>
      <c r="L45" s="152"/>
      <c r="M45" s="98"/>
      <c r="N45" s="152"/>
      <c r="O45" s="152"/>
      <c r="P45" s="152"/>
      <c r="Q45" s="152"/>
      <c r="R45" s="168"/>
      <c r="S45" s="143"/>
      <c r="T45" s="152"/>
      <c r="U45" s="152"/>
      <c r="V45" s="152"/>
      <c r="W45" s="143"/>
      <c r="X45" s="143"/>
      <c r="Y45" s="143"/>
      <c r="Z45" s="143"/>
      <c r="AA45" s="143"/>
      <c r="AB45" s="143"/>
      <c r="AC45" s="143"/>
    </row>
    <row r="46" spans="2:31" ht="12.75" customHeight="1" x14ac:dyDescent="0.25">
      <c r="B46" s="42"/>
      <c r="D46" s="212" t="s">
        <v>120</v>
      </c>
      <c r="E46" s="213">
        <v>5075.99</v>
      </c>
      <c r="F46" s="213">
        <v>5175.29</v>
      </c>
      <c r="G46" s="230" t="s">
        <v>34</v>
      </c>
      <c r="H46" s="214">
        <f>F46-E46</f>
        <v>99.300000000000182</v>
      </c>
      <c r="I46" s="214">
        <f>J46/H46</f>
        <v>28.608862034239628</v>
      </c>
      <c r="J46" s="214">
        <v>2840.86</v>
      </c>
      <c r="K46" s="149" t="str">
        <f t="shared" si="4"/>
        <v>01</v>
      </c>
      <c r="L46" s="149"/>
      <c r="M46" s="215">
        <f>J46/9/2000</f>
        <v>0.15782555555555555</v>
      </c>
      <c r="N46" s="149">
        <f t="shared" ref="N46:N50" si="13">P46*0.75*14*115*0.05/2000</f>
        <v>9.5287179166666682</v>
      </c>
      <c r="O46" s="149">
        <f t="shared" ref="O46:O50" si="14">P46</f>
        <v>315.65111111111111</v>
      </c>
      <c r="P46" s="149">
        <f>J46/9</f>
        <v>315.65111111111111</v>
      </c>
      <c r="Q46" s="149">
        <f>(J46*(6/12))/27</f>
        <v>52.608518518518522</v>
      </c>
      <c r="R46" s="149">
        <f>Q46</f>
        <v>52.608518518518522</v>
      </c>
      <c r="S46" s="205"/>
      <c r="T46" s="205">
        <f>(J46/9)*0.09*2</f>
        <v>56.8172</v>
      </c>
      <c r="U46" s="205">
        <f>(J46*(1.5/12))/27</f>
        <v>13.152129629629631</v>
      </c>
      <c r="V46" s="205">
        <f>(J46*(1.75/12))/27</f>
        <v>15.344151234567903</v>
      </c>
      <c r="W46" s="205"/>
      <c r="X46" s="151"/>
      <c r="Y46" s="151"/>
      <c r="Z46" s="151"/>
      <c r="AA46" s="143"/>
      <c r="AB46" s="143"/>
      <c r="AC46" s="143"/>
      <c r="AE46" s="424"/>
    </row>
    <row r="47" spans="2:31" ht="12.75" customHeight="1" x14ac:dyDescent="0.25">
      <c r="B47" s="42"/>
      <c r="D47" s="170" t="s">
        <v>29</v>
      </c>
      <c r="E47" s="171">
        <f>E46</f>
        <v>5075.99</v>
      </c>
      <c r="F47" s="171">
        <f>F46</f>
        <v>5175.29</v>
      </c>
      <c r="G47" s="227" t="s">
        <v>34</v>
      </c>
      <c r="H47" s="172">
        <f>F47-E47</f>
        <v>99.300000000000182</v>
      </c>
      <c r="I47" s="172">
        <v>2.5</v>
      </c>
      <c r="J47" s="172">
        <v>529.28</v>
      </c>
      <c r="K47" s="149" t="str">
        <f t="shared" si="4"/>
        <v>01</v>
      </c>
      <c r="L47" s="173"/>
      <c r="M47" s="174">
        <f>(J47/9/2000)+(H47*1)/9/2000</f>
        <v>3.4921111111111125E-2</v>
      </c>
      <c r="N47" s="173">
        <f t="shared" si="13"/>
        <v>2.4414308333333348</v>
      </c>
      <c r="O47" s="173">
        <f t="shared" si="14"/>
        <v>80.875555555555593</v>
      </c>
      <c r="P47" s="173">
        <f>(J47/9)+((H47*(12/12)/9)*2)</f>
        <v>80.875555555555593</v>
      </c>
      <c r="Q47" s="173"/>
      <c r="R47" s="173">
        <f>((J47*(6/12))/27)+((H47*(6/12)*(12/12))/27)</f>
        <v>11.640370370370373</v>
      </c>
      <c r="S47" s="175"/>
      <c r="T47" s="175"/>
      <c r="U47" s="175"/>
      <c r="V47" s="175"/>
      <c r="W47" s="175"/>
      <c r="X47" s="245"/>
      <c r="Y47" s="245"/>
      <c r="Z47" s="245"/>
      <c r="AA47" s="143"/>
      <c r="AB47" s="143"/>
      <c r="AC47" s="143"/>
      <c r="AE47" s="424"/>
    </row>
    <row r="48" spans="2:31" ht="12.75" customHeight="1" x14ac:dyDescent="0.25">
      <c r="B48" s="42"/>
      <c r="D48" s="244" t="s">
        <v>72</v>
      </c>
      <c r="E48" s="248">
        <v>5075.99</v>
      </c>
      <c r="F48" s="248">
        <v>5175.29</v>
      </c>
      <c r="G48" s="249" t="s">
        <v>34</v>
      </c>
      <c r="H48" s="250">
        <f>F48-E48</f>
        <v>99.300000000000182</v>
      </c>
      <c r="I48" s="250">
        <v>0.5</v>
      </c>
      <c r="J48" s="250">
        <v>111.02</v>
      </c>
      <c r="K48" s="149" t="str">
        <f t="shared" si="4"/>
        <v>01</v>
      </c>
      <c r="L48" s="251"/>
      <c r="M48" s="252">
        <f>(J48/9/2000)</f>
        <v>6.1677777777777772E-3</v>
      </c>
      <c r="N48" s="251">
        <f>P48*0.75*14*115*0.05/2000</f>
        <v>0.37237958333333332</v>
      </c>
      <c r="O48" s="251">
        <f t="shared" si="14"/>
        <v>12.335555555555555</v>
      </c>
      <c r="P48" s="251">
        <f>(J48/9)</f>
        <v>12.335555555555555</v>
      </c>
      <c r="Q48" s="251"/>
      <c r="R48" s="251">
        <f>(J48*(6/12))/27</f>
        <v>2.0559259259259259</v>
      </c>
      <c r="S48" s="253"/>
      <c r="T48" s="251"/>
      <c r="U48" s="251"/>
      <c r="V48" s="251"/>
      <c r="W48" s="253"/>
      <c r="X48" s="253"/>
      <c r="Y48" s="253"/>
      <c r="Z48" s="253"/>
      <c r="AA48" s="143"/>
      <c r="AB48" s="143"/>
      <c r="AC48" s="143"/>
      <c r="AE48" s="424"/>
    </row>
    <row r="49" spans="2:31" ht="12.75" customHeight="1" x14ac:dyDescent="0.25">
      <c r="B49" s="42"/>
      <c r="D49" s="153" t="s">
        <v>95</v>
      </c>
      <c r="E49" s="154">
        <v>5075.99</v>
      </c>
      <c r="F49" s="154">
        <v>5175.29</v>
      </c>
      <c r="G49" s="155" t="s">
        <v>32</v>
      </c>
      <c r="H49" s="156">
        <v>88</v>
      </c>
      <c r="I49" s="156">
        <f>J49/H49</f>
        <v>9.7792045454545455</v>
      </c>
      <c r="J49" s="156">
        <v>860.57</v>
      </c>
      <c r="K49" s="149" t="str">
        <f t="shared" si="4"/>
        <v>04</v>
      </c>
      <c r="L49" s="152"/>
      <c r="M49" s="98"/>
      <c r="N49" s="152">
        <f t="shared" si="13"/>
        <v>2.8864952083333337</v>
      </c>
      <c r="O49" s="152">
        <f t="shared" si="14"/>
        <v>95.61888888888889</v>
      </c>
      <c r="P49" s="152">
        <f>J49/9</f>
        <v>95.61888888888889</v>
      </c>
      <c r="Q49" s="152"/>
      <c r="R49" s="152">
        <f>(J49*(6/12))/27</f>
        <v>15.936481481481483</v>
      </c>
      <c r="S49" s="152"/>
      <c r="T49" s="152"/>
      <c r="U49" s="157"/>
      <c r="V49" s="157"/>
      <c r="W49" s="157">
        <f>(J49*(1.5/12))/27</f>
        <v>3.9841203703703707</v>
      </c>
      <c r="X49" s="157">
        <f>(J49*(2.5/12))/27</f>
        <v>6.6402006172839512</v>
      </c>
      <c r="Y49" s="157"/>
      <c r="Z49" s="253"/>
      <c r="AA49" s="143"/>
      <c r="AB49" s="143"/>
      <c r="AC49" s="143"/>
      <c r="AE49" s="424"/>
    </row>
    <row r="50" spans="2:31" ht="12.75" customHeight="1" x14ac:dyDescent="0.25">
      <c r="B50" s="42"/>
      <c r="D50" s="158" t="s">
        <v>71</v>
      </c>
      <c r="E50" s="162">
        <f>E49</f>
        <v>5075.99</v>
      </c>
      <c r="F50" s="162">
        <f>F49</f>
        <v>5175.29</v>
      </c>
      <c r="G50" s="163" t="s">
        <v>32</v>
      </c>
      <c r="H50" s="159">
        <f>H49</f>
        <v>88</v>
      </c>
      <c r="I50" s="159"/>
      <c r="J50" s="159"/>
      <c r="K50" s="149" t="str">
        <f t="shared" si="4"/>
        <v>04</v>
      </c>
      <c r="L50" s="160"/>
      <c r="M50" s="169"/>
      <c r="N50" s="160">
        <f t="shared" si="13"/>
        <v>0.88549999999999995</v>
      </c>
      <c r="O50" s="160">
        <f t="shared" si="14"/>
        <v>29.333333333333332</v>
      </c>
      <c r="P50" s="160">
        <f>(H50*1.5/9)*2</f>
        <v>29.333333333333332</v>
      </c>
      <c r="Q50" s="160"/>
      <c r="R50" s="160">
        <f>((H50*(6/12)*(6/12))/27)*2</f>
        <v>1.6296296296296295</v>
      </c>
      <c r="S50" s="161"/>
      <c r="T50" s="160"/>
      <c r="U50" s="160"/>
      <c r="V50" s="160"/>
      <c r="W50" s="161"/>
      <c r="X50" s="161"/>
      <c r="Y50" s="161"/>
      <c r="Z50" s="143"/>
      <c r="AA50" s="143"/>
      <c r="AB50" s="143"/>
      <c r="AC50" s="143"/>
      <c r="AE50" s="424"/>
    </row>
    <row r="51" spans="2:31" ht="12.75" customHeight="1" x14ac:dyDescent="0.25">
      <c r="B51" s="42"/>
      <c r="D51" s="153"/>
      <c r="E51" s="154"/>
      <c r="F51" s="154"/>
      <c r="G51" s="155"/>
      <c r="H51" s="156"/>
      <c r="I51" s="156"/>
      <c r="J51" s="156"/>
      <c r="K51" s="149" t="str">
        <f t="shared" si="4"/>
        <v/>
      </c>
      <c r="L51" s="152"/>
      <c r="M51" s="98"/>
      <c r="N51" s="152"/>
      <c r="O51" s="152"/>
      <c r="P51" s="152"/>
      <c r="Q51" s="152"/>
      <c r="R51" s="168"/>
      <c r="S51" s="143"/>
      <c r="T51" s="152"/>
      <c r="U51" s="152"/>
      <c r="V51" s="152"/>
      <c r="W51" s="143"/>
      <c r="X51" s="143"/>
      <c r="Y51" s="143"/>
      <c r="Z51" s="143"/>
      <c r="AA51" s="143"/>
      <c r="AB51" s="143"/>
      <c r="AC51" s="143"/>
    </row>
    <row r="52" spans="2:31" ht="12.75" customHeight="1" x14ac:dyDescent="0.25">
      <c r="B52" s="42"/>
      <c r="D52" s="231" t="s">
        <v>30</v>
      </c>
      <c r="E52" s="232">
        <v>5075.99</v>
      </c>
      <c r="F52" s="232">
        <v>5175.29</v>
      </c>
      <c r="G52" s="233" t="s">
        <v>34</v>
      </c>
      <c r="H52" s="234">
        <f>F52-E52</f>
        <v>99.300000000000182</v>
      </c>
      <c r="I52" s="234">
        <f>J52/H52</f>
        <v>6.8583081570996853</v>
      </c>
      <c r="J52" s="234">
        <v>681.03</v>
      </c>
      <c r="K52" s="149" t="str">
        <f t="shared" si="4"/>
        <v>01</v>
      </c>
      <c r="L52" s="235"/>
      <c r="M52" s="240">
        <f>(J52/9/2000)</f>
        <v>3.7835000000000001E-2</v>
      </c>
      <c r="N52" s="235">
        <f>P52*0.75*14*115*0.05/2000</f>
        <v>2.2842881250000002</v>
      </c>
      <c r="O52" s="235">
        <f>P52</f>
        <v>75.67</v>
      </c>
      <c r="P52" s="235">
        <f>(J52/9)</f>
        <v>75.67</v>
      </c>
      <c r="Q52" s="235"/>
      <c r="R52" s="235"/>
      <c r="S52" s="235">
        <f>((J52*(15.25/12))/27)</f>
        <v>32.054652777777775</v>
      </c>
      <c r="T52" s="237"/>
      <c r="U52" s="237"/>
      <c r="V52" s="237"/>
      <c r="W52" s="237"/>
      <c r="X52" s="237"/>
      <c r="Y52" s="237"/>
      <c r="Z52" s="237">
        <f>P52</f>
        <v>75.67</v>
      </c>
      <c r="AA52" s="143"/>
      <c r="AB52" s="143"/>
      <c r="AC52" s="143"/>
      <c r="AE52" s="424"/>
    </row>
    <row r="53" spans="2:31" ht="12.75" customHeight="1" x14ac:dyDescent="0.25">
      <c r="B53" s="42"/>
      <c r="D53" s="170"/>
      <c r="E53" s="171"/>
      <c r="F53" s="171"/>
      <c r="G53" s="227"/>
      <c r="H53" s="172"/>
      <c r="I53" s="172"/>
      <c r="J53" s="172"/>
      <c r="K53" s="149" t="str">
        <f t="shared" si="4"/>
        <v/>
      </c>
      <c r="L53" s="173"/>
      <c r="M53" s="174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5"/>
      <c r="Y53" s="175"/>
      <c r="Z53" s="175"/>
      <c r="AA53" s="175"/>
      <c r="AB53" s="245"/>
      <c r="AC53" s="143"/>
    </row>
    <row r="54" spans="2:31" ht="12.75" customHeight="1" x14ac:dyDescent="0.25">
      <c r="B54" s="42"/>
      <c r="D54" s="244"/>
      <c r="E54" s="472" t="s">
        <v>113</v>
      </c>
      <c r="F54" s="473"/>
      <c r="G54" s="249"/>
      <c r="H54" s="250"/>
      <c r="I54" s="250"/>
      <c r="J54" s="250"/>
      <c r="K54" s="149" t="str">
        <f t="shared" si="4"/>
        <v/>
      </c>
      <c r="L54" s="251"/>
      <c r="M54" s="270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3"/>
      <c r="Y54" s="253"/>
      <c r="Z54" s="251"/>
      <c r="AA54" s="251"/>
      <c r="AB54" s="253"/>
      <c r="AC54" s="143"/>
    </row>
    <row r="55" spans="2:31" ht="12.75" customHeight="1" x14ac:dyDescent="0.25">
      <c r="B55" s="42"/>
      <c r="D55" s="144"/>
      <c r="E55" s="145"/>
      <c r="F55" s="145"/>
      <c r="G55" s="146"/>
      <c r="H55" s="147"/>
      <c r="I55" s="147"/>
      <c r="J55" s="147"/>
      <c r="K55" s="149" t="str">
        <f t="shared" si="4"/>
        <v/>
      </c>
      <c r="L55" s="148"/>
      <c r="M55" s="270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3"/>
      <c r="Y55" s="253"/>
      <c r="Z55" s="251"/>
      <c r="AA55" s="251"/>
      <c r="AB55" s="253"/>
      <c r="AC55" s="143"/>
    </row>
    <row r="56" spans="2:31" ht="12.75" customHeight="1" x14ac:dyDescent="0.25">
      <c r="B56" s="42"/>
      <c r="D56" s="153"/>
      <c r="E56" s="154"/>
      <c r="F56" s="154"/>
      <c r="G56" s="155"/>
      <c r="H56" s="156"/>
      <c r="I56" s="156"/>
      <c r="J56" s="156"/>
      <c r="K56" s="149" t="str">
        <f t="shared" si="4"/>
        <v/>
      </c>
      <c r="L56" s="152"/>
      <c r="M56" s="189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271"/>
      <c r="AB56" s="253"/>
      <c r="AC56" s="143"/>
    </row>
    <row r="57" spans="2:31" ht="12.75" customHeight="1" x14ac:dyDescent="0.25">
      <c r="B57" s="42"/>
      <c r="D57" s="158" t="s">
        <v>115</v>
      </c>
      <c r="E57" s="162">
        <v>6550</v>
      </c>
      <c r="F57" s="162">
        <v>8022.75</v>
      </c>
      <c r="G57" s="163" t="s">
        <v>34</v>
      </c>
      <c r="H57" s="89">
        <f>F57-E57</f>
        <v>1472.75</v>
      </c>
      <c r="I57" s="89">
        <f>J57/H57</f>
        <v>27.471492106603293</v>
      </c>
      <c r="J57" s="159">
        <v>40458.639999999999</v>
      </c>
      <c r="K57" s="149" t="str">
        <f t="shared" si="4"/>
        <v>01</v>
      </c>
      <c r="L57" s="239">
        <f>(J57*1.5)/27</f>
        <v>2247.7022222222222</v>
      </c>
      <c r="M57" s="238" t="s">
        <v>110</v>
      </c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161"/>
      <c r="Z57" s="160"/>
      <c r="AA57" s="157">
        <f>J57/9</f>
        <v>4495.4044444444444</v>
      </c>
      <c r="AB57" s="143"/>
      <c r="AC57" s="143"/>
      <c r="AE57" s="424"/>
    </row>
    <row r="58" spans="2:31" ht="12.75" customHeight="1" x14ac:dyDescent="0.25">
      <c r="B58" s="42"/>
      <c r="D58" s="153"/>
      <c r="E58" s="154"/>
      <c r="F58" s="154"/>
      <c r="G58" s="155"/>
      <c r="H58" s="156"/>
      <c r="I58" s="156"/>
      <c r="J58" s="156"/>
      <c r="K58" s="149" t="str">
        <f t="shared" si="4"/>
        <v/>
      </c>
      <c r="L58" s="239"/>
      <c r="M58" s="189"/>
      <c r="N58" s="152"/>
      <c r="O58" s="152"/>
      <c r="P58" s="152"/>
      <c r="Q58" s="152"/>
      <c r="R58" s="152"/>
      <c r="S58" s="152"/>
      <c r="T58" s="152"/>
      <c r="U58" s="152"/>
      <c r="V58" s="152"/>
      <c r="W58" s="168"/>
      <c r="X58" s="143"/>
      <c r="Y58" s="143"/>
      <c r="Z58" s="152"/>
      <c r="AA58" s="157"/>
      <c r="AB58" s="143"/>
      <c r="AC58" s="143"/>
    </row>
    <row r="59" spans="2:31" ht="12.75" customHeight="1" x14ac:dyDescent="0.25">
      <c r="B59" s="42"/>
      <c r="D59" s="158" t="s">
        <v>115</v>
      </c>
      <c r="E59" s="162">
        <v>8044</v>
      </c>
      <c r="F59" s="162">
        <v>8600</v>
      </c>
      <c r="G59" s="163" t="s">
        <v>34</v>
      </c>
      <c r="H59" s="89">
        <f>F59-E59</f>
        <v>556</v>
      </c>
      <c r="I59" s="89">
        <f>J59/H59</f>
        <v>29.47169064748201</v>
      </c>
      <c r="J59" s="159">
        <v>16386.259999999998</v>
      </c>
      <c r="K59" s="149" t="str">
        <f t="shared" si="4"/>
        <v>01</v>
      </c>
      <c r="L59" s="239">
        <f>(J59*1.5)/27</f>
        <v>910.34777777777776</v>
      </c>
      <c r="M59" s="238" t="s">
        <v>110</v>
      </c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1"/>
      <c r="Y59" s="161"/>
      <c r="Z59" s="160"/>
      <c r="AA59" s="157">
        <f>J59/9</f>
        <v>1820.6955555555553</v>
      </c>
      <c r="AB59" s="237"/>
      <c r="AC59" s="143"/>
      <c r="AE59" s="424"/>
    </row>
    <row r="60" spans="2:31" ht="12.75" customHeight="1" x14ac:dyDescent="0.25">
      <c r="B60" s="42"/>
      <c r="D60" s="244"/>
      <c r="E60" s="248"/>
      <c r="F60" s="248"/>
      <c r="G60" s="249"/>
      <c r="H60" s="250"/>
      <c r="I60" s="250"/>
      <c r="J60" s="250"/>
      <c r="K60" s="251"/>
      <c r="L60" s="251"/>
      <c r="M60" s="270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3"/>
      <c r="Y60" s="253"/>
      <c r="Z60" s="251"/>
      <c r="AA60" s="251"/>
      <c r="AB60" s="253"/>
      <c r="AC60" s="143"/>
    </row>
    <row r="61" spans="2:31" ht="12.75" customHeight="1" x14ac:dyDescent="0.25">
      <c r="B61" s="42"/>
      <c r="D61" s="244"/>
      <c r="E61" s="248"/>
      <c r="F61" s="248"/>
      <c r="G61" s="249"/>
      <c r="H61" s="250"/>
      <c r="I61" s="250"/>
      <c r="J61" s="250"/>
      <c r="K61" s="251"/>
      <c r="L61" s="251"/>
      <c r="M61" s="270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3"/>
      <c r="Y61" s="253"/>
      <c r="Z61" s="251"/>
      <c r="AA61" s="251"/>
      <c r="AB61" s="253"/>
      <c r="AC61" s="143"/>
    </row>
    <row r="62" spans="2:31" ht="12.75" customHeight="1" x14ac:dyDescent="0.25">
      <c r="B62" s="42"/>
      <c r="D62" s="153"/>
      <c r="E62" s="154"/>
      <c r="F62" s="154"/>
      <c r="G62" s="155"/>
      <c r="H62" s="156"/>
      <c r="I62" s="156"/>
      <c r="J62" s="156"/>
      <c r="K62" s="152"/>
      <c r="L62" s="152"/>
      <c r="M62" s="189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7"/>
      <c r="AB62" s="253"/>
      <c r="AC62" s="143"/>
    </row>
    <row r="63" spans="2:31" ht="12.75" customHeight="1" x14ac:dyDescent="0.25">
      <c r="B63" s="42"/>
      <c r="D63" s="158"/>
      <c r="E63" s="162"/>
      <c r="F63" s="162"/>
      <c r="G63" s="163"/>
      <c r="H63" s="159"/>
      <c r="I63" s="159"/>
      <c r="J63" s="159"/>
      <c r="K63" s="160"/>
      <c r="L63" s="160"/>
      <c r="M63" s="238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1"/>
      <c r="Y63" s="161"/>
      <c r="Z63" s="160"/>
      <c r="AA63" s="160"/>
      <c r="AB63" s="143"/>
      <c r="AC63" s="143"/>
    </row>
    <row r="64" spans="2:31" ht="12.75" customHeight="1" x14ac:dyDescent="0.25">
      <c r="B64" s="42"/>
      <c r="D64" s="153"/>
      <c r="E64" s="154"/>
      <c r="F64" s="154"/>
      <c r="G64" s="155"/>
      <c r="H64" s="156"/>
      <c r="I64" s="156"/>
      <c r="J64" s="156"/>
      <c r="K64" s="152"/>
      <c r="L64" s="152"/>
      <c r="M64" s="189"/>
      <c r="N64" s="152"/>
      <c r="O64" s="152"/>
      <c r="P64" s="152"/>
      <c r="Q64" s="152"/>
      <c r="R64" s="152"/>
      <c r="S64" s="152"/>
      <c r="T64" s="152"/>
      <c r="U64" s="152"/>
      <c r="V64" s="152"/>
      <c r="W64" s="168"/>
      <c r="X64" s="143"/>
      <c r="Y64" s="143"/>
      <c r="Z64" s="152"/>
      <c r="AA64" s="152"/>
      <c r="AB64" s="143"/>
      <c r="AC64" s="143"/>
    </row>
    <row r="65" spans="2:29" ht="12.75" customHeight="1" x14ac:dyDescent="0.25">
      <c r="B65" s="42"/>
      <c r="D65" s="231"/>
      <c r="E65" s="232"/>
      <c r="F65" s="232"/>
      <c r="G65" s="233"/>
      <c r="H65" s="234"/>
      <c r="I65" s="234"/>
      <c r="J65" s="234"/>
      <c r="K65" s="235"/>
      <c r="L65" s="235"/>
      <c r="M65" s="236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7"/>
      <c r="AA65" s="237"/>
      <c r="AB65" s="237"/>
      <c r="AC65" s="143"/>
    </row>
    <row r="66" spans="2:29" ht="12.75" customHeight="1" x14ac:dyDescent="0.25">
      <c r="B66" s="42"/>
      <c r="D66" s="231"/>
      <c r="E66" s="232"/>
      <c r="F66" s="232"/>
      <c r="G66" s="233"/>
      <c r="H66" s="234"/>
      <c r="I66" s="234"/>
      <c r="J66" s="234"/>
      <c r="K66" s="235"/>
      <c r="L66" s="235"/>
      <c r="M66" s="236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7"/>
      <c r="AA66" s="237"/>
      <c r="AB66" s="237"/>
      <c r="AC66" s="143"/>
    </row>
    <row r="67" spans="2:29" ht="12.75" customHeight="1" x14ac:dyDescent="0.25">
      <c r="B67" s="42"/>
      <c r="D67" s="212"/>
      <c r="E67" s="213"/>
      <c r="F67" s="213"/>
      <c r="G67" s="230"/>
      <c r="H67" s="214"/>
      <c r="I67" s="214"/>
      <c r="J67" s="214"/>
      <c r="K67" s="149"/>
      <c r="L67" s="149"/>
      <c r="M67" s="215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205"/>
      <c r="Y67" s="205"/>
      <c r="Z67" s="205"/>
      <c r="AA67" s="205"/>
      <c r="AB67" s="143"/>
      <c r="AC67" s="143"/>
    </row>
    <row r="68" spans="2:29" ht="12.75" customHeight="1" x14ac:dyDescent="0.25">
      <c r="B68" s="42"/>
      <c r="D68" s="216"/>
      <c r="E68" s="217"/>
      <c r="F68" s="217"/>
      <c r="G68" s="218"/>
      <c r="H68" s="219"/>
      <c r="I68" s="219"/>
      <c r="J68" s="219"/>
      <c r="K68" s="220"/>
      <c r="L68" s="220"/>
      <c r="M68" s="272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2"/>
      <c r="AA68" s="222"/>
      <c r="AB68" s="143"/>
      <c r="AC68" s="143"/>
    </row>
    <row r="69" spans="2:29" ht="12.75" customHeight="1" x14ac:dyDescent="0.25">
      <c r="B69" s="42"/>
      <c r="D69" s="153"/>
      <c r="E69" s="232"/>
      <c r="F69" s="232"/>
      <c r="G69" s="155"/>
      <c r="H69" s="156"/>
      <c r="I69" s="156"/>
      <c r="J69" s="156"/>
      <c r="K69" s="152"/>
      <c r="L69" s="152"/>
      <c r="M69" s="189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7"/>
      <c r="AB69" s="161"/>
      <c r="AC69" s="143"/>
    </row>
    <row r="70" spans="2:29" ht="12.75" customHeight="1" x14ac:dyDescent="0.25">
      <c r="B70" s="42"/>
      <c r="D70" s="158"/>
      <c r="E70" s="162"/>
      <c r="F70" s="162"/>
      <c r="G70" s="163"/>
      <c r="H70" s="159"/>
      <c r="I70" s="159"/>
      <c r="J70" s="159"/>
      <c r="K70" s="160"/>
      <c r="L70" s="160"/>
      <c r="M70" s="238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1"/>
      <c r="Y70" s="161"/>
      <c r="Z70" s="160"/>
      <c r="AA70" s="160"/>
      <c r="AB70" s="143"/>
      <c r="AC70" s="143"/>
    </row>
    <row r="71" spans="2:29" ht="12.75" customHeight="1" x14ac:dyDescent="0.25">
      <c r="B71" s="42"/>
      <c r="D71" s="170"/>
      <c r="E71" s="171"/>
      <c r="F71" s="171"/>
      <c r="G71" s="227"/>
      <c r="H71" s="172"/>
      <c r="I71" s="172"/>
      <c r="J71" s="172"/>
      <c r="K71" s="173"/>
      <c r="L71" s="173"/>
      <c r="M71" s="228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5"/>
      <c r="Y71" s="175"/>
      <c r="Z71" s="175"/>
      <c r="AA71" s="175"/>
      <c r="AB71" s="237"/>
      <c r="AC71" s="143"/>
    </row>
    <row r="72" spans="2:29" ht="12.75" customHeight="1" x14ac:dyDescent="0.25">
      <c r="B72" s="42"/>
      <c r="D72" s="170"/>
      <c r="E72" s="213"/>
      <c r="F72" s="213"/>
      <c r="G72" s="227"/>
      <c r="H72" s="172"/>
      <c r="I72" s="172"/>
      <c r="J72" s="172"/>
      <c r="K72" s="173"/>
      <c r="L72" s="173"/>
      <c r="M72" s="228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5"/>
      <c r="Y72" s="175"/>
      <c r="Z72" s="175"/>
      <c r="AA72" s="175"/>
      <c r="AB72" s="237"/>
      <c r="AC72" s="143"/>
    </row>
    <row r="73" spans="2:29" ht="12.75" customHeight="1" x14ac:dyDescent="0.25">
      <c r="B73" s="42"/>
      <c r="D73" s="212"/>
      <c r="E73" s="213"/>
      <c r="F73" s="213"/>
      <c r="G73" s="230"/>
      <c r="H73" s="214"/>
      <c r="I73" s="214"/>
      <c r="J73" s="214"/>
      <c r="K73" s="149"/>
      <c r="L73" s="149"/>
      <c r="M73" s="215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205"/>
      <c r="Y73" s="205"/>
      <c r="Z73" s="205"/>
      <c r="AA73" s="205"/>
      <c r="AB73" s="151"/>
      <c r="AC73" s="143"/>
    </row>
    <row r="74" spans="2:29" ht="12.75" customHeight="1" x14ac:dyDescent="0.25">
      <c r="B74" s="42"/>
      <c r="D74" s="170"/>
      <c r="E74" s="171"/>
      <c r="F74" s="171"/>
      <c r="G74" s="227"/>
      <c r="H74" s="172"/>
      <c r="I74" s="172"/>
      <c r="J74" s="172"/>
      <c r="K74" s="173"/>
      <c r="L74" s="173"/>
      <c r="M74" s="228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5"/>
      <c r="Y74" s="175"/>
      <c r="Z74" s="175"/>
      <c r="AA74" s="175"/>
      <c r="AB74" s="245"/>
      <c r="AC74" s="143"/>
    </row>
    <row r="75" spans="2:29" ht="12.75" customHeight="1" x14ac:dyDescent="0.25">
      <c r="B75" s="42"/>
      <c r="D75" s="170"/>
      <c r="E75" s="171"/>
      <c r="F75" s="171"/>
      <c r="G75" s="227"/>
      <c r="H75" s="172"/>
      <c r="I75" s="172"/>
      <c r="J75" s="172"/>
      <c r="K75" s="173"/>
      <c r="L75" s="173"/>
      <c r="M75" s="228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5"/>
      <c r="Y75" s="175"/>
      <c r="Z75" s="175"/>
      <c r="AA75" s="175"/>
      <c r="AB75" s="245"/>
      <c r="AC75" s="143"/>
    </row>
    <row r="76" spans="2:29" ht="12.75" customHeight="1" x14ac:dyDescent="0.25">
      <c r="B76" s="42"/>
      <c r="D76" s="170"/>
      <c r="E76" s="171"/>
      <c r="F76" s="171"/>
      <c r="G76" s="227"/>
      <c r="H76" s="172"/>
      <c r="I76" s="172"/>
      <c r="J76" s="172"/>
      <c r="K76" s="173"/>
      <c r="L76" s="173"/>
      <c r="M76" s="228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5"/>
      <c r="Y76" s="175"/>
      <c r="Z76" s="175"/>
      <c r="AA76" s="175"/>
      <c r="AB76" s="245"/>
      <c r="AC76" s="143"/>
    </row>
    <row r="77" spans="2:29" ht="12.75" customHeight="1" x14ac:dyDescent="0.25">
      <c r="B77" s="42"/>
      <c r="D77" s="216"/>
      <c r="E77" s="217"/>
      <c r="F77" s="217"/>
      <c r="G77" s="218"/>
      <c r="H77" s="219"/>
      <c r="I77" s="219"/>
      <c r="J77" s="219"/>
      <c r="K77" s="220"/>
      <c r="L77" s="220"/>
      <c r="M77" s="272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2"/>
      <c r="Y77" s="222"/>
      <c r="Z77" s="220"/>
      <c r="AA77" s="220"/>
      <c r="AB77" s="222"/>
      <c r="AC77" s="222"/>
    </row>
    <row r="78" spans="2:29" ht="12.75" customHeight="1" x14ac:dyDescent="0.25">
      <c r="B78" s="42"/>
      <c r="D78" s="254"/>
      <c r="E78" s="256"/>
      <c r="F78" s="256"/>
      <c r="G78" s="257"/>
      <c r="H78" s="258"/>
      <c r="I78" s="258"/>
      <c r="J78" s="258"/>
      <c r="K78" s="259"/>
      <c r="L78" s="259"/>
      <c r="M78" s="273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61"/>
      <c r="Y78" s="261"/>
      <c r="Z78" s="259"/>
      <c r="AA78" s="259"/>
      <c r="AB78" s="261"/>
      <c r="AC78" s="261"/>
    </row>
    <row r="79" spans="2:29" ht="12.75" customHeight="1" x14ac:dyDescent="0.25">
      <c r="B79" s="42"/>
      <c r="D79" s="255"/>
      <c r="E79" s="262"/>
      <c r="F79" s="262"/>
      <c r="G79" s="263"/>
      <c r="H79" s="264"/>
      <c r="I79" s="264"/>
      <c r="J79" s="264"/>
      <c r="K79" s="265"/>
      <c r="L79" s="265"/>
      <c r="M79" s="274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7"/>
      <c r="Y79" s="267"/>
      <c r="Z79" s="265"/>
      <c r="AA79" s="265"/>
      <c r="AB79" s="267"/>
      <c r="AC79" s="267"/>
    </row>
    <row r="80" spans="2:29" ht="12.75" customHeight="1" x14ac:dyDescent="0.25">
      <c r="B80" s="42"/>
      <c r="D80" s="153"/>
      <c r="E80" s="154"/>
      <c r="F80" s="154"/>
      <c r="G80" s="155"/>
      <c r="H80" s="156"/>
      <c r="I80" s="156"/>
      <c r="J80" s="156"/>
      <c r="K80" s="152"/>
      <c r="L80" s="152"/>
      <c r="M80" s="189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7"/>
      <c r="AB80" s="253"/>
      <c r="AC80" s="143"/>
    </row>
    <row r="81" spans="2:29" ht="12.75" customHeight="1" x14ac:dyDescent="0.25">
      <c r="B81" s="42"/>
      <c r="D81" s="158"/>
      <c r="E81" s="162"/>
      <c r="F81" s="162"/>
      <c r="G81" s="163"/>
      <c r="H81" s="159"/>
      <c r="I81" s="159"/>
      <c r="J81" s="159"/>
      <c r="K81" s="160"/>
      <c r="L81" s="160"/>
      <c r="M81" s="238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1"/>
      <c r="Y81" s="161"/>
      <c r="Z81" s="160"/>
      <c r="AA81" s="160"/>
      <c r="AB81" s="143"/>
      <c r="AC81" s="143"/>
    </row>
    <row r="82" spans="2:29" ht="12.75" customHeight="1" x14ac:dyDescent="0.25">
      <c r="B82" s="42"/>
      <c r="D82" s="231"/>
      <c r="E82" s="232"/>
      <c r="F82" s="232"/>
      <c r="G82" s="233"/>
      <c r="H82" s="234"/>
      <c r="I82" s="234"/>
      <c r="J82" s="234"/>
      <c r="K82" s="235"/>
      <c r="L82" s="235"/>
      <c r="M82" s="236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7"/>
      <c r="AA82" s="237"/>
      <c r="AB82" s="237"/>
      <c r="AC82" s="143"/>
    </row>
    <row r="83" spans="2:29" ht="12.75" customHeight="1" x14ac:dyDescent="0.25">
      <c r="B83" s="42"/>
      <c r="D83" s="153"/>
      <c r="E83" s="154"/>
      <c r="F83" s="154"/>
      <c r="G83" s="155"/>
      <c r="H83" s="156"/>
      <c r="I83" s="156"/>
      <c r="J83" s="156"/>
      <c r="K83" s="152"/>
      <c r="L83" s="152"/>
      <c r="M83" s="189"/>
      <c r="N83" s="152"/>
      <c r="O83" s="152"/>
      <c r="P83" s="152"/>
      <c r="Q83" s="152"/>
      <c r="R83" s="152"/>
      <c r="S83" s="152"/>
      <c r="T83" s="152"/>
      <c r="U83" s="152"/>
      <c r="V83" s="152"/>
      <c r="W83" s="168"/>
      <c r="X83" s="143"/>
      <c r="Y83" s="143"/>
      <c r="Z83" s="152"/>
      <c r="AA83" s="152"/>
      <c r="AB83" s="143"/>
      <c r="AC83" s="143"/>
    </row>
    <row r="84" spans="2:29" ht="12.75" customHeight="1" x14ac:dyDescent="0.25">
      <c r="B84" s="42"/>
      <c r="D84" s="158"/>
      <c r="E84" s="162"/>
      <c r="F84" s="162"/>
      <c r="G84" s="163"/>
      <c r="H84" s="159"/>
      <c r="I84" s="159"/>
      <c r="J84" s="159"/>
      <c r="K84" s="160"/>
      <c r="L84" s="160"/>
      <c r="M84" s="238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1"/>
      <c r="Y84" s="161"/>
      <c r="Z84" s="160"/>
      <c r="AA84" s="160"/>
      <c r="AB84" s="143"/>
      <c r="AC84" s="143"/>
    </row>
    <row r="85" spans="2:29" ht="12.75" customHeight="1" x14ac:dyDescent="0.25">
      <c r="B85" s="42"/>
      <c r="D85" s="158"/>
      <c r="E85" s="162"/>
      <c r="F85" s="162"/>
      <c r="G85" s="163"/>
      <c r="H85" s="159"/>
      <c r="I85" s="159"/>
      <c r="J85" s="159"/>
      <c r="K85" s="160"/>
      <c r="L85" s="160"/>
      <c r="M85" s="238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1"/>
      <c r="Y85" s="161"/>
      <c r="Z85" s="160"/>
      <c r="AA85" s="160"/>
      <c r="AB85" s="143"/>
      <c r="AC85" s="143"/>
    </row>
    <row r="86" spans="2:29" ht="12.75" customHeight="1" x14ac:dyDescent="0.25">
      <c r="B86" s="42"/>
      <c r="D86" s="242"/>
      <c r="E86" s="141"/>
      <c r="F86" s="141"/>
      <c r="G86" s="142"/>
      <c r="H86" s="123" t="str">
        <f t="shared" ref="H86:H88" si="15">IF(E86&lt;&gt;"",F86-E86,"")</f>
        <v/>
      </c>
      <c r="I86" s="123"/>
      <c r="J86" s="123"/>
      <c r="K86" s="143"/>
      <c r="L86" s="143"/>
      <c r="M86" s="12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spans="2:29" ht="12.75" customHeight="1" thickBot="1" x14ac:dyDescent="0.3">
      <c r="B87" s="43"/>
      <c r="D87" s="243"/>
      <c r="E87" s="199"/>
      <c r="F87" s="200"/>
      <c r="G87" s="201"/>
      <c r="H87" s="201" t="str">
        <f t="shared" si="15"/>
        <v/>
      </c>
      <c r="I87" s="128"/>
      <c r="J87" s="128"/>
      <c r="K87" s="202"/>
      <c r="L87" s="202"/>
      <c r="M87" s="128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</row>
    <row r="88" spans="2:29" ht="12.75" customHeight="1" thickBot="1" x14ac:dyDescent="0.3">
      <c r="D88" s="243"/>
      <c r="E88" s="203"/>
      <c r="F88" s="203"/>
      <c r="G88" s="201"/>
      <c r="H88" s="128" t="str">
        <f t="shared" si="15"/>
        <v/>
      </c>
      <c r="I88" s="128"/>
      <c r="J88" s="128"/>
      <c r="K88" s="202"/>
      <c r="L88" s="202"/>
      <c r="M88" s="128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29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T89" si="16">SUM(K28:K88)</f>
        <v>0</v>
      </c>
      <c r="L89" s="136">
        <f t="shared" si="16"/>
        <v>3158.05</v>
      </c>
      <c r="M89" s="135">
        <f t="shared" si="16"/>
        <v>1.5425738888888889</v>
      </c>
      <c r="N89" s="136">
        <f t="shared" si="16"/>
        <v>111.36427020833329</v>
      </c>
      <c r="O89" s="136">
        <f t="shared" si="16"/>
        <v>3689.0855555555554</v>
      </c>
      <c r="P89" s="136">
        <f t="shared" si="16"/>
        <v>3689.0855555555554</v>
      </c>
      <c r="Q89" s="136">
        <f t="shared" si="16"/>
        <v>360.64388888888885</v>
      </c>
      <c r="R89" s="136">
        <f t="shared" si="16"/>
        <v>571.05425925925942</v>
      </c>
      <c r="S89" s="136">
        <f t="shared" si="16"/>
        <v>32.054652777777775</v>
      </c>
      <c r="T89" s="136">
        <f t="shared" si="16"/>
        <v>386.71940000000001</v>
      </c>
      <c r="U89" s="136">
        <f t="shared" ref="U89:AC89" si="17">SUM(U28:U88)</f>
        <v>89.518379629629621</v>
      </c>
      <c r="V89" s="136">
        <f t="shared" si="17"/>
        <v>104.43810956790124</v>
      </c>
      <c r="W89" s="136">
        <f t="shared" si="17"/>
        <v>20.438287037037036</v>
      </c>
      <c r="X89" s="136">
        <f t="shared" si="17"/>
        <v>34.063811728395066</v>
      </c>
      <c r="Y89" s="136">
        <f t="shared" si="17"/>
        <v>430.04888888888888</v>
      </c>
      <c r="Z89" s="136">
        <f t="shared" si="17"/>
        <v>75.67</v>
      </c>
      <c r="AA89" s="136">
        <f t="shared" si="17"/>
        <v>6316.0999999999995</v>
      </c>
      <c r="AB89" s="136">
        <f t="shared" si="17"/>
        <v>0</v>
      </c>
      <c r="AC89" s="136">
        <f t="shared" si="17"/>
        <v>0</v>
      </c>
    </row>
    <row r="94" spans="2:29" ht="12.75" customHeight="1" x14ac:dyDescent="0.25">
      <c r="D94" s="442" t="s">
        <v>126</v>
      </c>
      <c r="E94" s="442"/>
      <c r="F94" s="442"/>
      <c r="G94" s="442"/>
      <c r="H94" s="442"/>
      <c r="I94" s="442"/>
      <c r="J94" s="442"/>
      <c r="K94" s="425"/>
      <c r="L94" s="426">
        <f>SUMIF($K28:$K88, 1, L28:L88)</f>
        <v>3158.05</v>
      </c>
      <c r="M94" s="430">
        <f t="shared" ref="M94:AC94" si="18">SUMIF($K28:$K88, 1, M28:M88)</f>
        <v>1.5425738888888889</v>
      </c>
      <c r="N94" s="426">
        <f t="shared" si="18"/>
        <v>91.942370624999981</v>
      </c>
      <c r="O94" s="426">
        <f t="shared" si="18"/>
        <v>3045.71</v>
      </c>
      <c r="P94" s="426">
        <f t="shared" si="18"/>
        <v>3045.71</v>
      </c>
      <c r="Q94" s="426">
        <f t="shared" si="18"/>
        <v>360.64388888888885</v>
      </c>
      <c r="R94" s="426">
        <f t="shared" si="18"/>
        <v>481.78148148148142</v>
      </c>
      <c r="S94" s="426">
        <f t="shared" si="18"/>
        <v>32.054652777777775</v>
      </c>
      <c r="T94" s="426">
        <f t="shared" si="18"/>
        <v>386.71940000000001</v>
      </c>
      <c r="U94" s="426">
        <f t="shared" si="18"/>
        <v>89.518379629629621</v>
      </c>
      <c r="V94" s="426">
        <f t="shared" si="18"/>
        <v>104.43810956790124</v>
      </c>
      <c r="W94" s="426">
        <f t="shared" si="18"/>
        <v>0</v>
      </c>
      <c r="X94" s="426">
        <f t="shared" si="18"/>
        <v>0</v>
      </c>
      <c r="Y94" s="426">
        <f t="shared" si="18"/>
        <v>430.04888888888888</v>
      </c>
      <c r="Z94" s="426">
        <f t="shared" si="18"/>
        <v>75.67</v>
      </c>
      <c r="AA94" s="426">
        <f t="shared" si="18"/>
        <v>6316.0999999999995</v>
      </c>
      <c r="AB94" s="426">
        <f t="shared" si="18"/>
        <v>0</v>
      </c>
      <c r="AC94" s="426">
        <f t="shared" si="18"/>
        <v>0</v>
      </c>
    </row>
    <row r="95" spans="2:29" ht="12.75" customHeight="1" x14ac:dyDescent="0.25">
      <c r="D95" s="443" t="s">
        <v>127</v>
      </c>
      <c r="E95" s="443"/>
      <c r="F95" s="443"/>
      <c r="G95" s="443"/>
      <c r="H95" s="443"/>
      <c r="I95" s="443"/>
      <c r="J95" s="443"/>
      <c r="K95" s="427"/>
      <c r="L95" s="428">
        <f>SUMIF($K28:$K88, 4, L28:L88)</f>
        <v>0</v>
      </c>
      <c r="M95" s="428">
        <f t="shared" ref="M95:AC95" si="19">SUMIF($K28:$K88, 4, M28:M88)</f>
        <v>0</v>
      </c>
      <c r="N95" s="428">
        <f t="shared" si="19"/>
        <v>19.421899583333332</v>
      </c>
      <c r="O95" s="428">
        <f t="shared" si="19"/>
        <v>643.37555555555548</v>
      </c>
      <c r="P95" s="428">
        <f t="shared" si="19"/>
        <v>643.37555555555548</v>
      </c>
      <c r="Q95" s="428">
        <f t="shared" si="19"/>
        <v>0</v>
      </c>
      <c r="R95" s="428">
        <f t="shared" si="19"/>
        <v>89.272777777777776</v>
      </c>
      <c r="S95" s="428">
        <f t="shared" si="19"/>
        <v>0</v>
      </c>
      <c r="T95" s="428">
        <f t="shared" si="19"/>
        <v>0</v>
      </c>
      <c r="U95" s="428">
        <f t="shared" si="19"/>
        <v>0</v>
      </c>
      <c r="V95" s="428">
        <f t="shared" si="19"/>
        <v>0</v>
      </c>
      <c r="W95" s="428">
        <f t="shared" si="19"/>
        <v>20.438287037037036</v>
      </c>
      <c r="X95" s="428">
        <f t="shared" si="19"/>
        <v>34.063811728395066</v>
      </c>
      <c r="Y95" s="428">
        <f t="shared" si="19"/>
        <v>0</v>
      </c>
      <c r="Z95" s="428">
        <f t="shared" si="19"/>
        <v>0</v>
      </c>
      <c r="AA95" s="428">
        <f t="shared" si="19"/>
        <v>0</v>
      </c>
      <c r="AB95" s="428">
        <f t="shared" si="19"/>
        <v>0</v>
      </c>
      <c r="AC95" s="428">
        <f t="shared" si="19"/>
        <v>0</v>
      </c>
    </row>
    <row r="96" spans="2:29" ht="12.75" customHeight="1" x14ac:dyDescent="0.25">
      <c r="D96" s="469" t="s">
        <v>17</v>
      </c>
      <c r="E96" s="469"/>
      <c r="F96" s="469"/>
      <c r="G96" s="469"/>
      <c r="H96" s="469"/>
      <c r="I96" s="469"/>
      <c r="J96" s="469"/>
      <c r="K96" s="432"/>
      <c r="L96" s="433">
        <f>SUM(L94:L95)</f>
        <v>3158.05</v>
      </c>
      <c r="M96" s="434">
        <f t="shared" ref="M96:AC96" si="20">SUM(M94:M95)</f>
        <v>1.5425738888888889</v>
      </c>
      <c r="N96" s="433">
        <f t="shared" si="20"/>
        <v>111.36427020833331</v>
      </c>
      <c r="O96" s="433">
        <f t="shared" si="20"/>
        <v>3689.0855555555554</v>
      </c>
      <c r="P96" s="433">
        <f t="shared" si="20"/>
        <v>3689.0855555555554</v>
      </c>
      <c r="Q96" s="433">
        <f t="shared" si="20"/>
        <v>360.64388888888885</v>
      </c>
      <c r="R96" s="433">
        <f t="shared" si="20"/>
        <v>571.0542592592592</v>
      </c>
      <c r="S96" s="433">
        <f t="shared" si="20"/>
        <v>32.054652777777775</v>
      </c>
      <c r="T96" s="433">
        <f t="shared" si="20"/>
        <v>386.71940000000001</v>
      </c>
      <c r="U96" s="433">
        <f t="shared" si="20"/>
        <v>89.518379629629621</v>
      </c>
      <c r="V96" s="433">
        <f t="shared" si="20"/>
        <v>104.43810956790124</v>
      </c>
      <c r="W96" s="433">
        <f t="shared" si="20"/>
        <v>20.438287037037036</v>
      </c>
      <c r="X96" s="433">
        <f t="shared" si="20"/>
        <v>34.063811728395066</v>
      </c>
      <c r="Y96" s="433">
        <f t="shared" si="20"/>
        <v>430.04888888888888</v>
      </c>
      <c r="Z96" s="433">
        <f t="shared" si="20"/>
        <v>75.67</v>
      </c>
      <c r="AA96" s="433">
        <f t="shared" si="20"/>
        <v>6316.0999999999995</v>
      </c>
      <c r="AB96" s="433">
        <f t="shared" si="20"/>
        <v>0</v>
      </c>
      <c r="AC96" s="433">
        <f t="shared" si="20"/>
        <v>0</v>
      </c>
    </row>
  </sheetData>
  <mergeCells count="34">
    <mergeCell ref="E29:F29"/>
    <mergeCell ref="AB15:AB26"/>
    <mergeCell ref="L15:L26"/>
    <mergeCell ref="Y15:Y26"/>
    <mergeCell ref="K14:K27"/>
    <mergeCell ref="Z15:Z26"/>
    <mergeCell ref="AA15:AA26"/>
    <mergeCell ref="U15:U26"/>
    <mergeCell ref="V15:V26"/>
    <mergeCell ref="W15:W26"/>
    <mergeCell ref="Q15:Q26"/>
    <mergeCell ref="R15:R26"/>
    <mergeCell ref="S15:S26"/>
    <mergeCell ref="D89:J89"/>
    <mergeCell ref="E38:F38"/>
    <mergeCell ref="D96:J96"/>
    <mergeCell ref="D94:J94"/>
    <mergeCell ref="D95:J95"/>
    <mergeCell ref="E54:F54"/>
    <mergeCell ref="E9:AC9"/>
    <mergeCell ref="B14:B27"/>
    <mergeCell ref="D14:D27"/>
    <mergeCell ref="E14:F26"/>
    <mergeCell ref="G14:G27"/>
    <mergeCell ref="H14:H26"/>
    <mergeCell ref="I14:I26"/>
    <mergeCell ref="J14:J26"/>
    <mergeCell ref="M15:M26"/>
    <mergeCell ref="N15:N26"/>
    <mergeCell ref="X15:X26"/>
    <mergeCell ref="O15:O26"/>
    <mergeCell ref="P15:P26"/>
    <mergeCell ref="T15:T26"/>
    <mergeCell ref="AC15:AC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9417-D846-421E-B7D3-2E8BDDAF553B}">
  <sheetPr>
    <pageSetUpPr fitToPage="1"/>
  </sheetPr>
  <dimension ref="A1:AK103"/>
  <sheetViews>
    <sheetView showGridLines="0" topLeftCell="D59" zoomScale="90" zoomScaleNormal="90" workbookViewId="0">
      <selection activeCell="D14" sqref="D14:AC89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2"/>
      <c r="O1" s="2"/>
      <c r="P1" s="2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35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2"/>
      <c r="O2" s="2"/>
      <c r="P2" s="2"/>
      <c r="Q2" s="34"/>
      <c r="R2" s="34"/>
      <c r="S2" s="34"/>
      <c r="T2" s="34"/>
      <c r="U2" s="34"/>
      <c r="V2" s="34"/>
      <c r="W2" s="34"/>
      <c r="X2" s="34"/>
      <c r="Y2" s="34"/>
      <c r="Z2" s="2"/>
      <c r="AA2" s="2"/>
      <c r="AB2" s="2"/>
      <c r="AC2" s="35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35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35"/>
    </row>
    <row r="5" spans="1:37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2"/>
      <c r="AA5" s="2"/>
      <c r="AB5" s="2"/>
      <c r="AC5" s="35"/>
    </row>
    <row r="6" spans="1:37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2"/>
      <c r="AA6" s="2"/>
      <c r="AB6" s="2"/>
      <c r="AC6" s="35"/>
    </row>
    <row r="7" spans="1:37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2"/>
      <c r="AA7" s="2"/>
      <c r="AB7" s="2"/>
      <c r="AC7" s="35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114</v>
      </c>
      <c r="M10" s="38" t="s">
        <v>39</v>
      </c>
      <c r="N10" s="38" t="s">
        <v>88</v>
      </c>
      <c r="O10" s="38" t="s">
        <v>89</v>
      </c>
      <c r="P10" s="38" t="s">
        <v>80</v>
      </c>
      <c r="Q10" s="38" t="s">
        <v>41</v>
      </c>
      <c r="R10" s="38" t="s">
        <v>42</v>
      </c>
      <c r="S10" s="38" t="s">
        <v>42</v>
      </c>
      <c r="T10" s="38" t="s">
        <v>56</v>
      </c>
      <c r="U10" s="38" t="s">
        <v>74</v>
      </c>
      <c r="V10" s="38" t="s">
        <v>75</v>
      </c>
      <c r="W10" s="38" t="s">
        <v>81</v>
      </c>
      <c r="X10" s="38" t="s">
        <v>83</v>
      </c>
      <c r="Y10" s="38" t="s">
        <v>77</v>
      </c>
      <c r="Z10" s="38" t="s">
        <v>116</v>
      </c>
      <c r="AA10" s="38"/>
      <c r="AB10" s="38"/>
      <c r="AC10" s="38"/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/>
      <c r="N11" s="58"/>
      <c r="O11" s="58"/>
      <c r="P11" s="58"/>
      <c r="Q11" s="58" t="s">
        <v>90</v>
      </c>
      <c r="R11" s="58" t="s">
        <v>90</v>
      </c>
      <c r="S11" s="58" t="s">
        <v>119</v>
      </c>
      <c r="T11" s="58" t="s">
        <v>79</v>
      </c>
      <c r="U11" s="58"/>
      <c r="V11" s="58"/>
      <c r="W11" s="58"/>
      <c r="X11" s="58"/>
      <c r="Y11" s="58"/>
      <c r="Z11" s="58" t="s">
        <v>115</v>
      </c>
      <c r="AA11" s="58"/>
      <c r="AB11" s="58"/>
      <c r="AC11" s="58"/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</v>
      </c>
      <c r="N12" s="60">
        <v>3</v>
      </c>
      <c r="O12" s="60">
        <v>3</v>
      </c>
      <c r="P12" s="60">
        <v>3</v>
      </c>
      <c r="Q12" s="60">
        <v>4</v>
      </c>
      <c r="R12" s="60">
        <v>5</v>
      </c>
      <c r="S12" s="60">
        <v>23</v>
      </c>
      <c r="T12" s="60">
        <v>6</v>
      </c>
      <c r="U12" s="60">
        <v>7</v>
      </c>
      <c r="V12" s="60">
        <v>8</v>
      </c>
      <c r="W12" s="60">
        <v>9</v>
      </c>
      <c r="X12" s="60">
        <v>10</v>
      </c>
      <c r="Y12" s="60">
        <v>12</v>
      </c>
      <c r="Z12" s="60"/>
      <c r="AA12" s="60"/>
      <c r="AB12" s="60"/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 t="s">
        <v>117</v>
      </c>
      <c r="M13" s="61"/>
      <c r="N13" s="61"/>
      <c r="O13" s="61"/>
      <c r="P13" s="61"/>
      <c r="Q13" s="61"/>
      <c r="R13" s="61" t="s">
        <v>43</v>
      </c>
      <c r="S13" s="61" t="s">
        <v>118</v>
      </c>
      <c r="T13" s="61"/>
      <c r="U13" s="61" t="s">
        <v>66</v>
      </c>
      <c r="V13" s="61" t="s">
        <v>55</v>
      </c>
      <c r="W13" s="61" t="s">
        <v>66</v>
      </c>
      <c r="X13" s="61" t="s">
        <v>82</v>
      </c>
      <c r="Y13" s="61"/>
      <c r="Z13" s="61"/>
      <c r="AA13" s="61"/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62" t="str">
        <f t="shared" ref="L14:AC14" si="0">IF(OR(TRIM(L10)=0,TRIM(L10)=""),"",IF(IFERROR(TRIM(INDEX(QryItemNamed,MATCH(TRIM(L10),ITEM,0),2)),"")="Y","SPECIAL",LEFT(IFERROR(TRIM(INDEX(ITEM,MATCH(TRIM(L10),ITEM,0))),""),3)))</f>
        <v>203</v>
      </c>
      <c r="M14" s="62" t="str">
        <f t="shared" si="0"/>
        <v>204</v>
      </c>
      <c r="N14" s="62" t="str">
        <f t="shared" si="0"/>
        <v>206</v>
      </c>
      <c r="O14" s="62" t="str">
        <f t="shared" si="0"/>
        <v>206</v>
      </c>
      <c r="P14" s="62" t="str">
        <f t="shared" si="0"/>
        <v>206</v>
      </c>
      <c r="Q14" s="62" t="str">
        <f t="shared" si="0"/>
        <v>301</v>
      </c>
      <c r="R14" s="62" t="str">
        <f t="shared" si="0"/>
        <v>304</v>
      </c>
      <c r="S14" s="62" t="str">
        <f t="shared" si="0"/>
        <v>304</v>
      </c>
      <c r="T14" s="62" t="str">
        <f t="shared" si="0"/>
        <v>407</v>
      </c>
      <c r="U14" s="62" t="str">
        <f t="shared" si="0"/>
        <v>442</v>
      </c>
      <c r="V14" s="62" t="str">
        <f t="shared" si="0"/>
        <v>442</v>
      </c>
      <c r="W14" s="62" t="str">
        <f t="shared" si="0"/>
        <v>442</v>
      </c>
      <c r="X14" s="62" t="str">
        <f>IF(OR(TRIM(X10)=0,TRIM(X10)=""),"",IF(IFERROR(TRIM(INDEX(QryItemNamed,MATCH(TRIM(X10),ITEM,0),2)),"")="Y","SPECIAL",LEFT(IFERROR(TRIM(INDEX(ITEM,MATCH(TRIM(X10),ITEM,0))),""),3)))</f>
        <v>442</v>
      </c>
      <c r="Y14" s="62" t="str">
        <f t="shared" si="0"/>
        <v>452</v>
      </c>
      <c r="Z14" s="62" t="str">
        <f t="shared" si="0"/>
        <v>SPECIAL</v>
      </c>
      <c r="AA14" s="62" t="str">
        <f>IF(OR(TRIM(AA10)=0,TRIM(AA10)=""),"",IF(IFERROR(TRIM(INDEX(QryItemNamed,MATCH(TRIM(AA10),ITEM,0),2)),"")="Y","SPECIAL",LEFT(IFERROR(TRIM(INDEX(ITEM,MATCH(TRIM(AA10),ITEM,0))),""),3)))</f>
        <v/>
      </c>
      <c r="AB14" s="62" t="str">
        <f t="shared" si="0"/>
        <v/>
      </c>
      <c r="AC14" s="62" t="str">
        <f t="shared" si="0"/>
        <v/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48" t="str">
        <f t="shared" ref="L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EMBANKMENT</v>
      </c>
      <c r="M15" s="448" t="str">
        <f t="shared" ref="M15:AC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PROOF ROLLING</v>
      </c>
      <c r="N15" s="448" t="str">
        <f t="shared" si="2"/>
        <v>CEMENT</v>
      </c>
      <c r="O15" s="448" t="str">
        <f t="shared" si="2"/>
        <v>CURING COAT</v>
      </c>
      <c r="P15" s="448" t="str">
        <f t="shared" si="2"/>
        <v>CEMENT STABILIZED SUBGRADE, 14 INCHES DEEP</v>
      </c>
      <c r="Q15" s="448" t="str">
        <f t="shared" si="2"/>
        <v>ASPHALT CONCRETE BASE, PG64-22, (449) (6")</v>
      </c>
      <c r="R15" s="448" t="str">
        <f t="shared" si="2"/>
        <v>AGGREGATE BASE (6")</v>
      </c>
      <c r="S15" s="448" t="str">
        <f t="shared" si="2"/>
        <v>AGGREGATE BASE (15.25")</v>
      </c>
      <c r="T15" s="448" t="str">
        <f t="shared" si="2"/>
        <v>NON-TRACKING TACK COAT (@0.09 GAL/SY)</v>
      </c>
      <c r="U15" s="448" t="str">
        <f t="shared" si="2"/>
        <v>ASPHALT CONCRETE SURFACE COURSE, 12.5 MM, TYPE A (446), AS PER PLAN</v>
      </c>
      <c r="V15" s="448" t="str">
        <f t="shared" si="2"/>
        <v>ASPHALT CONCRETE INTERMEDIATE COURSE, 12.5 MM, TYPE A (448), AS PER PLAN</v>
      </c>
      <c r="W15" s="448" t="str">
        <f t="shared" si="2"/>
        <v>ASPHALT CONCRETE SURFACE COURSE, 9.5 MM, TYPE A (449), AS PER PLAN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ASPHALT CONCRETE INTERMEDIATE COURSE, 19 MM, TYPE A (449), AS PER PLAN</v>
      </c>
      <c r="Y15" s="448" t="str">
        <f t="shared" si="2"/>
        <v>6" NON-REINFORCED CONCRETE PAVEMENT, CLASS QC 1P, AS PER PLAN</v>
      </c>
      <c r="Z15" s="448" t="str">
        <f t="shared" si="2"/>
        <v>GRASS PAVERS</v>
      </c>
      <c r="AA15" s="448" t="str">
        <f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/>
      </c>
      <c r="AB15" s="448" t="str">
        <f t="shared" si="2"/>
        <v/>
      </c>
      <c r="AC15" s="448" t="str">
        <f t="shared" si="2"/>
        <v/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5"/>
      <c r="L27" s="63" t="str">
        <f t="shared" ref="L27:AC27" si="3">IF(OR(TRIM(L10)=0,TRIM(L10)=""),"",IF(IFERROR(TRIM(INDEX(QryItemNamed,MATCH(TRIM(L10),ITEM,0),3)),"")="LS","",IFERROR(TRIM(INDEX(QryItemNamed,MATCH(TRIM(L10),ITEM,0),3)),"")))</f>
        <v>CY</v>
      </c>
      <c r="M27" s="63" t="str">
        <f t="shared" si="3"/>
        <v>HOUR</v>
      </c>
      <c r="N27" s="63" t="str">
        <f t="shared" si="3"/>
        <v>TON</v>
      </c>
      <c r="O27" s="63" t="str">
        <f t="shared" si="3"/>
        <v>SY</v>
      </c>
      <c r="P27" s="63" t="str">
        <f t="shared" si="3"/>
        <v>SY</v>
      </c>
      <c r="Q27" s="63" t="str">
        <f t="shared" si="3"/>
        <v>CY</v>
      </c>
      <c r="R27" s="63" t="str">
        <f t="shared" si="3"/>
        <v>CY</v>
      </c>
      <c r="S27" s="63" t="str">
        <f t="shared" si="3"/>
        <v>CY</v>
      </c>
      <c r="T27" s="63" t="str">
        <f t="shared" si="3"/>
        <v>GAL</v>
      </c>
      <c r="U27" s="63" t="str">
        <f t="shared" si="3"/>
        <v>CY</v>
      </c>
      <c r="V27" s="63" t="str">
        <f t="shared" si="3"/>
        <v>CY</v>
      </c>
      <c r="W27" s="63" t="str">
        <f t="shared" si="3"/>
        <v>CY</v>
      </c>
      <c r="X27" s="63" t="str">
        <f t="shared" si="3"/>
        <v>CY</v>
      </c>
      <c r="Y27" s="63" t="str">
        <f t="shared" si="3"/>
        <v>SY</v>
      </c>
      <c r="Z27" s="63" t="str">
        <f t="shared" si="3"/>
        <v>SY</v>
      </c>
      <c r="AA27" s="63" t="str">
        <f t="shared" si="3"/>
        <v/>
      </c>
      <c r="AB27" s="63" t="str">
        <f t="shared" si="3"/>
        <v/>
      </c>
      <c r="AC27" s="63" t="str">
        <f t="shared" si="3"/>
        <v/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204"/>
      <c r="L28" s="204"/>
      <c r="M28" s="66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</row>
    <row r="29" spans="2:31" ht="12.75" customHeight="1" x14ac:dyDescent="0.25">
      <c r="B29" s="42"/>
      <c r="D29" s="242"/>
      <c r="E29" s="447" t="s">
        <v>106</v>
      </c>
      <c r="F29" s="447"/>
      <c r="G29" s="142"/>
      <c r="H29" s="123"/>
      <c r="I29" s="123"/>
      <c r="J29" s="123"/>
      <c r="K29" s="143"/>
      <c r="L29" s="143"/>
      <c r="M29" s="12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</row>
    <row r="30" spans="2:31" ht="12.75" customHeight="1" x14ac:dyDescent="0.25">
      <c r="B30" s="42"/>
      <c r="D30" s="212" t="s">
        <v>120</v>
      </c>
      <c r="E30" s="213">
        <v>172608.5</v>
      </c>
      <c r="F30" s="213">
        <v>172786.53</v>
      </c>
      <c r="G30" s="230" t="s">
        <v>34</v>
      </c>
      <c r="H30" s="214">
        <f>F30-E30</f>
        <v>178.02999999999884</v>
      </c>
      <c r="I30" s="214">
        <f>J30/H30</f>
        <v>31.998988934449457</v>
      </c>
      <c r="J30" s="214">
        <v>5696.78</v>
      </c>
      <c r="K30" s="149" t="str">
        <f>IF(D30="","",IF(ISNUMBER(SEARCH("SUP",D30)),"04","01"))</f>
        <v>01</v>
      </c>
      <c r="L30" s="149"/>
      <c r="M30" s="215">
        <f>J30/9/2000</f>
        <v>0.31648777777777776</v>
      </c>
      <c r="N30" s="149">
        <f t="shared" ref="N30" si="4">P30*0.75*14*115*0.05/2000</f>
        <v>19.10794958333333</v>
      </c>
      <c r="O30" s="149">
        <f t="shared" ref="O30" si="5">P30</f>
        <v>632.9755555555555</v>
      </c>
      <c r="P30" s="149">
        <f>J30/9</f>
        <v>632.9755555555555</v>
      </c>
      <c r="Q30" s="149">
        <f>(J30*(6/12))/27</f>
        <v>105.49592592592592</v>
      </c>
      <c r="R30" s="149">
        <f>Q30</f>
        <v>105.49592592592592</v>
      </c>
      <c r="S30" s="205"/>
      <c r="T30" s="205">
        <f>(J30/9)*0.09*2</f>
        <v>113.93559999999998</v>
      </c>
      <c r="U30" s="205">
        <f>(J30*(1.5/12))/27</f>
        <v>26.373981481481479</v>
      </c>
      <c r="V30" s="205">
        <f>(J30*(1.75/12))/27</f>
        <v>30.769645061728397</v>
      </c>
      <c r="W30" s="205"/>
      <c r="X30" s="151"/>
      <c r="Y30" s="143"/>
      <c r="Z30" s="143"/>
      <c r="AA30" s="143"/>
      <c r="AB30" s="143"/>
      <c r="AC30" s="143"/>
      <c r="AE30" s="424"/>
    </row>
    <row r="31" spans="2:31" ht="12.75" customHeight="1" x14ac:dyDescent="0.25">
      <c r="B31" s="42"/>
      <c r="D31" s="216" t="s">
        <v>28</v>
      </c>
      <c r="E31" s="217">
        <f>E30</f>
        <v>172608.5</v>
      </c>
      <c r="F31" s="217">
        <f>F30</f>
        <v>172786.53</v>
      </c>
      <c r="G31" s="218" t="s">
        <v>34</v>
      </c>
      <c r="H31" s="219">
        <f>F31-E31</f>
        <v>178.02999999999884</v>
      </c>
      <c r="I31" s="219"/>
      <c r="J31" s="219"/>
      <c r="K31" s="149" t="str">
        <f t="shared" ref="K31:K81" si="6">IF(D31="","",IF(ISNUMBER(SEARCH("SUP",D31)),"04","01"))</f>
        <v>01</v>
      </c>
      <c r="L31" s="220"/>
      <c r="M31" s="221">
        <f>(H31*1.5)/9/2000</f>
        <v>1.4835833333333236E-2</v>
      </c>
      <c r="N31" s="220">
        <f>P31*0.75*14*115*0.05/2000</f>
        <v>1.7914268749999882</v>
      </c>
      <c r="O31" s="220">
        <f>P31</f>
        <v>59.343333333332943</v>
      </c>
      <c r="P31" s="220">
        <f>(H31*1.5/9)*2</f>
        <v>59.343333333332943</v>
      </c>
      <c r="Q31" s="220">
        <f>((H31*(6/12)*(4/12))/27)*2</f>
        <v>2.1979012345678868</v>
      </c>
      <c r="R31" s="220">
        <f>((H31*(6/12)*(10/12))/27)*2</f>
        <v>5.4947530864197178</v>
      </c>
      <c r="S31" s="220"/>
      <c r="T31" s="222"/>
      <c r="U31" s="222"/>
      <c r="V31" s="222"/>
      <c r="W31" s="175"/>
      <c r="X31" s="245"/>
      <c r="Y31" s="143"/>
      <c r="Z31" s="143"/>
      <c r="AA31" s="143"/>
      <c r="AB31" s="143"/>
      <c r="AC31" s="143"/>
      <c r="AE31" s="424"/>
    </row>
    <row r="32" spans="2:31" ht="12.75" customHeight="1" x14ac:dyDescent="0.25">
      <c r="B32" s="42"/>
      <c r="D32" s="153" t="s">
        <v>95</v>
      </c>
      <c r="E32" s="232">
        <v>172608.5</v>
      </c>
      <c r="F32" s="232">
        <v>172786.53</v>
      </c>
      <c r="G32" s="155" t="s">
        <v>32</v>
      </c>
      <c r="H32" s="156">
        <f>(F32-E32)</f>
        <v>178.02999999999884</v>
      </c>
      <c r="I32" s="156">
        <f>J32/H32</f>
        <v>10.023310677975688</v>
      </c>
      <c r="J32" s="156">
        <v>1784.45</v>
      </c>
      <c r="K32" s="149" t="str">
        <f t="shared" si="6"/>
        <v>04</v>
      </c>
      <c r="L32" s="152"/>
      <c r="M32" s="98"/>
      <c r="N32" s="152">
        <f t="shared" ref="N32:N33" si="7">P32*0.75*14*115*0.05/2000</f>
        <v>5.9853427083333344</v>
      </c>
      <c r="O32" s="152">
        <f t="shared" ref="O32:O33" si="8">P32</f>
        <v>198.27222222222224</v>
      </c>
      <c r="P32" s="152">
        <f>J32/9</f>
        <v>198.27222222222224</v>
      </c>
      <c r="Q32" s="152"/>
      <c r="R32" s="152">
        <f>(J32*(6/12))/27</f>
        <v>33.045370370370371</v>
      </c>
      <c r="S32" s="152"/>
      <c r="T32" s="152"/>
      <c r="U32" s="157"/>
      <c r="V32" s="157"/>
      <c r="W32" s="157">
        <f>(J32*(1.5/12))/27</f>
        <v>8.2613425925925927</v>
      </c>
      <c r="X32" s="157">
        <f>(J32*(2.5/12))/27</f>
        <v>13.768904320987655</v>
      </c>
      <c r="Y32" s="161"/>
      <c r="Z32" s="143"/>
      <c r="AA32" s="143"/>
      <c r="AB32" s="143"/>
      <c r="AC32" s="143"/>
      <c r="AE32" s="424"/>
    </row>
    <row r="33" spans="2:31" ht="12.75" customHeight="1" x14ac:dyDescent="0.25">
      <c r="B33" s="42"/>
      <c r="D33" s="158" t="s">
        <v>71</v>
      </c>
      <c r="E33" s="162">
        <f>E32</f>
        <v>172608.5</v>
      </c>
      <c r="F33" s="162">
        <f>F32</f>
        <v>172786.53</v>
      </c>
      <c r="G33" s="163" t="s">
        <v>32</v>
      </c>
      <c r="H33" s="159">
        <f>H32</f>
        <v>178.02999999999884</v>
      </c>
      <c r="I33" s="159"/>
      <c r="J33" s="159"/>
      <c r="K33" s="149" t="str">
        <f t="shared" si="6"/>
        <v>04</v>
      </c>
      <c r="L33" s="160"/>
      <c r="M33" s="169"/>
      <c r="N33" s="160">
        <f t="shared" si="7"/>
        <v>1.7914268749999882</v>
      </c>
      <c r="O33" s="160">
        <f t="shared" si="8"/>
        <v>59.343333333332943</v>
      </c>
      <c r="P33" s="160">
        <f>(H33*1.5/9)*2</f>
        <v>59.343333333332943</v>
      </c>
      <c r="Q33" s="160"/>
      <c r="R33" s="160">
        <f>((H33*(6/12)*(6/12))/27)</f>
        <v>1.6484259259259151</v>
      </c>
      <c r="S33" s="161"/>
      <c r="T33" s="160"/>
      <c r="U33" s="160"/>
      <c r="V33" s="160"/>
      <c r="W33" s="161"/>
      <c r="X33" s="161"/>
      <c r="Y33" s="143"/>
      <c r="Z33" s="143"/>
      <c r="AA33" s="143"/>
      <c r="AB33" s="143"/>
      <c r="AC33" s="143"/>
      <c r="AE33" s="424"/>
    </row>
    <row r="34" spans="2:31" ht="12.75" customHeight="1" x14ac:dyDescent="0.25">
      <c r="B34" s="42"/>
      <c r="D34" s="144"/>
      <c r="E34" s="145"/>
      <c r="F34" s="145"/>
      <c r="G34" s="146"/>
      <c r="H34" s="147"/>
      <c r="I34" s="147"/>
      <c r="J34" s="147"/>
      <c r="K34" s="149" t="str">
        <f t="shared" si="6"/>
        <v/>
      </c>
      <c r="L34" s="148"/>
      <c r="M34" s="169"/>
      <c r="N34" s="160"/>
      <c r="O34" s="160"/>
      <c r="P34" s="160"/>
      <c r="Q34" s="160"/>
      <c r="R34" s="160"/>
      <c r="S34" s="161"/>
      <c r="T34" s="160"/>
      <c r="U34" s="160"/>
      <c r="V34" s="160"/>
      <c r="W34" s="161"/>
      <c r="X34" s="161"/>
      <c r="Y34" s="143"/>
      <c r="Z34" s="143"/>
      <c r="AA34" s="143"/>
      <c r="AB34" s="143"/>
      <c r="AC34" s="143"/>
    </row>
    <row r="35" spans="2:31" ht="12.75" customHeight="1" x14ac:dyDescent="0.25">
      <c r="B35" s="42"/>
      <c r="D35" s="170"/>
      <c r="E35" s="171"/>
      <c r="F35" s="171"/>
      <c r="G35" s="227"/>
      <c r="H35" s="172"/>
      <c r="I35" s="172"/>
      <c r="J35" s="172"/>
      <c r="K35" s="149" t="str">
        <f t="shared" si="6"/>
        <v/>
      </c>
      <c r="L35" s="173"/>
      <c r="M35" s="174"/>
      <c r="N35" s="173"/>
      <c r="O35" s="173"/>
      <c r="P35" s="173"/>
      <c r="Q35" s="173"/>
      <c r="R35" s="173"/>
      <c r="S35" s="175"/>
      <c r="T35" s="175"/>
      <c r="U35" s="175"/>
      <c r="V35" s="175"/>
      <c r="W35" s="175"/>
      <c r="X35" s="245"/>
      <c r="Y35" s="245"/>
      <c r="Z35" s="143"/>
      <c r="AA35" s="143"/>
      <c r="AB35" s="143"/>
      <c r="AC35" s="143"/>
    </row>
    <row r="36" spans="2:31" ht="12.75" customHeight="1" x14ac:dyDescent="0.25">
      <c r="B36" s="42"/>
      <c r="D36" s="212" t="s">
        <v>120</v>
      </c>
      <c r="E36" s="213">
        <v>172786.53</v>
      </c>
      <c r="F36" s="213">
        <v>173042.36</v>
      </c>
      <c r="G36" s="230" t="s">
        <v>34</v>
      </c>
      <c r="H36" s="214">
        <f>F36-E36</f>
        <v>255.82999999998719</v>
      </c>
      <c r="I36" s="214">
        <f>J36/H36</f>
        <v>32.000390884573385</v>
      </c>
      <c r="J36" s="214">
        <v>8186.66</v>
      </c>
      <c r="K36" s="149" t="str">
        <f t="shared" si="6"/>
        <v>01</v>
      </c>
      <c r="L36" s="149"/>
      <c r="M36" s="215">
        <f>J36/9/2000</f>
        <v>0.45481444444444447</v>
      </c>
      <c r="N36" s="149">
        <f t="shared" ref="N36" si="9">P36*0.75*14*115*0.05/2000</f>
        <v>27.459422083333337</v>
      </c>
      <c r="O36" s="149">
        <f t="shared" ref="O36" si="10">P36</f>
        <v>909.62888888888892</v>
      </c>
      <c r="P36" s="149">
        <f>J36/9</f>
        <v>909.62888888888892</v>
      </c>
      <c r="Q36" s="149">
        <f>(J36*(6/12))/27</f>
        <v>151.6048148148148</v>
      </c>
      <c r="R36" s="149">
        <f>Q36</f>
        <v>151.6048148148148</v>
      </c>
      <c r="S36" s="205"/>
      <c r="T36" s="205">
        <f>(J36/9)*0.09*2</f>
        <v>163.73320000000001</v>
      </c>
      <c r="U36" s="205">
        <f>(J36*(1.5/12))/27</f>
        <v>37.9012037037037</v>
      </c>
      <c r="V36" s="205">
        <f>(J36*(1.75/12))/27</f>
        <v>44.218070987654329</v>
      </c>
      <c r="W36" s="205"/>
      <c r="X36" s="151"/>
      <c r="Y36" s="143"/>
      <c r="Z36" s="143"/>
      <c r="AA36" s="143"/>
      <c r="AB36" s="143"/>
      <c r="AC36" s="143"/>
      <c r="AE36" s="424"/>
    </row>
    <row r="37" spans="2:31" ht="12.75" customHeight="1" x14ac:dyDescent="0.25">
      <c r="B37" s="42"/>
      <c r="D37" s="216" t="s">
        <v>28</v>
      </c>
      <c r="E37" s="217">
        <f>E36</f>
        <v>172786.53</v>
      </c>
      <c r="F37" s="217">
        <f>F36</f>
        <v>173042.36</v>
      </c>
      <c r="G37" s="218" t="s">
        <v>34</v>
      </c>
      <c r="H37" s="219">
        <f>F37-E37</f>
        <v>255.82999999998719</v>
      </c>
      <c r="I37" s="219"/>
      <c r="J37" s="219"/>
      <c r="K37" s="149" t="str">
        <f t="shared" si="6"/>
        <v>01</v>
      </c>
      <c r="L37" s="220"/>
      <c r="M37" s="221">
        <f>(H37*1.5)/9/2000</f>
        <v>2.1319166666665598E-2</v>
      </c>
      <c r="N37" s="220">
        <f>P37*0.75*14*115*0.05/2000</f>
        <v>1.2871446874999355</v>
      </c>
      <c r="O37" s="220">
        <f>P37</f>
        <v>42.638333333331197</v>
      </c>
      <c r="P37" s="220">
        <f>(H37*1.5/9)</f>
        <v>42.638333333331197</v>
      </c>
      <c r="Q37" s="220">
        <f>(H37*(6/12)*(4/12))/27</f>
        <v>1.5791975308641184</v>
      </c>
      <c r="R37" s="220">
        <f>(H37*(6/12)*(10/12))/27</f>
        <v>3.9479938271602966</v>
      </c>
      <c r="S37" s="220"/>
      <c r="T37" s="222"/>
      <c r="U37" s="222"/>
      <c r="V37" s="222"/>
      <c r="W37" s="175"/>
      <c r="X37" s="245"/>
      <c r="Y37" s="143"/>
      <c r="Z37" s="143"/>
      <c r="AA37" s="143"/>
      <c r="AB37" s="143"/>
      <c r="AC37" s="143"/>
      <c r="AE37" s="424"/>
    </row>
    <row r="38" spans="2:31" ht="12.75" customHeight="1" x14ac:dyDescent="0.25">
      <c r="B38" s="42"/>
      <c r="D38" s="153" t="s">
        <v>95</v>
      </c>
      <c r="E38" s="232">
        <v>172786.53</v>
      </c>
      <c r="F38" s="232">
        <v>172800.74</v>
      </c>
      <c r="G38" s="155" t="s">
        <v>32</v>
      </c>
      <c r="H38" s="156">
        <f>(F38-E38)+19</f>
        <v>33.209999999991851</v>
      </c>
      <c r="I38" s="156">
        <f>J38/H38</f>
        <v>4.5320686540209856</v>
      </c>
      <c r="J38" s="156">
        <v>150.51</v>
      </c>
      <c r="K38" s="149" t="str">
        <f t="shared" si="6"/>
        <v>04</v>
      </c>
      <c r="L38" s="152"/>
      <c r="M38" s="98"/>
      <c r="N38" s="152">
        <f t="shared" ref="N38:N39" si="11">P38*0.75*14*115*0.05/2000</f>
        <v>0.50483562500000001</v>
      </c>
      <c r="O38" s="152">
        <f t="shared" ref="O38:O39" si="12">P38</f>
        <v>16.723333333333333</v>
      </c>
      <c r="P38" s="152">
        <f>J38/9</f>
        <v>16.723333333333333</v>
      </c>
      <c r="Q38" s="152"/>
      <c r="R38" s="152">
        <f>(J38*(6/12))/27</f>
        <v>2.7872222222222223</v>
      </c>
      <c r="S38" s="152"/>
      <c r="T38" s="152"/>
      <c r="U38" s="157"/>
      <c r="V38" s="157"/>
      <c r="W38" s="157">
        <f>(J38*(1.5/12))/27</f>
        <v>0.69680555555555557</v>
      </c>
      <c r="X38" s="157">
        <f>(J38*(2.5/12))/27</f>
        <v>1.1613425925925926</v>
      </c>
      <c r="Y38" s="161"/>
      <c r="Z38" s="143"/>
      <c r="AA38" s="143"/>
      <c r="AB38" s="143"/>
      <c r="AC38" s="143"/>
      <c r="AE38" s="424"/>
    </row>
    <row r="39" spans="2:31" ht="12.75" customHeight="1" x14ac:dyDescent="0.25">
      <c r="B39" s="42"/>
      <c r="D39" s="158" t="s">
        <v>71</v>
      </c>
      <c r="E39" s="162">
        <f>E38</f>
        <v>172786.53</v>
      </c>
      <c r="F39" s="162">
        <f>F38</f>
        <v>172800.74</v>
      </c>
      <c r="G39" s="163" t="s">
        <v>32</v>
      </c>
      <c r="H39" s="159">
        <f>H38</f>
        <v>33.209999999991851</v>
      </c>
      <c r="I39" s="159"/>
      <c r="J39" s="159"/>
      <c r="K39" s="149" t="str">
        <f t="shared" si="6"/>
        <v>04</v>
      </c>
      <c r="L39" s="160"/>
      <c r="M39" s="169"/>
      <c r="N39" s="160">
        <f t="shared" si="11"/>
        <v>0.16708781249995899</v>
      </c>
      <c r="O39" s="160">
        <f t="shared" si="12"/>
        <v>5.5349999999986421</v>
      </c>
      <c r="P39" s="160">
        <f>(H39*1.5/9)</f>
        <v>5.5349999999986421</v>
      </c>
      <c r="Q39" s="160"/>
      <c r="R39" s="160">
        <f>((H39*(6/12)*(6/12))/27)</f>
        <v>0.30749999999992456</v>
      </c>
      <c r="S39" s="161"/>
      <c r="T39" s="160"/>
      <c r="U39" s="160"/>
      <c r="V39" s="160"/>
      <c r="W39" s="161"/>
      <c r="X39" s="161"/>
      <c r="Y39" s="143"/>
      <c r="Z39" s="143"/>
      <c r="AA39" s="143"/>
      <c r="AB39" s="143"/>
      <c r="AC39" s="143"/>
      <c r="AE39" s="424"/>
    </row>
    <row r="40" spans="2:31" ht="12.75" customHeight="1" x14ac:dyDescent="0.25">
      <c r="B40" s="42"/>
      <c r="D40" s="153" t="s">
        <v>95</v>
      </c>
      <c r="E40" s="232">
        <v>172836.88</v>
      </c>
      <c r="F40" s="232">
        <v>172981.11</v>
      </c>
      <c r="G40" s="155" t="s">
        <v>32</v>
      </c>
      <c r="H40" s="156">
        <f>(F40-E40)+19</f>
        <v>163.22999999998137</v>
      </c>
      <c r="I40" s="156">
        <f>J40/H40</f>
        <v>9.549898915641597</v>
      </c>
      <c r="J40" s="156">
        <v>1558.83</v>
      </c>
      <c r="K40" s="149" t="str">
        <f t="shared" si="6"/>
        <v>04</v>
      </c>
      <c r="L40" s="152"/>
      <c r="M40" s="98"/>
      <c r="N40" s="152">
        <f t="shared" ref="N40:N43" si="13">P40*0.75*14*115*0.05/2000</f>
        <v>5.2285756249999995</v>
      </c>
      <c r="O40" s="152">
        <f t="shared" ref="O40:O43" si="14">P40</f>
        <v>173.20333333333332</v>
      </c>
      <c r="P40" s="152">
        <f>J40/9</f>
        <v>173.20333333333332</v>
      </c>
      <c r="Q40" s="152"/>
      <c r="R40" s="152">
        <f>(J40*(6/12))/27</f>
        <v>28.867222222222221</v>
      </c>
      <c r="S40" s="152"/>
      <c r="T40" s="152"/>
      <c r="U40" s="157"/>
      <c r="V40" s="157"/>
      <c r="W40" s="157">
        <f>(J40*(1.5/12))/27</f>
        <v>7.2168055555555553</v>
      </c>
      <c r="X40" s="157">
        <f>(J40*(2.5/12))/27</f>
        <v>12.02800925925926</v>
      </c>
      <c r="Y40" s="143"/>
      <c r="Z40" s="143"/>
      <c r="AA40" s="143"/>
      <c r="AB40" s="143"/>
      <c r="AC40" s="143"/>
      <c r="AE40" s="424"/>
    </row>
    <row r="41" spans="2:31" ht="12.75" customHeight="1" x14ac:dyDescent="0.25">
      <c r="B41" s="42"/>
      <c r="D41" s="158" t="s">
        <v>71</v>
      </c>
      <c r="E41" s="162">
        <f>E40</f>
        <v>172836.88</v>
      </c>
      <c r="F41" s="162">
        <f>F40</f>
        <v>172981.11</v>
      </c>
      <c r="G41" s="163" t="s">
        <v>32</v>
      </c>
      <c r="H41" s="159">
        <f>H40</f>
        <v>163.22999999998137</v>
      </c>
      <c r="I41" s="159"/>
      <c r="J41" s="159"/>
      <c r="K41" s="149" t="str">
        <f t="shared" si="6"/>
        <v>04</v>
      </c>
      <c r="L41" s="160"/>
      <c r="M41" s="169"/>
      <c r="N41" s="160">
        <f t="shared" si="13"/>
        <v>0.8212509374999063</v>
      </c>
      <c r="O41" s="160">
        <f t="shared" si="14"/>
        <v>27.204999999996897</v>
      </c>
      <c r="P41" s="160">
        <f>(H41*1.5/9)</f>
        <v>27.204999999996897</v>
      </c>
      <c r="Q41" s="160"/>
      <c r="R41" s="160">
        <f>((H41*(6/12)*(6/12))/27)</f>
        <v>1.5113888888887164</v>
      </c>
      <c r="S41" s="161"/>
      <c r="T41" s="160"/>
      <c r="U41" s="160"/>
      <c r="V41" s="160"/>
      <c r="W41" s="161"/>
      <c r="X41" s="161"/>
      <c r="Y41" s="143"/>
      <c r="Z41" s="143"/>
      <c r="AA41" s="143"/>
      <c r="AB41" s="143"/>
      <c r="AC41" s="143"/>
      <c r="AE41" s="424"/>
    </row>
    <row r="42" spans="2:31" ht="12.75" customHeight="1" x14ac:dyDescent="0.25">
      <c r="B42" s="42"/>
      <c r="D42" s="153" t="s">
        <v>95</v>
      </c>
      <c r="E42" s="232">
        <v>173019.63</v>
      </c>
      <c r="F42" s="232">
        <v>173042.36</v>
      </c>
      <c r="G42" s="155" t="s">
        <v>32</v>
      </c>
      <c r="H42" s="156">
        <f>(F42-E42)+19</f>
        <v>41.729999999981374</v>
      </c>
      <c r="I42" s="156">
        <f>J42/H42</f>
        <v>5.6513299784353048</v>
      </c>
      <c r="J42" s="156">
        <v>235.83</v>
      </c>
      <c r="K42" s="149" t="str">
        <f t="shared" si="6"/>
        <v>04</v>
      </c>
      <c r="L42" s="152"/>
      <c r="M42" s="98"/>
      <c r="N42" s="152">
        <f t="shared" si="13"/>
        <v>0.79101312499999998</v>
      </c>
      <c r="O42" s="152">
        <f t="shared" si="14"/>
        <v>26.203333333333333</v>
      </c>
      <c r="P42" s="152">
        <f>J42/9</f>
        <v>26.203333333333333</v>
      </c>
      <c r="Q42" s="152"/>
      <c r="R42" s="152">
        <f>(J42*(6/12))/27</f>
        <v>4.3672222222222228</v>
      </c>
      <c r="S42" s="152"/>
      <c r="T42" s="152"/>
      <c r="U42" s="157"/>
      <c r="V42" s="157"/>
      <c r="W42" s="157">
        <f>(J42*(1.5/12))/27</f>
        <v>1.0918055555555557</v>
      </c>
      <c r="X42" s="157">
        <f>(J42*(2.5/12))/27</f>
        <v>1.8196759259259261</v>
      </c>
      <c r="Y42" s="143"/>
      <c r="Z42" s="143"/>
      <c r="AA42" s="143"/>
      <c r="AB42" s="143"/>
      <c r="AC42" s="143"/>
      <c r="AE42" s="424"/>
    </row>
    <row r="43" spans="2:31" ht="12.75" customHeight="1" x14ac:dyDescent="0.25">
      <c r="B43" s="42"/>
      <c r="D43" s="158" t="s">
        <v>71</v>
      </c>
      <c r="E43" s="162">
        <f>E42</f>
        <v>173019.63</v>
      </c>
      <c r="F43" s="162">
        <f>F42</f>
        <v>173042.36</v>
      </c>
      <c r="G43" s="163" t="s">
        <v>32</v>
      </c>
      <c r="H43" s="159">
        <f>H42</f>
        <v>41.729999999981374</v>
      </c>
      <c r="I43" s="159"/>
      <c r="J43" s="159"/>
      <c r="K43" s="149" t="str">
        <f t="shared" si="6"/>
        <v>04</v>
      </c>
      <c r="L43" s="160"/>
      <c r="M43" s="169"/>
      <c r="N43" s="160">
        <f t="shared" si="13"/>
        <v>0.20995406249990628</v>
      </c>
      <c r="O43" s="160">
        <f t="shared" si="14"/>
        <v>6.9549999999968959</v>
      </c>
      <c r="P43" s="160">
        <f>(H43*1.5/9)</f>
        <v>6.9549999999968959</v>
      </c>
      <c r="Q43" s="160"/>
      <c r="R43" s="160">
        <f>((H43*(6/12)*(6/12))/27)</f>
        <v>0.38638888888871642</v>
      </c>
      <c r="S43" s="161"/>
      <c r="T43" s="160"/>
      <c r="U43" s="160"/>
      <c r="V43" s="160"/>
      <c r="W43" s="161"/>
      <c r="X43" s="161"/>
      <c r="Y43" s="143"/>
      <c r="Z43" s="143"/>
      <c r="AA43" s="143"/>
      <c r="AB43" s="143"/>
      <c r="AC43" s="143"/>
      <c r="AE43" s="424"/>
    </row>
    <row r="44" spans="2:31" ht="12.75" customHeight="1" x14ac:dyDescent="0.25">
      <c r="B44" s="42"/>
      <c r="D44" s="144"/>
      <c r="E44" s="145"/>
      <c r="F44" s="145"/>
      <c r="G44" s="146"/>
      <c r="H44" s="147"/>
      <c r="I44" s="147"/>
      <c r="J44" s="147"/>
      <c r="K44" s="149" t="str">
        <f t="shared" si="6"/>
        <v/>
      </c>
      <c r="L44" s="148"/>
      <c r="M44" s="169"/>
      <c r="N44" s="160"/>
      <c r="O44" s="160"/>
      <c r="P44" s="160"/>
      <c r="Q44" s="160"/>
      <c r="R44" s="160"/>
      <c r="S44" s="161"/>
      <c r="T44" s="160"/>
      <c r="U44" s="160"/>
      <c r="V44" s="160"/>
      <c r="W44" s="161"/>
      <c r="X44" s="161"/>
      <c r="Y44" s="143"/>
      <c r="Z44" s="143"/>
      <c r="AA44" s="143"/>
      <c r="AB44" s="143"/>
      <c r="AC44" s="143"/>
    </row>
    <row r="45" spans="2:31" ht="12.75" customHeight="1" x14ac:dyDescent="0.25">
      <c r="B45" s="42"/>
      <c r="D45" s="153"/>
      <c r="E45" s="154"/>
      <c r="F45" s="154"/>
      <c r="G45" s="155"/>
      <c r="H45" s="156"/>
      <c r="I45" s="156"/>
      <c r="J45" s="156"/>
      <c r="K45" s="149" t="str">
        <f t="shared" si="6"/>
        <v/>
      </c>
      <c r="L45" s="152"/>
      <c r="M45" s="98"/>
      <c r="N45" s="152"/>
      <c r="O45" s="152"/>
      <c r="P45" s="152"/>
      <c r="Q45" s="152"/>
      <c r="R45" s="152"/>
      <c r="S45" s="157"/>
      <c r="T45" s="152"/>
      <c r="U45" s="152"/>
      <c r="V45" s="152"/>
      <c r="W45" s="157"/>
      <c r="X45" s="157"/>
      <c r="Y45" s="143"/>
      <c r="Z45" s="143"/>
      <c r="AA45" s="143"/>
      <c r="AB45" s="143"/>
      <c r="AC45" s="143"/>
    </row>
    <row r="46" spans="2:31" ht="12.75" customHeight="1" x14ac:dyDescent="0.25">
      <c r="B46" s="42"/>
      <c r="D46" s="212" t="s">
        <v>120</v>
      </c>
      <c r="E46" s="213">
        <v>173042.36</v>
      </c>
      <c r="F46" s="213">
        <v>173207.77</v>
      </c>
      <c r="G46" s="230" t="s">
        <v>34</v>
      </c>
      <c r="H46" s="214">
        <f>F46-E46</f>
        <v>165.41000000000349</v>
      </c>
      <c r="I46" s="214">
        <f>J46/H46</f>
        <v>32.001511395924602</v>
      </c>
      <c r="J46" s="214">
        <v>5293.37</v>
      </c>
      <c r="K46" s="149" t="str">
        <f t="shared" si="6"/>
        <v>01</v>
      </c>
      <c r="L46" s="149"/>
      <c r="M46" s="215">
        <f>J46/9/2000</f>
        <v>0.29407611111111109</v>
      </c>
      <c r="N46" s="149">
        <f t="shared" ref="N46" si="15">P46*0.75*14*115*0.05/2000</f>
        <v>17.754845208333336</v>
      </c>
      <c r="O46" s="149">
        <f t="shared" ref="O46" si="16">P46</f>
        <v>588.15222222222224</v>
      </c>
      <c r="P46" s="149">
        <f>J46/9</f>
        <v>588.15222222222224</v>
      </c>
      <c r="Q46" s="149">
        <f>(J46*(6/12))/27</f>
        <v>98.025370370370368</v>
      </c>
      <c r="R46" s="149">
        <f>Q46</f>
        <v>98.025370370370368</v>
      </c>
      <c r="S46" s="205"/>
      <c r="T46" s="205">
        <f>(J46/9)*0.09*2</f>
        <v>105.8674</v>
      </c>
      <c r="U46" s="205">
        <f>(J46*(1.5/12))/27</f>
        <v>24.506342592592592</v>
      </c>
      <c r="V46" s="205">
        <f>(J46*(1.75/12))/27</f>
        <v>28.590733024691357</v>
      </c>
      <c r="W46" s="205"/>
      <c r="X46" s="151"/>
      <c r="Y46" s="143"/>
      <c r="Z46" s="143"/>
      <c r="AA46" s="143"/>
      <c r="AB46" s="143"/>
      <c r="AC46" s="143"/>
      <c r="AE46" s="424"/>
    </row>
    <row r="47" spans="2:31" ht="12.75" customHeight="1" x14ac:dyDescent="0.25">
      <c r="B47" s="42"/>
      <c r="D47" s="216" t="s">
        <v>28</v>
      </c>
      <c r="E47" s="217">
        <f>E46</f>
        <v>173042.36</v>
      </c>
      <c r="F47" s="217">
        <f>F46</f>
        <v>173207.77</v>
      </c>
      <c r="G47" s="218" t="s">
        <v>34</v>
      </c>
      <c r="H47" s="219">
        <f>F47-E47</f>
        <v>165.41000000000349</v>
      </c>
      <c r="I47" s="219"/>
      <c r="J47" s="219"/>
      <c r="K47" s="149" t="str">
        <f t="shared" si="6"/>
        <v>01</v>
      </c>
      <c r="L47" s="220"/>
      <c r="M47" s="221">
        <f>(H47*1.5)/9/2000</f>
        <v>1.3784166666666956E-2</v>
      </c>
      <c r="N47" s="220">
        <f>P47*0.75*14*115*0.05/2000</f>
        <v>1.6644381250000351</v>
      </c>
      <c r="O47" s="220">
        <f>P47</f>
        <v>55.136666666667828</v>
      </c>
      <c r="P47" s="220">
        <f>(H47*1.5/9)*2</f>
        <v>55.136666666667828</v>
      </c>
      <c r="Q47" s="220">
        <f>((H47*(6/12)*(4/12))/27)*2</f>
        <v>2.0420987654321419</v>
      </c>
      <c r="R47" s="220">
        <f>((H47*(6/12)*(10/12))/27)*2</f>
        <v>5.1052469135803555</v>
      </c>
      <c r="S47" s="220"/>
      <c r="T47" s="222"/>
      <c r="U47" s="222"/>
      <c r="V47" s="222"/>
      <c r="W47" s="175"/>
      <c r="X47" s="245"/>
      <c r="Y47" s="143"/>
      <c r="Z47" s="143"/>
      <c r="AA47" s="143"/>
      <c r="AB47" s="143"/>
      <c r="AC47" s="143"/>
      <c r="AE47" s="424"/>
    </row>
    <row r="48" spans="2:31" ht="12.75" customHeight="1" x14ac:dyDescent="0.25">
      <c r="B48" s="42"/>
      <c r="D48" s="153" t="s">
        <v>95</v>
      </c>
      <c r="E48" s="232">
        <v>173042.36</v>
      </c>
      <c r="F48" s="232">
        <v>173207.77</v>
      </c>
      <c r="G48" s="155" t="s">
        <v>32</v>
      </c>
      <c r="H48" s="156">
        <f>(F48-E48)+19</f>
        <v>184.41000000000349</v>
      </c>
      <c r="I48" s="156">
        <f>J48/H48</f>
        <v>8.6949189306435102</v>
      </c>
      <c r="J48" s="156">
        <v>1603.43</v>
      </c>
      <c r="K48" s="149" t="str">
        <f t="shared" si="6"/>
        <v>04</v>
      </c>
      <c r="L48" s="152"/>
      <c r="M48" s="98"/>
      <c r="N48" s="152">
        <f t="shared" ref="N48:N49" si="17">P48*0.75*14*115*0.05/2000</f>
        <v>5.378171458333334</v>
      </c>
      <c r="O48" s="152">
        <f t="shared" ref="O48:O49" si="18">P48</f>
        <v>178.1588888888889</v>
      </c>
      <c r="P48" s="152">
        <f>J48/9</f>
        <v>178.1588888888889</v>
      </c>
      <c r="Q48" s="152"/>
      <c r="R48" s="152">
        <f>(J48*(6/12))/27</f>
        <v>29.693148148148151</v>
      </c>
      <c r="S48" s="152"/>
      <c r="T48" s="152"/>
      <c r="U48" s="157"/>
      <c r="V48" s="157"/>
      <c r="W48" s="157">
        <f>(J48*(1.5/12))/27</f>
        <v>7.4232870370370376</v>
      </c>
      <c r="X48" s="157">
        <f>(J48*(2.5/12))/27</f>
        <v>12.372145061728396</v>
      </c>
      <c r="Y48" s="161"/>
      <c r="Z48" s="143"/>
      <c r="AA48" s="143"/>
      <c r="AB48" s="143"/>
      <c r="AC48" s="143"/>
      <c r="AE48" s="424"/>
    </row>
    <row r="49" spans="2:31" ht="12.75" customHeight="1" x14ac:dyDescent="0.25">
      <c r="B49" s="42"/>
      <c r="D49" s="158" t="s">
        <v>71</v>
      </c>
      <c r="E49" s="162">
        <f>E48</f>
        <v>173042.36</v>
      </c>
      <c r="F49" s="162">
        <f>F48</f>
        <v>173207.77</v>
      </c>
      <c r="G49" s="163" t="s">
        <v>32</v>
      </c>
      <c r="H49" s="159">
        <f>H48</f>
        <v>184.41000000000349</v>
      </c>
      <c r="I49" s="159"/>
      <c r="J49" s="159"/>
      <c r="K49" s="149" t="str">
        <f t="shared" si="6"/>
        <v>04</v>
      </c>
      <c r="L49" s="160"/>
      <c r="M49" s="169"/>
      <c r="N49" s="160">
        <f t="shared" si="17"/>
        <v>1.8556256250000351</v>
      </c>
      <c r="O49" s="160">
        <f t="shared" si="18"/>
        <v>61.470000000001164</v>
      </c>
      <c r="P49" s="160">
        <f>(H49*1.5/9)*2</f>
        <v>61.470000000001164</v>
      </c>
      <c r="Q49" s="160"/>
      <c r="R49" s="160">
        <f>((H49*(6/12)*(6/12))/27)*2</f>
        <v>3.4150000000000649</v>
      </c>
      <c r="S49" s="161"/>
      <c r="T49" s="160"/>
      <c r="U49" s="160"/>
      <c r="V49" s="160"/>
      <c r="W49" s="161"/>
      <c r="X49" s="161"/>
      <c r="Y49" s="143"/>
      <c r="Z49" s="143"/>
      <c r="AA49" s="143"/>
      <c r="AB49" s="143"/>
      <c r="AC49" s="143"/>
      <c r="AE49" s="424"/>
    </row>
    <row r="50" spans="2:31" ht="12.75" customHeight="1" x14ac:dyDescent="0.25">
      <c r="B50" s="42"/>
      <c r="D50" s="144"/>
      <c r="E50" s="145"/>
      <c r="F50" s="145"/>
      <c r="G50" s="146"/>
      <c r="H50" s="147"/>
      <c r="I50" s="147"/>
      <c r="J50" s="147"/>
      <c r="K50" s="149" t="str">
        <f t="shared" si="6"/>
        <v/>
      </c>
      <c r="L50" s="148"/>
      <c r="M50" s="169"/>
      <c r="N50" s="160"/>
      <c r="O50" s="160"/>
      <c r="P50" s="160"/>
      <c r="Q50" s="160"/>
      <c r="R50" s="160"/>
      <c r="S50" s="161"/>
      <c r="T50" s="160"/>
      <c r="U50" s="160"/>
      <c r="V50" s="160"/>
      <c r="W50" s="161"/>
      <c r="X50" s="161"/>
      <c r="Y50" s="143"/>
      <c r="Z50" s="143"/>
      <c r="AA50" s="143"/>
      <c r="AB50" s="143"/>
      <c r="AC50" s="143"/>
    </row>
    <row r="51" spans="2:31" ht="12.75" customHeight="1" x14ac:dyDescent="0.25">
      <c r="B51" s="42"/>
      <c r="D51" s="170"/>
      <c r="E51" s="171"/>
      <c r="F51" s="171"/>
      <c r="G51" s="227"/>
      <c r="H51" s="172"/>
      <c r="I51" s="172"/>
      <c r="J51" s="172"/>
      <c r="K51" s="149" t="str">
        <f t="shared" si="6"/>
        <v/>
      </c>
      <c r="L51" s="173"/>
      <c r="M51" s="174"/>
      <c r="N51" s="173"/>
      <c r="O51" s="173"/>
      <c r="P51" s="173"/>
      <c r="Q51" s="173"/>
      <c r="R51" s="173"/>
      <c r="S51" s="175"/>
      <c r="T51" s="175"/>
      <c r="U51" s="175"/>
      <c r="V51" s="175"/>
      <c r="W51" s="143"/>
      <c r="X51" s="143"/>
      <c r="Y51" s="143"/>
      <c r="Z51" s="143"/>
      <c r="AA51" s="143"/>
      <c r="AB51" s="143"/>
      <c r="AC51" s="143"/>
    </row>
    <row r="52" spans="2:31" ht="12.75" customHeight="1" x14ac:dyDescent="0.25">
      <c r="B52" s="42"/>
      <c r="D52" s="212" t="s">
        <v>120</v>
      </c>
      <c r="E52" s="213">
        <v>173207.77</v>
      </c>
      <c r="F52" s="213">
        <v>173334.57</v>
      </c>
      <c r="G52" s="230" t="s">
        <v>34</v>
      </c>
      <c r="H52" s="214">
        <f>F52-E52</f>
        <v>126.80000000001746</v>
      </c>
      <c r="I52" s="214">
        <f>J52/H52</f>
        <v>30.633044164033635</v>
      </c>
      <c r="J52" s="214">
        <v>3884.27</v>
      </c>
      <c r="K52" s="149" t="str">
        <f t="shared" si="6"/>
        <v>01</v>
      </c>
      <c r="L52" s="149"/>
      <c r="M52" s="215">
        <f>J52/9/2000</f>
        <v>0.21579277777777778</v>
      </c>
      <c r="N52" s="149">
        <f t="shared" ref="N52:N56" si="19">P52*0.75*14*115*0.05/2000</f>
        <v>13.028488958333336</v>
      </c>
      <c r="O52" s="149">
        <f t="shared" ref="O52:O56" si="20">P52</f>
        <v>431.58555555555557</v>
      </c>
      <c r="P52" s="149">
        <f>J52/9</f>
        <v>431.58555555555557</v>
      </c>
      <c r="Q52" s="149">
        <f>(J52*(6/12))/27</f>
        <v>71.930925925925919</v>
      </c>
      <c r="R52" s="149">
        <f>Q52</f>
        <v>71.930925925925919</v>
      </c>
      <c r="S52" s="205"/>
      <c r="T52" s="205">
        <f>(J52/9)*0.09*2</f>
        <v>77.685400000000001</v>
      </c>
      <c r="U52" s="205">
        <f>(J52*(1.5/12))/27</f>
        <v>17.98273148148148</v>
      </c>
      <c r="V52" s="205">
        <f>(J52*(1.75/12))/27</f>
        <v>20.979853395061728</v>
      </c>
      <c r="W52" s="205"/>
      <c r="X52" s="151"/>
      <c r="Y52" s="151"/>
      <c r="Z52" s="143"/>
      <c r="AA52" s="143"/>
      <c r="AB52" s="143"/>
      <c r="AC52" s="143"/>
      <c r="AE52" s="424"/>
    </row>
    <row r="53" spans="2:31" ht="12.75" customHeight="1" x14ac:dyDescent="0.25">
      <c r="B53" s="42"/>
      <c r="D53" s="216" t="s">
        <v>28</v>
      </c>
      <c r="E53" s="217">
        <f>E52</f>
        <v>173207.77</v>
      </c>
      <c r="F53" s="217">
        <f>F52</f>
        <v>173334.57</v>
      </c>
      <c r="G53" s="218" t="s">
        <v>33</v>
      </c>
      <c r="H53" s="219">
        <f>F53-E53</f>
        <v>126.80000000001746</v>
      </c>
      <c r="I53" s="219"/>
      <c r="J53" s="219"/>
      <c r="K53" s="149" t="str">
        <f t="shared" si="6"/>
        <v>01</v>
      </c>
      <c r="L53" s="220"/>
      <c r="M53" s="221">
        <f>(H53*1.5)/9/2000</f>
        <v>1.0566666666668121E-2</v>
      </c>
      <c r="N53" s="220">
        <f>P53*0.75*14*115*0.05/2000</f>
        <v>0.63796250000008781</v>
      </c>
      <c r="O53" s="220">
        <f>P53</f>
        <v>21.133333333336243</v>
      </c>
      <c r="P53" s="220">
        <f>(H53*1.5/9)</f>
        <v>21.133333333336243</v>
      </c>
      <c r="Q53" s="220">
        <f>(H53*(6/12)*(4/12))/27</f>
        <v>0.7827160493828238</v>
      </c>
      <c r="R53" s="220">
        <f>(H53*(6/12)*(10/12))/27</f>
        <v>1.9567901234570597</v>
      </c>
      <c r="S53" s="220"/>
      <c r="T53" s="222"/>
      <c r="U53" s="222"/>
      <c r="V53" s="222"/>
      <c r="W53" s="175"/>
      <c r="X53" s="245"/>
      <c r="Y53" s="143"/>
      <c r="Z53" s="143"/>
      <c r="AA53" s="143"/>
      <c r="AB53" s="143"/>
      <c r="AC53" s="143"/>
      <c r="AE53" s="424"/>
    </row>
    <row r="54" spans="2:31" ht="12.75" customHeight="1" x14ac:dyDescent="0.25">
      <c r="B54" s="42"/>
      <c r="D54" s="170" t="s">
        <v>29</v>
      </c>
      <c r="E54" s="171">
        <f>E52</f>
        <v>173207.77</v>
      </c>
      <c r="F54" s="171">
        <f>F52</f>
        <v>173334.57</v>
      </c>
      <c r="G54" s="227" t="s">
        <v>32</v>
      </c>
      <c r="H54" s="172">
        <f>F54-E54</f>
        <v>126.80000000001746</v>
      </c>
      <c r="I54" s="172">
        <v>2.5</v>
      </c>
      <c r="J54" s="172">
        <v>357.21</v>
      </c>
      <c r="K54" s="149" t="str">
        <f t="shared" si="6"/>
        <v>01</v>
      </c>
      <c r="L54" s="173"/>
      <c r="M54" s="174">
        <f>(J54/9/2000)+(H54*1)/9/2000</f>
        <v>2.6889444444445413E-2</v>
      </c>
      <c r="N54" s="173">
        <f t="shared" si="19"/>
        <v>1.6234502083333919</v>
      </c>
      <c r="O54" s="173">
        <f t="shared" si="20"/>
        <v>53.778888888890826</v>
      </c>
      <c r="P54" s="173">
        <f>(J54/9)+((H54*(12/12)/9))</f>
        <v>53.778888888890826</v>
      </c>
      <c r="Q54" s="173"/>
      <c r="R54" s="173">
        <f>((J54*(6/12))/27)+((H54*(6/12)*(12/12))/27)</f>
        <v>8.9631481481484698</v>
      </c>
      <c r="S54" s="175"/>
      <c r="T54" s="175"/>
      <c r="U54" s="175"/>
      <c r="V54" s="175"/>
      <c r="W54" s="175"/>
      <c r="X54" s="245"/>
      <c r="Y54" s="245"/>
      <c r="Z54" s="143"/>
      <c r="AA54" s="143"/>
      <c r="AB54" s="143"/>
      <c r="AC54" s="143"/>
      <c r="AE54" s="424"/>
    </row>
    <row r="55" spans="2:31" ht="12.75" customHeight="1" x14ac:dyDescent="0.25">
      <c r="B55" s="42"/>
      <c r="D55" s="153" t="s">
        <v>95</v>
      </c>
      <c r="E55" s="154">
        <v>173207.77</v>
      </c>
      <c r="F55" s="154">
        <v>173334.57</v>
      </c>
      <c r="G55" s="155" t="s">
        <v>32</v>
      </c>
      <c r="H55" s="156">
        <f>F55-E55</f>
        <v>126.80000000001746</v>
      </c>
      <c r="I55" s="156">
        <f>J55/H55</f>
        <v>9.9992902208188124</v>
      </c>
      <c r="J55" s="156">
        <v>1267.9100000000001</v>
      </c>
      <c r="K55" s="149" t="str">
        <f t="shared" si="6"/>
        <v>04</v>
      </c>
      <c r="L55" s="152"/>
      <c r="M55" s="98"/>
      <c r="N55" s="152">
        <f t="shared" si="19"/>
        <v>4.2527814583333337</v>
      </c>
      <c r="O55" s="152">
        <f t="shared" si="20"/>
        <v>140.87888888888889</v>
      </c>
      <c r="P55" s="152">
        <f>J55/9</f>
        <v>140.87888888888889</v>
      </c>
      <c r="Q55" s="152"/>
      <c r="R55" s="152">
        <f>(J55*(6/12))/27</f>
        <v>23.479814814814816</v>
      </c>
      <c r="S55" s="152"/>
      <c r="T55" s="152"/>
      <c r="U55" s="157"/>
      <c r="V55" s="157"/>
      <c r="W55" s="157">
        <f>(J55*(1.5/12))/27</f>
        <v>5.869953703703704</v>
      </c>
      <c r="X55" s="157">
        <f>(J55*(2.5/12))/27</f>
        <v>9.783256172839506</v>
      </c>
      <c r="Y55" s="253"/>
      <c r="Z55" s="143"/>
      <c r="AA55" s="143"/>
      <c r="AB55" s="143"/>
      <c r="AC55" s="143"/>
      <c r="AE55" s="424"/>
    </row>
    <row r="56" spans="2:31" ht="12.75" customHeight="1" x14ac:dyDescent="0.25">
      <c r="B56" s="42"/>
      <c r="D56" s="158" t="s">
        <v>71</v>
      </c>
      <c r="E56" s="162">
        <f>E55</f>
        <v>173207.77</v>
      </c>
      <c r="F56" s="162">
        <f>F55</f>
        <v>173334.57</v>
      </c>
      <c r="G56" s="163" t="s">
        <v>32</v>
      </c>
      <c r="H56" s="159">
        <f>H55</f>
        <v>126.80000000001746</v>
      </c>
      <c r="I56" s="159"/>
      <c r="J56" s="159"/>
      <c r="K56" s="149" t="str">
        <f t="shared" si="6"/>
        <v>04</v>
      </c>
      <c r="L56" s="160"/>
      <c r="M56" s="169"/>
      <c r="N56" s="160">
        <f t="shared" si="19"/>
        <v>1.2759250000001756</v>
      </c>
      <c r="O56" s="160">
        <f t="shared" si="20"/>
        <v>42.266666666672485</v>
      </c>
      <c r="P56" s="160">
        <f>(H56*1.5/9)*2</f>
        <v>42.266666666672485</v>
      </c>
      <c r="Q56" s="160"/>
      <c r="R56" s="160">
        <f>((H56*(6/12)*(6/12))/27)*2</f>
        <v>2.3481481481484714</v>
      </c>
      <c r="S56" s="161"/>
      <c r="T56" s="160"/>
      <c r="U56" s="160"/>
      <c r="V56" s="160"/>
      <c r="W56" s="161"/>
      <c r="X56" s="161"/>
      <c r="Y56" s="143"/>
      <c r="Z56" s="143"/>
      <c r="AA56" s="143"/>
      <c r="AB56" s="143"/>
      <c r="AC56" s="143"/>
      <c r="AE56" s="424"/>
    </row>
    <row r="57" spans="2:31" ht="12.75" customHeight="1" x14ac:dyDescent="0.25">
      <c r="B57" s="42"/>
      <c r="D57" s="144"/>
      <c r="E57" s="145"/>
      <c r="F57" s="145"/>
      <c r="G57" s="146"/>
      <c r="H57" s="147"/>
      <c r="I57" s="147"/>
      <c r="J57" s="147"/>
      <c r="K57" s="149" t="str">
        <f t="shared" si="6"/>
        <v/>
      </c>
      <c r="L57" s="148"/>
      <c r="M57" s="169"/>
      <c r="N57" s="160"/>
      <c r="O57" s="160"/>
      <c r="P57" s="160"/>
      <c r="Q57" s="160"/>
      <c r="R57" s="160"/>
      <c r="S57" s="161"/>
      <c r="T57" s="160"/>
      <c r="U57" s="160"/>
      <c r="V57" s="160"/>
      <c r="W57" s="161"/>
      <c r="X57" s="161"/>
      <c r="Y57" s="143"/>
      <c r="Z57" s="143"/>
      <c r="AA57" s="143"/>
      <c r="AB57" s="143"/>
      <c r="AC57" s="143"/>
    </row>
    <row r="58" spans="2:31" ht="12.75" customHeight="1" x14ac:dyDescent="0.25">
      <c r="B58" s="42"/>
      <c r="D58" s="212"/>
      <c r="E58" s="213"/>
      <c r="F58" s="213"/>
      <c r="G58" s="230"/>
      <c r="H58" s="214"/>
      <c r="I58" s="214"/>
      <c r="J58" s="214"/>
      <c r="K58" s="149" t="str">
        <f t="shared" si="6"/>
        <v/>
      </c>
      <c r="L58" s="149"/>
      <c r="M58" s="215"/>
      <c r="N58" s="149"/>
      <c r="O58" s="149"/>
      <c r="P58" s="149"/>
      <c r="Q58" s="149"/>
      <c r="R58" s="149"/>
      <c r="S58" s="205"/>
      <c r="T58" s="205"/>
      <c r="U58" s="205"/>
      <c r="V58" s="205"/>
      <c r="W58" s="205"/>
      <c r="X58" s="151"/>
      <c r="Y58" s="151"/>
      <c r="Z58" s="143"/>
      <c r="AA58" s="143"/>
      <c r="AB58" s="143"/>
      <c r="AC58" s="143"/>
    </row>
    <row r="59" spans="2:31" ht="12.75" customHeight="1" x14ac:dyDescent="0.25">
      <c r="B59" s="42"/>
      <c r="D59" s="212" t="s">
        <v>120</v>
      </c>
      <c r="E59" s="213">
        <v>173334.57</v>
      </c>
      <c r="F59" s="213">
        <v>173559.71</v>
      </c>
      <c r="G59" s="230" t="s">
        <v>34</v>
      </c>
      <c r="H59" s="214">
        <f>F59-E59</f>
        <v>225.13999999998487</v>
      </c>
      <c r="I59" s="214">
        <f>J59/H59</f>
        <v>41.397974593588998</v>
      </c>
      <c r="J59" s="214">
        <v>9320.34</v>
      </c>
      <c r="K59" s="149" t="str">
        <f t="shared" si="6"/>
        <v>01</v>
      </c>
      <c r="L59" s="149"/>
      <c r="M59" s="215">
        <f>J59/9/2000</f>
        <v>0.51779666666666657</v>
      </c>
      <c r="N59" s="149">
        <f t="shared" ref="N59" si="21">P59*0.75*14*115*0.05/2000</f>
        <v>31.261973750000003</v>
      </c>
      <c r="O59" s="149">
        <f t="shared" ref="O59:O63" si="22">P59</f>
        <v>1035.5933333333332</v>
      </c>
      <c r="P59" s="149">
        <f>J59/9</f>
        <v>1035.5933333333332</v>
      </c>
      <c r="Q59" s="149">
        <f>(J59*(6/12))/27</f>
        <v>172.59888888888889</v>
      </c>
      <c r="R59" s="149">
        <f>Q59</f>
        <v>172.59888888888889</v>
      </c>
      <c r="S59" s="205"/>
      <c r="T59" s="205">
        <f>(J59/9)*0.09*2</f>
        <v>186.40679999999998</v>
      </c>
      <c r="U59" s="205">
        <f>(J59*(1.5/12))/27</f>
        <v>43.149722222222223</v>
      </c>
      <c r="V59" s="205">
        <f>(J59*(1.75/12))/27</f>
        <v>50.341342592592596</v>
      </c>
      <c r="W59" s="205"/>
      <c r="X59" s="151"/>
      <c r="Y59" s="151"/>
      <c r="Z59" s="143"/>
      <c r="AA59" s="143"/>
      <c r="AB59" s="143"/>
      <c r="AC59" s="143"/>
      <c r="AE59" s="424"/>
    </row>
    <row r="60" spans="2:31" ht="12.75" customHeight="1" x14ac:dyDescent="0.25">
      <c r="B60" s="42"/>
      <c r="D60" s="170" t="s">
        <v>29</v>
      </c>
      <c r="E60" s="171">
        <f>E59</f>
        <v>173334.57</v>
      </c>
      <c r="F60" s="171">
        <f>F59</f>
        <v>173559.71</v>
      </c>
      <c r="G60" s="227" t="s">
        <v>34</v>
      </c>
      <c r="H60" s="172">
        <f>F60-E60</f>
        <v>225.13999999998487</v>
      </c>
      <c r="I60" s="172">
        <v>2.5</v>
      </c>
      <c r="J60" s="172">
        <v>1178.6500000000001</v>
      </c>
      <c r="K60" s="149" t="str">
        <f t="shared" si="6"/>
        <v>01</v>
      </c>
      <c r="L60" s="173"/>
      <c r="M60" s="174">
        <f>(J60/9/2000)+((H60*1)/9/2000)</f>
        <v>7.7988333333332494E-2</v>
      </c>
      <c r="N60" s="173">
        <f>P60*0.75*14*115*0.05/2000</f>
        <v>4.7085456249999496</v>
      </c>
      <c r="O60" s="173">
        <f t="shared" si="22"/>
        <v>155.97666666666498</v>
      </c>
      <c r="P60" s="173">
        <f>(J60/9)+((H60*(12/12)/9))</f>
        <v>155.97666666666498</v>
      </c>
      <c r="Q60" s="173"/>
      <c r="R60" s="173">
        <f>((J60*(6/12))/27)+((H60*(6/12)*(12/12))/27)</f>
        <v>25.996111111110832</v>
      </c>
      <c r="S60" s="175"/>
      <c r="T60" s="175"/>
      <c r="U60" s="175"/>
      <c r="V60" s="175"/>
      <c r="W60" s="175"/>
      <c r="X60" s="245"/>
      <c r="Y60" s="245"/>
      <c r="Z60" s="143"/>
      <c r="AA60" s="143"/>
      <c r="AB60" s="143"/>
      <c r="AC60" s="143"/>
      <c r="AE60" s="424"/>
    </row>
    <row r="61" spans="2:31" ht="12.75" customHeight="1" x14ac:dyDescent="0.25">
      <c r="B61" s="42"/>
      <c r="D61" s="244" t="s">
        <v>72</v>
      </c>
      <c r="E61" s="248">
        <v>173364.21</v>
      </c>
      <c r="F61" s="248">
        <v>173559.71</v>
      </c>
      <c r="G61" s="249" t="s">
        <v>34</v>
      </c>
      <c r="H61" s="250">
        <f>F61-E61</f>
        <v>195.5</v>
      </c>
      <c r="I61" s="250">
        <v>0.5</v>
      </c>
      <c r="J61" s="250">
        <v>351.2</v>
      </c>
      <c r="K61" s="149" t="str">
        <f t="shared" si="6"/>
        <v>01</v>
      </c>
      <c r="L61" s="251"/>
      <c r="M61" s="252">
        <f>(J61/9/2000)+(H61*1)/9/2000</f>
        <v>3.0372222222222224E-2</v>
      </c>
      <c r="N61" s="251">
        <f>P61*0.75*14*115*0.05/2000</f>
        <v>1.1779833333333334</v>
      </c>
      <c r="O61" s="251">
        <f t="shared" si="22"/>
        <v>39.022222222222219</v>
      </c>
      <c r="P61" s="251">
        <f>(J61/9)</f>
        <v>39.022222222222219</v>
      </c>
      <c r="Q61" s="251"/>
      <c r="R61" s="251">
        <f>((J61*(6/12))/27)+((H61*(6/12)*(12/12))/27)</f>
        <v>10.124074074074073</v>
      </c>
      <c r="S61" s="253"/>
      <c r="T61" s="251"/>
      <c r="U61" s="251"/>
      <c r="V61" s="251"/>
      <c r="W61" s="253"/>
      <c r="X61" s="253"/>
      <c r="Y61" s="253"/>
      <c r="Z61" s="143"/>
      <c r="AA61" s="143"/>
      <c r="AB61" s="143"/>
      <c r="AC61" s="143"/>
      <c r="AE61" s="424"/>
    </row>
    <row r="62" spans="2:31" ht="12.75" customHeight="1" x14ac:dyDescent="0.25">
      <c r="B62" s="42"/>
      <c r="D62" s="153" t="s">
        <v>95</v>
      </c>
      <c r="E62" s="154">
        <v>173334.57</v>
      </c>
      <c r="F62" s="154">
        <v>173574.61</v>
      </c>
      <c r="G62" s="155" t="s">
        <v>32</v>
      </c>
      <c r="H62" s="156">
        <v>265.3</v>
      </c>
      <c r="I62" s="156">
        <f>J62/H62</f>
        <v>9.9985299660761395</v>
      </c>
      <c r="J62" s="156">
        <v>2652.61</v>
      </c>
      <c r="K62" s="149" t="str">
        <f t="shared" si="6"/>
        <v>04</v>
      </c>
      <c r="L62" s="152"/>
      <c r="M62" s="98"/>
      <c r="N62" s="152">
        <f t="shared" ref="N62:N63" si="23">P62*0.75*14*115*0.05/2000</f>
        <v>8.8972960416666691</v>
      </c>
      <c r="O62" s="152">
        <f t="shared" si="22"/>
        <v>294.73444444444448</v>
      </c>
      <c r="P62" s="152">
        <f>J62/9</f>
        <v>294.73444444444448</v>
      </c>
      <c r="Q62" s="152"/>
      <c r="R62" s="152">
        <f>(J62*(6/12))/27</f>
        <v>49.122407407407408</v>
      </c>
      <c r="S62" s="152"/>
      <c r="T62" s="152"/>
      <c r="U62" s="157"/>
      <c r="V62" s="157"/>
      <c r="W62" s="157">
        <f>(J62*(1.5/12))/27</f>
        <v>12.280601851851852</v>
      </c>
      <c r="X62" s="157">
        <f>(J62*(2.5/12))/27</f>
        <v>20.467669753086422</v>
      </c>
      <c r="Y62" s="253"/>
      <c r="Z62" s="143"/>
      <c r="AA62" s="143"/>
      <c r="AB62" s="143"/>
      <c r="AC62" s="143"/>
      <c r="AE62" s="424"/>
    </row>
    <row r="63" spans="2:31" ht="12.75" customHeight="1" x14ac:dyDescent="0.25">
      <c r="B63" s="42"/>
      <c r="D63" s="158" t="s">
        <v>71</v>
      </c>
      <c r="E63" s="162">
        <f>E62</f>
        <v>173334.57</v>
      </c>
      <c r="F63" s="162">
        <f>F62</f>
        <v>173574.61</v>
      </c>
      <c r="G63" s="163" t="s">
        <v>32</v>
      </c>
      <c r="H63" s="159">
        <v>265.3</v>
      </c>
      <c r="I63" s="159"/>
      <c r="J63" s="159"/>
      <c r="K63" s="149" t="str">
        <f t="shared" si="6"/>
        <v>04</v>
      </c>
      <c r="L63" s="160"/>
      <c r="M63" s="169"/>
      <c r="N63" s="160">
        <f t="shared" si="23"/>
        <v>2.6695812500000007</v>
      </c>
      <c r="O63" s="160">
        <f t="shared" si="22"/>
        <v>88.433333333333337</v>
      </c>
      <c r="P63" s="160">
        <f>(H63*1.5/9)*2</f>
        <v>88.433333333333337</v>
      </c>
      <c r="Q63" s="160"/>
      <c r="R63" s="160">
        <f>((H63*(6/12)*(6/12))/27)*2</f>
        <v>4.912962962962963</v>
      </c>
      <c r="S63" s="161"/>
      <c r="T63" s="160"/>
      <c r="U63" s="160"/>
      <c r="V63" s="160"/>
      <c r="W63" s="161"/>
      <c r="X63" s="161"/>
      <c r="Y63" s="143"/>
      <c r="Z63" s="143"/>
      <c r="AA63" s="143"/>
      <c r="AB63" s="143"/>
      <c r="AC63" s="143"/>
      <c r="AE63" s="424"/>
    </row>
    <row r="64" spans="2:31" ht="12.75" customHeight="1" x14ac:dyDescent="0.25">
      <c r="B64" s="42"/>
      <c r="D64" s="144"/>
      <c r="E64" s="145"/>
      <c r="F64" s="145"/>
      <c r="G64" s="146"/>
      <c r="H64" s="147"/>
      <c r="I64" s="147"/>
      <c r="J64" s="147"/>
      <c r="K64" s="149" t="str">
        <f t="shared" si="6"/>
        <v/>
      </c>
      <c r="L64" s="148"/>
      <c r="M64" s="169"/>
      <c r="N64" s="160"/>
      <c r="O64" s="160"/>
      <c r="P64" s="160"/>
      <c r="Q64" s="160"/>
      <c r="R64" s="160"/>
      <c r="S64" s="161"/>
      <c r="T64" s="160"/>
      <c r="U64" s="160"/>
      <c r="V64" s="160"/>
      <c r="W64" s="161"/>
      <c r="X64" s="161"/>
      <c r="Y64" s="143"/>
      <c r="Z64" s="143"/>
      <c r="AA64" s="143"/>
      <c r="AB64" s="143"/>
      <c r="AC64" s="143"/>
    </row>
    <row r="65" spans="2:31" ht="12.75" customHeight="1" x14ac:dyDescent="0.25">
      <c r="B65" s="42"/>
      <c r="D65" s="153"/>
      <c r="E65" s="154"/>
      <c r="F65" s="154"/>
      <c r="G65" s="155"/>
      <c r="H65" s="156"/>
      <c r="I65" s="156"/>
      <c r="J65" s="156"/>
      <c r="K65" s="149" t="str">
        <f t="shared" si="6"/>
        <v/>
      </c>
      <c r="L65" s="152"/>
      <c r="M65" s="98"/>
      <c r="N65" s="152"/>
      <c r="O65" s="152"/>
      <c r="P65" s="152"/>
      <c r="Q65" s="152"/>
      <c r="R65" s="168"/>
      <c r="S65" s="143"/>
      <c r="T65" s="152"/>
      <c r="U65" s="152"/>
      <c r="V65" s="152"/>
      <c r="W65" s="143"/>
      <c r="X65" s="143"/>
      <c r="Y65" s="143"/>
      <c r="Z65" s="143"/>
      <c r="AA65" s="143"/>
      <c r="AB65" s="143"/>
      <c r="AC65" s="143"/>
    </row>
    <row r="66" spans="2:31" ht="12.75" customHeight="1" x14ac:dyDescent="0.25">
      <c r="B66" s="42"/>
      <c r="D66" s="231" t="s">
        <v>30</v>
      </c>
      <c r="E66" s="232">
        <v>173364.71</v>
      </c>
      <c r="F66" s="232">
        <v>173559.21</v>
      </c>
      <c r="G66" s="233" t="s">
        <v>34</v>
      </c>
      <c r="H66" s="234">
        <f>F66-E66</f>
        <v>194.5</v>
      </c>
      <c r="I66" s="234">
        <f>J66/H66</f>
        <v>12.596195372750643</v>
      </c>
      <c r="J66" s="234">
        <v>2449.96</v>
      </c>
      <c r="K66" s="149" t="str">
        <f t="shared" si="6"/>
        <v>01</v>
      </c>
      <c r="L66" s="235"/>
      <c r="M66" s="240">
        <f>(J66/9/2000)</f>
        <v>0.13610888888888889</v>
      </c>
      <c r="N66" s="235">
        <f>P66*0.75*14*115*0.05/2000</f>
        <v>8.2175741666666653</v>
      </c>
      <c r="O66" s="235">
        <f>P66</f>
        <v>272.21777777777777</v>
      </c>
      <c r="P66" s="235">
        <f>(J66/9)</f>
        <v>272.21777777777777</v>
      </c>
      <c r="Q66" s="235"/>
      <c r="R66" s="235"/>
      <c r="S66" s="235">
        <f>((J66*(15.25/12))/27)</f>
        <v>115.31447530864197</v>
      </c>
      <c r="T66" s="237"/>
      <c r="U66" s="237"/>
      <c r="V66" s="237"/>
      <c r="W66" s="237"/>
      <c r="X66" s="237"/>
      <c r="Y66" s="237">
        <f>P66</f>
        <v>272.21777777777777</v>
      </c>
      <c r="Z66" s="143"/>
      <c r="AA66" s="143"/>
      <c r="AB66" s="143"/>
      <c r="AC66" s="143"/>
      <c r="AE66" s="424"/>
    </row>
    <row r="67" spans="2:31" ht="12.75" customHeight="1" x14ac:dyDescent="0.25">
      <c r="B67" s="42"/>
      <c r="D67" s="231"/>
      <c r="E67" s="232"/>
      <c r="F67" s="232"/>
      <c r="G67" s="233"/>
      <c r="H67" s="234"/>
      <c r="I67" s="234"/>
      <c r="J67" s="234"/>
      <c r="K67" s="149" t="str">
        <f t="shared" si="6"/>
        <v/>
      </c>
      <c r="L67" s="235"/>
      <c r="M67" s="240"/>
      <c r="N67" s="235"/>
      <c r="O67" s="235"/>
      <c r="P67" s="235"/>
      <c r="Q67" s="235"/>
      <c r="R67" s="235"/>
      <c r="S67" s="235"/>
      <c r="T67" s="237"/>
      <c r="U67" s="237"/>
      <c r="V67" s="237"/>
      <c r="W67" s="237"/>
      <c r="X67" s="237"/>
      <c r="Y67" s="237"/>
      <c r="Z67" s="143"/>
      <c r="AA67" s="143"/>
      <c r="AB67" s="143"/>
      <c r="AC67" s="143"/>
    </row>
    <row r="68" spans="2:31" ht="12.75" customHeight="1" x14ac:dyDescent="0.25">
      <c r="B68" s="42"/>
      <c r="D68" s="231" t="s">
        <v>30</v>
      </c>
      <c r="E68" s="232">
        <v>173455.34</v>
      </c>
      <c r="F68" s="232">
        <v>173577.2</v>
      </c>
      <c r="G68" s="233" t="s">
        <v>34</v>
      </c>
      <c r="H68" s="234">
        <f>F68-E68</f>
        <v>121.86000000001513</v>
      </c>
      <c r="I68" s="234">
        <f>J68/H68</f>
        <v>9.7008042015415494</v>
      </c>
      <c r="J68" s="234">
        <v>1182.1400000000001</v>
      </c>
      <c r="K68" s="149" t="str">
        <f t="shared" si="6"/>
        <v>01</v>
      </c>
      <c r="L68" s="235"/>
      <c r="M68" s="240">
        <f>(J68/9/2000)</f>
        <v>6.5674444444444452E-2</v>
      </c>
      <c r="N68" s="235">
        <f>P68*0.75*14*115*0.05/2000</f>
        <v>3.9650945833333338</v>
      </c>
      <c r="O68" s="235">
        <f>P68</f>
        <v>131.34888888888889</v>
      </c>
      <c r="P68" s="235">
        <f>(J68/9)</f>
        <v>131.34888888888889</v>
      </c>
      <c r="Q68" s="235"/>
      <c r="R68" s="235"/>
      <c r="S68" s="235">
        <f>((J68*(15.25/12))/27)</f>
        <v>55.640848765432104</v>
      </c>
      <c r="T68" s="237"/>
      <c r="U68" s="237"/>
      <c r="V68" s="237"/>
      <c r="W68" s="237"/>
      <c r="X68" s="237"/>
      <c r="Y68" s="237">
        <f>P68</f>
        <v>131.34888888888889</v>
      </c>
      <c r="Z68" s="143"/>
      <c r="AA68" s="143"/>
      <c r="AB68" s="143"/>
      <c r="AC68" s="143"/>
      <c r="AE68" s="424"/>
    </row>
    <row r="69" spans="2:31" ht="12.75" customHeight="1" x14ac:dyDescent="0.25">
      <c r="B69" s="42"/>
      <c r="D69" s="153"/>
      <c r="E69" s="154"/>
      <c r="F69" s="154"/>
      <c r="G69" s="155"/>
      <c r="H69" s="156"/>
      <c r="I69" s="156"/>
      <c r="J69" s="156"/>
      <c r="K69" s="149" t="str">
        <f t="shared" si="6"/>
        <v/>
      </c>
      <c r="L69" s="152"/>
      <c r="M69" s="98"/>
      <c r="N69" s="152"/>
      <c r="O69" s="152"/>
      <c r="P69" s="152"/>
      <c r="Q69" s="152"/>
      <c r="R69" s="152"/>
      <c r="S69" s="157"/>
      <c r="T69" s="152"/>
      <c r="U69" s="152"/>
      <c r="V69" s="152"/>
      <c r="W69" s="157"/>
      <c r="X69" s="157"/>
      <c r="Y69" s="143"/>
      <c r="Z69" s="143"/>
      <c r="AA69" s="143"/>
      <c r="AB69" s="143"/>
      <c r="AC69" s="143"/>
    </row>
    <row r="70" spans="2:31" ht="12.75" customHeight="1" x14ac:dyDescent="0.25">
      <c r="B70" s="42"/>
      <c r="D70" s="212" t="s">
        <v>120</v>
      </c>
      <c r="E70" s="213">
        <v>173705.47</v>
      </c>
      <c r="F70" s="213">
        <v>174148.73</v>
      </c>
      <c r="G70" s="230" t="s">
        <v>34</v>
      </c>
      <c r="H70" s="214">
        <f>F70-E70</f>
        <v>443.26000000000931</v>
      </c>
      <c r="I70" s="214">
        <f>J70/H70</f>
        <v>45.445336822631354</v>
      </c>
      <c r="J70" s="214">
        <v>20144.099999999999</v>
      </c>
      <c r="K70" s="149" t="str">
        <f t="shared" si="6"/>
        <v>01</v>
      </c>
      <c r="L70" s="149"/>
      <c r="M70" s="215">
        <f>J70/9/2000</f>
        <v>1.1191166666666665</v>
      </c>
      <c r="N70" s="149">
        <f t="shared" ref="N70:N71" si="24">P70*0.75*14*115*0.05/2000</f>
        <v>67.566668749999991</v>
      </c>
      <c r="O70" s="149">
        <f t="shared" ref="O70:O74" si="25">P70</f>
        <v>2238.2333333333331</v>
      </c>
      <c r="P70" s="149">
        <f>J70/9</f>
        <v>2238.2333333333331</v>
      </c>
      <c r="Q70" s="149">
        <f>(J70*(6/12))/27</f>
        <v>373.03888888888883</v>
      </c>
      <c r="R70" s="149">
        <f>Q70</f>
        <v>373.03888888888883</v>
      </c>
      <c r="S70" s="205"/>
      <c r="T70" s="205">
        <f>(J70/9)*0.09*2</f>
        <v>402.88199999999995</v>
      </c>
      <c r="U70" s="205">
        <f>(J70*(1.5/12))/27</f>
        <v>93.259722222222209</v>
      </c>
      <c r="V70" s="205">
        <f>(J70*(1.75/12))/27</f>
        <v>108.80300925925927</v>
      </c>
      <c r="W70" s="205"/>
      <c r="X70" s="151"/>
      <c r="Y70" s="151"/>
      <c r="Z70" s="143"/>
      <c r="AA70" s="143"/>
      <c r="AB70" s="143"/>
      <c r="AC70" s="143"/>
      <c r="AE70" s="424"/>
    </row>
    <row r="71" spans="2:31" ht="12.75" customHeight="1" x14ac:dyDescent="0.25">
      <c r="B71" s="42"/>
      <c r="D71" s="170" t="s">
        <v>29</v>
      </c>
      <c r="E71" s="171">
        <f>E70</f>
        <v>173705.47</v>
      </c>
      <c r="F71" s="171">
        <f>F70</f>
        <v>174148.73</v>
      </c>
      <c r="G71" s="227" t="s">
        <v>34</v>
      </c>
      <c r="H71" s="172">
        <f>F71-E71</f>
        <v>443.26000000000931</v>
      </c>
      <c r="I71" s="172">
        <v>2.5</v>
      </c>
      <c r="J71" s="172">
        <v>2159.61</v>
      </c>
      <c r="K71" s="149" t="str">
        <f t="shared" si="6"/>
        <v>01</v>
      </c>
      <c r="L71" s="173"/>
      <c r="M71" s="174">
        <f>(J71/9/2000)+(H71*1)/9/2000</f>
        <v>0.14460388888888942</v>
      </c>
      <c r="N71" s="173">
        <f t="shared" si="24"/>
        <v>10.217227708333397</v>
      </c>
      <c r="O71" s="173">
        <f t="shared" si="25"/>
        <v>338.45888888889095</v>
      </c>
      <c r="P71" s="173">
        <f>(J71/9)+((H71*(12/12)/9)*2)</f>
        <v>338.45888888889095</v>
      </c>
      <c r="Q71" s="173"/>
      <c r="R71" s="173">
        <f>((J71*(6/12))/27)+((H71*(6/12)*(12/12))/27)</f>
        <v>48.201296296296476</v>
      </c>
      <c r="S71" s="175"/>
      <c r="T71" s="175"/>
      <c r="U71" s="175"/>
      <c r="V71" s="175"/>
      <c r="W71" s="175"/>
      <c r="X71" s="245"/>
      <c r="Y71" s="245"/>
      <c r="Z71" s="143"/>
      <c r="AA71" s="143"/>
      <c r="AB71" s="143"/>
      <c r="AC71" s="143"/>
      <c r="AE71" s="424"/>
    </row>
    <row r="72" spans="2:31" ht="12.75" customHeight="1" x14ac:dyDescent="0.25">
      <c r="B72" s="42"/>
      <c r="D72" s="244" t="s">
        <v>72</v>
      </c>
      <c r="E72" s="217">
        <v>173705.47</v>
      </c>
      <c r="F72" s="217">
        <v>173907.78</v>
      </c>
      <c r="G72" s="218" t="s">
        <v>32</v>
      </c>
      <c r="H72" s="219">
        <v>326.72000000000003</v>
      </c>
      <c r="I72" s="219">
        <v>0.5</v>
      </c>
      <c r="J72" s="219">
        <v>218.07</v>
      </c>
      <c r="K72" s="149" t="str">
        <f t="shared" si="6"/>
        <v>01</v>
      </c>
      <c r="L72" s="220"/>
      <c r="M72" s="221">
        <f>(J72/9/2000)+(H72*1)/9/2000</f>
        <v>3.0266111111111115E-2</v>
      </c>
      <c r="N72" s="220">
        <f>P72*0.75*14*115*0.05/2000</f>
        <v>0.73144312499999997</v>
      </c>
      <c r="O72" s="220">
        <f t="shared" si="25"/>
        <v>24.23</v>
      </c>
      <c r="P72" s="220">
        <f>(J72/9)</f>
        <v>24.23</v>
      </c>
      <c r="Q72" s="220"/>
      <c r="R72" s="220">
        <f>((J72*(6/12))/27)</f>
        <v>4.0383333333333331</v>
      </c>
      <c r="S72" s="222"/>
      <c r="T72" s="220"/>
      <c r="U72" s="220"/>
      <c r="V72" s="220"/>
      <c r="W72" s="222"/>
      <c r="X72" s="222"/>
      <c r="Y72" s="222"/>
      <c r="Z72" s="222"/>
      <c r="AA72" s="222"/>
      <c r="AB72" s="222"/>
      <c r="AC72" s="222"/>
      <c r="AE72" s="424"/>
    </row>
    <row r="73" spans="2:31" ht="12.75" customHeight="1" x14ac:dyDescent="0.25">
      <c r="B73" s="42"/>
      <c r="D73" s="153" t="s">
        <v>95</v>
      </c>
      <c r="E73" s="154">
        <v>173705.47</v>
      </c>
      <c r="F73" s="154">
        <v>173942.36</v>
      </c>
      <c r="G73" s="155" t="s">
        <v>32</v>
      </c>
      <c r="H73" s="156">
        <v>265.56</v>
      </c>
      <c r="I73" s="156">
        <f>J73/H73</f>
        <v>9.999962343726466</v>
      </c>
      <c r="J73" s="156">
        <v>2655.59</v>
      </c>
      <c r="K73" s="149" t="str">
        <f t="shared" si="6"/>
        <v>04</v>
      </c>
      <c r="L73" s="152"/>
      <c r="M73" s="98"/>
      <c r="N73" s="152">
        <f t="shared" ref="N73:N74" si="26">P73*0.75*14*115*0.05/2000</f>
        <v>8.9072914583333329</v>
      </c>
      <c r="O73" s="152">
        <f t="shared" si="25"/>
        <v>295.06555555555559</v>
      </c>
      <c r="P73" s="152">
        <f>J73/9</f>
        <v>295.06555555555559</v>
      </c>
      <c r="Q73" s="152"/>
      <c r="R73" s="152">
        <f>(J73*(6/12))/27</f>
        <v>49.177592592592596</v>
      </c>
      <c r="S73" s="152"/>
      <c r="T73" s="152"/>
      <c r="U73" s="157"/>
      <c r="V73" s="157"/>
      <c r="W73" s="157">
        <f>(J73*(1.5/12))/27</f>
        <v>12.294398148148149</v>
      </c>
      <c r="X73" s="157">
        <f>(J73*(2.5/12))/27</f>
        <v>20.490663580246913</v>
      </c>
      <c r="Y73" s="253"/>
      <c r="Z73" s="143"/>
      <c r="AA73" s="143"/>
      <c r="AB73" s="143"/>
      <c r="AC73" s="143"/>
      <c r="AE73" s="424"/>
    </row>
    <row r="74" spans="2:31" ht="12.75" customHeight="1" x14ac:dyDescent="0.25">
      <c r="B74" s="42"/>
      <c r="D74" s="158" t="s">
        <v>71</v>
      </c>
      <c r="E74" s="162">
        <f>E73</f>
        <v>173705.47</v>
      </c>
      <c r="F74" s="162">
        <f>F73</f>
        <v>173942.36</v>
      </c>
      <c r="G74" s="163" t="s">
        <v>32</v>
      </c>
      <c r="H74" s="159">
        <f>H73</f>
        <v>265.56</v>
      </c>
      <c r="I74" s="159"/>
      <c r="J74" s="159"/>
      <c r="K74" s="149" t="str">
        <f t="shared" si="6"/>
        <v>04</v>
      </c>
      <c r="L74" s="160"/>
      <c r="M74" s="169"/>
      <c r="N74" s="160">
        <f t="shared" si="26"/>
        <v>2.6721975000000007</v>
      </c>
      <c r="O74" s="160">
        <f t="shared" si="25"/>
        <v>88.52000000000001</v>
      </c>
      <c r="P74" s="160">
        <f>(H74*1.5/9)*2</f>
        <v>88.52000000000001</v>
      </c>
      <c r="Q74" s="160"/>
      <c r="R74" s="160">
        <f>((H74*(6/12)*(6/12))/27)*2</f>
        <v>4.9177777777777782</v>
      </c>
      <c r="S74" s="161"/>
      <c r="T74" s="160"/>
      <c r="U74" s="160"/>
      <c r="V74" s="160"/>
      <c r="W74" s="161"/>
      <c r="X74" s="161"/>
      <c r="Y74" s="143"/>
      <c r="Z74" s="143"/>
      <c r="AA74" s="143"/>
      <c r="AB74" s="143"/>
      <c r="AC74" s="143"/>
      <c r="AE74" s="424"/>
    </row>
    <row r="75" spans="2:31" ht="12.75" customHeight="1" x14ac:dyDescent="0.25">
      <c r="B75" s="42"/>
      <c r="D75" s="153" t="s">
        <v>95</v>
      </c>
      <c r="E75" s="154">
        <v>174016.71</v>
      </c>
      <c r="F75" s="154">
        <v>174077.45</v>
      </c>
      <c r="G75" s="155" t="s">
        <v>32</v>
      </c>
      <c r="H75" s="156">
        <f>F75-E75</f>
        <v>60.740000000019791</v>
      </c>
      <c r="I75" s="156">
        <f>J75/H75</f>
        <v>9.9738228514949387</v>
      </c>
      <c r="J75" s="156">
        <v>605.80999999999995</v>
      </c>
      <c r="K75" s="149" t="str">
        <f t="shared" si="6"/>
        <v>04</v>
      </c>
      <c r="L75" s="152"/>
      <c r="M75" s="98"/>
      <c r="N75" s="152">
        <f t="shared" ref="N75:N78" si="27">P75*0.75*14*115*0.05/2000</f>
        <v>2.0319877083333333</v>
      </c>
      <c r="O75" s="152">
        <f t="shared" ref="O75:O78" si="28">P75</f>
        <v>67.312222222222218</v>
      </c>
      <c r="P75" s="152">
        <f>J75/9</f>
        <v>67.312222222222218</v>
      </c>
      <c r="Q75" s="152"/>
      <c r="R75" s="152">
        <f>(J75*(6/12))/27</f>
        <v>11.218703703703703</v>
      </c>
      <c r="S75" s="152"/>
      <c r="T75" s="152"/>
      <c r="U75" s="157"/>
      <c r="V75" s="157"/>
      <c r="W75" s="157">
        <f>(J75*(1.5/12))/27</f>
        <v>2.8046759259259257</v>
      </c>
      <c r="X75" s="157">
        <f>(J75*(2.5/12))/27</f>
        <v>4.6744598765432093</v>
      </c>
      <c r="Y75" s="253"/>
      <c r="Z75" s="143"/>
      <c r="AA75" s="143"/>
      <c r="AB75" s="143"/>
      <c r="AC75" s="143"/>
      <c r="AE75" s="424"/>
    </row>
    <row r="76" spans="2:31" ht="12.75" customHeight="1" x14ac:dyDescent="0.25">
      <c r="B76" s="42"/>
      <c r="D76" s="158" t="s">
        <v>71</v>
      </c>
      <c r="E76" s="162">
        <f>E75</f>
        <v>174016.71</v>
      </c>
      <c r="F76" s="162">
        <f>F75</f>
        <v>174077.45</v>
      </c>
      <c r="G76" s="163" t="s">
        <v>32</v>
      </c>
      <c r="H76" s="159">
        <f>H75</f>
        <v>60.740000000019791</v>
      </c>
      <c r="I76" s="159"/>
      <c r="J76" s="159"/>
      <c r="K76" s="149" t="str">
        <f t="shared" si="6"/>
        <v>04</v>
      </c>
      <c r="L76" s="160"/>
      <c r="M76" s="169"/>
      <c r="N76" s="160">
        <f t="shared" si="27"/>
        <v>0.61119625000019917</v>
      </c>
      <c r="O76" s="160">
        <f t="shared" si="28"/>
        <v>20.246666666673264</v>
      </c>
      <c r="P76" s="160">
        <f>(H76*1.5/9)*2</f>
        <v>20.246666666673264</v>
      </c>
      <c r="Q76" s="160"/>
      <c r="R76" s="160">
        <f>((H76*(6/12)*(6/12))/27)*2</f>
        <v>1.1248148148151813</v>
      </c>
      <c r="S76" s="161"/>
      <c r="T76" s="160"/>
      <c r="U76" s="160"/>
      <c r="V76" s="160"/>
      <c r="W76" s="161"/>
      <c r="X76" s="161"/>
      <c r="Y76" s="143"/>
      <c r="Z76" s="143"/>
      <c r="AA76" s="143"/>
      <c r="AB76" s="143"/>
      <c r="AC76" s="143"/>
      <c r="AE76" s="424"/>
    </row>
    <row r="77" spans="2:31" ht="12.75" customHeight="1" x14ac:dyDescent="0.25">
      <c r="B77" s="42"/>
      <c r="D77" s="153" t="s">
        <v>95</v>
      </c>
      <c r="E77" s="154">
        <v>174110.84</v>
      </c>
      <c r="F77" s="154">
        <v>174148.73</v>
      </c>
      <c r="G77" s="155" t="s">
        <v>32</v>
      </c>
      <c r="H77" s="156">
        <f>F77-E77</f>
        <v>37.89000000001397</v>
      </c>
      <c r="I77" s="156">
        <f>J77/H77</f>
        <v>9.9567168118200282</v>
      </c>
      <c r="J77" s="156">
        <v>377.26</v>
      </c>
      <c r="K77" s="149" t="str">
        <f t="shared" si="6"/>
        <v>04</v>
      </c>
      <c r="L77" s="152"/>
      <c r="M77" s="98"/>
      <c r="N77" s="152">
        <f t="shared" si="27"/>
        <v>1.2653929166666666</v>
      </c>
      <c r="O77" s="152">
        <f t="shared" si="28"/>
        <v>41.917777777777779</v>
      </c>
      <c r="P77" s="152">
        <f>J77/9</f>
        <v>41.917777777777779</v>
      </c>
      <c r="Q77" s="152"/>
      <c r="R77" s="152">
        <f>(J77*(6/12))/27</f>
        <v>6.9862962962962962</v>
      </c>
      <c r="S77" s="152"/>
      <c r="T77" s="152"/>
      <c r="U77" s="157"/>
      <c r="V77" s="157"/>
      <c r="W77" s="157">
        <f>(J77*(1.5/12))/27</f>
        <v>1.7465740740740741</v>
      </c>
      <c r="X77" s="157">
        <f>(J77*(2.5/12))/27</f>
        <v>2.9109567901234565</v>
      </c>
      <c r="Y77" s="253"/>
      <c r="Z77" s="143"/>
      <c r="AA77" s="143"/>
      <c r="AB77" s="143"/>
      <c r="AC77" s="143"/>
      <c r="AE77" s="424"/>
    </row>
    <row r="78" spans="2:31" ht="12.75" customHeight="1" x14ac:dyDescent="0.25">
      <c r="B78" s="42"/>
      <c r="D78" s="158" t="s">
        <v>71</v>
      </c>
      <c r="E78" s="162">
        <f>E77</f>
        <v>174110.84</v>
      </c>
      <c r="F78" s="162">
        <f>F77</f>
        <v>174148.73</v>
      </c>
      <c r="G78" s="163" t="s">
        <v>32</v>
      </c>
      <c r="H78" s="159">
        <f>H77</f>
        <v>37.89000000001397</v>
      </c>
      <c r="I78" s="159"/>
      <c r="J78" s="159"/>
      <c r="K78" s="149" t="str">
        <f t="shared" si="6"/>
        <v>04</v>
      </c>
      <c r="L78" s="160"/>
      <c r="M78" s="169"/>
      <c r="N78" s="160">
        <f t="shared" si="27"/>
        <v>0.38126812500014057</v>
      </c>
      <c r="O78" s="160">
        <f t="shared" si="28"/>
        <v>12.630000000004657</v>
      </c>
      <c r="P78" s="160">
        <f>(H78*1.5/9)*2</f>
        <v>12.630000000004657</v>
      </c>
      <c r="Q78" s="160"/>
      <c r="R78" s="160">
        <f>((H78*(6/12)*(6/12))/27)*2</f>
        <v>0.70166666666692534</v>
      </c>
      <c r="S78" s="161"/>
      <c r="T78" s="160"/>
      <c r="U78" s="160"/>
      <c r="V78" s="160"/>
      <c r="W78" s="161"/>
      <c r="X78" s="161"/>
      <c r="Y78" s="143"/>
      <c r="Z78" s="143"/>
      <c r="AA78" s="143"/>
      <c r="AB78" s="143"/>
      <c r="AC78" s="143"/>
      <c r="AE78" s="424"/>
    </row>
    <row r="79" spans="2:31" ht="12.75" customHeight="1" x14ac:dyDescent="0.25">
      <c r="B79" s="42"/>
      <c r="D79" s="144"/>
      <c r="E79" s="145"/>
      <c r="F79" s="145"/>
      <c r="G79" s="146"/>
      <c r="H79" s="147"/>
      <c r="I79" s="147"/>
      <c r="J79" s="147"/>
      <c r="K79" s="149" t="str">
        <f t="shared" si="6"/>
        <v/>
      </c>
      <c r="L79" s="148"/>
      <c r="M79" s="169"/>
      <c r="N79" s="160"/>
      <c r="O79" s="160"/>
      <c r="P79" s="160"/>
      <c r="Q79" s="160"/>
      <c r="R79" s="160"/>
      <c r="S79" s="161"/>
      <c r="T79" s="160"/>
      <c r="U79" s="160"/>
      <c r="V79" s="160"/>
      <c r="W79" s="161"/>
      <c r="X79" s="161"/>
      <c r="Y79" s="143"/>
      <c r="Z79" s="143"/>
      <c r="AA79" s="143"/>
      <c r="AB79" s="143"/>
      <c r="AC79" s="143"/>
    </row>
    <row r="80" spans="2:31" ht="12.75" customHeight="1" x14ac:dyDescent="0.25">
      <c r="B80" s="42"/>
      <c r="D80" s="153"/>
      <c r="E80" s="154"/>
      <c r="F80" s="154"/>
      <c r="G80" s="155"/>
      <c r="H80" s="156"/>
      <c r="I80" s="156"/>
      <c r="J80" s="156"/>
      <c r="K80" s="149" t="str">
        <f t="shared" si="6"/>
        <v/>
      </c>
      <c r="L80" s="152"/>
      <c r="M80" s="98"/>
      <c r="N80" s="152"/>
      <c r="O80" s="152"/>
      <c r="P80" s="152"/>
      <c r="Q80" s="152"/>
      <c r="R80" s="168"/>
      <c r="S80" s="143"/>
      <c r="T80" s="152"/>
      <c r="U80" s="152"/>
      <c r="V80" s="152"/>
      <c r="W80" s="143"/>
      <c r="X80" s="143"/>
      <c r="Y80" s="143"/>
      <c r="Z80" s="143"/>
      <c r="AA80" s="143"/>
      <c r="AB80" s="143"/>
      <c r="AC80" s="143"/>
    </row>
    <row r="81" spans="2:31" ht="12.75" customHeight="1" x14ac:dyDescent="0.25">
      <c r="B81" s="42"/>
      <c r="D81" s="231" t="s">
        <v>30</v>
      </c>
      <c r="E81" s="232">
        <v>173705.47</v>
      </c>
      <c r="F81" s="232">
        <v>173907.78</v>
      </c>
      <c r="G81" s="233" t="s">
        <v>34</v>
      </c>
      <c r="H81" s="234">
        <f>F81-E81</f>
        <v>202.30999999999767</v>
      </c>
      <c r="I81" s="234">
        <f>J81/H81</f>
        <v>7.8091542682023531</v>
      </c>
      <c r="J81" s="234">
        <v>1579.87</v>
      </c>
      <c r="K81" s="149" t="str">
        <f t="shared" si="6"/>
        <v>01</v>
      </c>
      <c r="L81" s="235"/>
      <c r="M81" s="240">
        <f>(J81/9/2000)</f>
        <v>8.7770555555555546E-2</v>
      </c>
      <c r="N81" s="235">
        <f>P81*0.75*14*115*0.05/2000</f>
        <v>5.2991472916666664</v>
      </c>
      <c r="O81" s="235">
        <f>P81</f>
        <v>175.54111111111109</v>
      </c>
      <c r="P81" s="235">
        <f>(J81/9)</f>
        <v>175.54111111111109</v>
      </c>
      <c r="Q81" s="235"/>
      <c r="R81" s="235"/>
      <c r="S81" s="235">
        <f>((J81*(15.25/12))/27)</f>
        <v>74.361165123456786</v>
      </c>
      <c r="T81" s="237"/>
      <c r="U81" s="237"/>
      <c r="V81" s="237"/>
      <c r="W81" s="237"/>
      <c r="X81" s="237"/>
      <c r="Y81" s="237">
        <f>P81</f>
        <v>175.54111111111109</v>
      </c>
      <c r="Z81" s="143"/>
      <c r="AA81" s="143"/>
      <c r="AB81" s="143"/>
      <c r="AC81" s="143"/>
      <c r="AE81" s="424"/>
    </row>
    <row r="82" spans="2:31" ht="12.75" customHeight="1" x14ac:dyDescent="0.25">
      <c r="B82" s="42"/>
      <c r="D82" s="244"/>
      <c r="E82" s="248"/>
      <c r="F82" s="248"/>
      <c r="G82" s="249"/>
      <c r="H82" s="250"/>
      <c r="I82" s="250"/>
      <c r="J82" s="250"/>
      <c r="K82" s="251"/>
      <c r="L82" s="251"/>
      <c r="M82" s="252"/>
      <c r="N82" s="251"/>
      <c r="O82" s="251"/>
      <c r="P82" s="251"/>
      <c r="Q82" s="251"/>
      <c r="R82" s="251"/>
      <c r="S82" s="253"/>
      <c r="T82" s="251"/>
      <c r="U82" s="251"/>
      <c r="V82" s="251"/>
      <c r="W82" s="253"/>
      <c r="X82" s="253"/>
      <c r="Y82" s="253"/>
      <c r="Z82" s="143"/>
      <c r="AA82" s="143"/>
      <c r="AB82" s="143"/>
      <c r="AC82" s="143"/>
    </row>
    <row r="83" spans="2:31" ht="12.75" customHeight="1" x14ac:dyDescent="0.25">
      <c r="B83" s="42"/>
      <c r="D83" s="212"/>
      <c r="E83" s="213"/>
      <c r="F83" s="213"/>
      <c r="G83" s="230"/>
      <c r="H83" s="214"/>
      <c r="I83" s="214"/>
      <c r="J83" s="214"/>
      <c r="K83" s="149"/>
      <c r="L83" s="149"/>
      <c r="M83" s="215"/>
      <c r="N83" s="149"/>
      <c r="O83" s="149"/>
      <c r="P83" s="149"/>
      <c r="Q83" s="149"/>
      <c r="R83" s="149"/>
      <c r="S83" s="205"/>
      <c r="T83" s="205"/>
      <c r="U83" s="205"/>
      <c r="V83" s="205"/>
      <c r="W83" s="205"/>
      <c r="X83" s="151"/>
      <c r="Y83" s="143"/>
      <c r="Z83" s="143"/>
      <c r="AA83" s="143"/>
      <c r="AB83" s="143"/>
      <c r="AC83" s="143"/>
    </row>
    <row r="84" spans="2:31" ht="12.75" customHeight="1" x14ac:dyDescent="0.25">
      <c r="B84" s="42"/>
      <c r="D84" s="216"/>
      <c r="E84" s="217"/>
      <c r="F84" s="217"/>
      <c r="G84" s="218"/>
      <c r="H84" s="219"/>
      <c r="I84" s="219"/>
      <c r="J84" s="219"/>
      <c r="K84" s="220"/>
      <c r="L84" s="220"/>
      <c r="M84" s="221"/>
      <c r="N84" s="220"/>
      <c r="O84" s="220"/>
      <c r="P84" s="220"/>
      <c r="Q84" s="220"/>
      <c r="R84" s="220"/>
      <c r="S84" s="220"/>
      <c r="T84" s="222"/>
      <c r="U84" s="222"/>
      <c r="V84" s="222"/>
      <c r="W84" s="175"/>
      <c r="X84" s="245"/>
      <c r="Y84" s="143"/>
      <c r="Z84" s="143"/>
      <c r="AA84" s="143"/>
      <c r="AB84" s="143"/>
      <c r="AC84" s="143"/>
    </row>
    <row r="85" spans="2:31" ht="12.75" customHeight="1" x14ac:dyDescent="0.25">
      <c r="B85" s="42"/>
      <c r="D85" s="153"/>
      <c r="E85" s="232"/>
      <c r="F85" s="232"/>
      <c r="G85" s="155"/>
      <c r="H85" s="156"/>
      <c r="I85" s="156"/>
      <c r="J85" s="156"/>
      <c r="K85" s="152"/>
      <c r="L85" s="152"/>
      <c r="M85" s="98"/>
      <c r="N85" s="152"/>
      <c r="O85" s="152"/>
      <c r="P85" s="152"/>
      <c r="Q85" s="152"/>
      <c r="R85" s="152"/>
      <c r="S85" s="152"/>
      <c r="T85" s="152"/>
      <c r="U85" s="157"/>
      <c r="V85" s="157"/>
      <c r="W85" s="157"/>
      <c r="X85" s="157"/>
      <c r="Y85" s="161"/>
      <c r="Z85" s="143"/>
      <c r="AA85" s="143"/>
      <c r="AB85" s="143"/>
      <c r="AC85" s="143"/>
    </row>
    <row r="86" spans="2:31" ht="12.75" customHeight="1" x14ac:dyDescent="0.25">
      <c r="B86" s="42"/>
      <c r="D86" s="158"/>
      <c r="E86" s="162"/>
      <c r="F86" s="162"/>
      <c r="G86" s="163"/>
      <c r="H86" s="159"/>
      <c r="I86" s="159"/>
      <c r="J86" s="159"/>
      <c r="K86" s="160"/>
      <c r="L86" s="160"/>
      <c r="M86" s="169"/>
      <c r="N86" s="160"/>
      <c r="O86" s="160"/>
      <c r="P86" s="160"/>
      <c r="Q86" s="160"/>
      <c r="R86" s="160"/>
      <c r="S86" s="161"/>
      <c r="T86" s="160"/>
      <c r="U86" s="160"/>
      <c r="V86" s="160"/>
      <c r="W86" s="161"/>
      <c r="X86" s="161"/>
      <c r="Y86" s="143"/>
      <c r="Z86" s="143"/>
      <c r="AA86" s="143"/>
      <c r="AB86" s="143"/>
      <c r="AC86" s="143"/>
    </row>
    <row r="87" spans="2:31" ht="12.75" customHeight="1" x14ac:dyDescent="0.25">
      <c r="B87" s="42"/>
      <c r="D87" s="144"/>
      <c r="E87" s="145"/>
      <c r="F87" s="145"/>
      <c r="G87" s="146"/>
      <c r="H87" s="147"/>
      <c r="I87" s="147"/>
      <c r="J87" s="147"/>
      <c r="K87" s="148"/>
      <c r="L87" s="148"/>
      <c r="M87" s="236"/>
      <c r="N87" s="235"/>
      <c r="O87" s="235"/>
      <c r="P87" s="235"/>
      <c r="Q87" s="235"/>
      <c r="R87" s="235"/>
      <c r="S87" s="235"/>
      <c r="T87" s="237"/>
      <c r="U87" s="237"/>
      <c r="V87" s="237"/>
      <c r="W87" s="237"/>
      <c r="X87" s="237"/>
      <c r="Y87" s="237"/>
      <c r="Z87" s="143"/>
      <c r="AA87" s="143"/>
      <c r="AB87" s="143"/>
      <c r="AC87" s="143"/>
    </row>
    <row r="88" spans="2:31" ht="12.75" customHeight="1" thickBot="1" x14ac:dyDescent="0.3">
      <c r="D88" s="243"/>
      <c r="E88" s="203"/>
      <c r="F88" s="203"/>
      <c r="G88" s="201"/>
      <c r="H88" s="128" t="str">
        <f t="shared" ref="H88" si="29">IF(E88&lt;&gt;"",F88-E88,"")</f>
        <v/>
      </c>
      <c r="I88" s="128"/>
      <c r="J88" s="128"/>
      <c r="K88" s="202"/>
      <c r="L88" s="202"/>
      <c r="M88" s="128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31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AC89" si="30">SUM(K28:K88)</f>
        <v>0</v>
      </c>
      <c r="L89" s="136">
        <f t="shared" si="30"/>
        <v>0</v>
      </c>
      <c r="M89" s="135">
        <f t="shared" si="30"/>
        <v>3.5782641666666679</v>
      </c>
      <c r="N89" s="136">
        <f t="shared" si="30"/>
        <v>273.19898812500037</v>
      </c>
      <c r="O89" s="136">
        <f t="shared" si="30"/>
        <v>9050.0700000000124</v>
      </c>
      <c r="P89" s="136">
        <f t="shared" si="30"/>
        <v>9050.0700000000124</v>
      </c>
      <c r="Q89" s="136">
        <f t="shared" si="30"/>
        <v>979.29672839506156</v>
      </c>
      <c r="R89" s="136">
        <f t="shared" si="30"/>
        <v>1346.54163580247</v>
      </c>
      <c r="S89" s="136">
        <f t="shared" si="30"/>
        <v>245.31648919753087</v>
      </c>
      <c r="T89" s="136">
        <f t="shared" si="30"/>
        <v>1050.5104000000001</v>
      </c>
      <c r="U89" s="136">
        <f t="shared" si="30"/>
        <v>243.17370370370367</v>
      </c>
      <c r="V89" s="136">
        <f t="shared" si="30"/>
        <v>283.70265432098768</v>
      </c>
      <c r="W89" s="136">
        <f t="shared" si="30"/>
        <v>59.686250000000008</v>
      </c>
      <c r="X89" s="136">
        <f t="shared" si="30"/>
        <v>99.47708333333334</v>
      </c>
      <c r="Y89" s="136">
        <f t="shared" si="30"/>
        <v>579.10777777777776</v>
      </c>
      <c r="Z89" s="136">
        <f t="shared" si="30"/>
        <v>0</v>
      </c>
      <c r="AA89" s="136">
        <f t="shared" si="30"/>
        <v>0</v>
      </c>
      <c r="AB89" s="136">
        <f t="shared" si="30"/>
        <v>0</v>
      </c>
      <c r="AC89" s="136">
        <f t="shared" si="30"/>
        <v>0</v>
      </c>
    </row>
    <row r="95" spans="2:31" ht="12.75" customHeight="1" x14ac:dyDescent="0.25">
      <c r="D95" s="442" t="s">
        <v>126</v>
      </c>
      <c r="E95" s="442"/>
      <c r="F95" s="442"/>
      <c r="G95" s="442"/>
      <c r="H95" s="442"/>
      <c r="I95" s="442"/>
      <c r="J95" s="442"/>
      <c r="K95" s="425"/>
      <c r="L95" s="426">
        <f>SUMIF($K29:$K88, 1, L29:L88)</f>
        <v>0</v>
      </c>
      <c r="M95" s="430">
        <f>SUMIF($K29:$K88, 1, M29:M88)</f>
        <v>3.5782641666666679</v>
      </c>
      <c r="N95" s="426">
        <f t="shared" ref="N95:P95" si="31">SUMIF($K29:$K88, 1, N29:N88)</f>
        <v>217.50078656250008</v>
      </c>
      <c r="O95" s="426">
        <f t="shared" si="31"/>
        <v>7204.9950000000026</v>
      </c>
      <c r="P95" s="426">
        <f t="shared" si="31"/>
        <v>7204.9950000000026</v>
      </c>
      <c r="Q95" s="426">
        <f t="shared" ref="Q95:AC95" si="32">SUMIF($K29:$K88, 1, Q29:Q88)</f>
        <v>979.29672839506156</v>
      </c>
      <c r="R95" s="426">
        <f t="shared" si="32"/>
        <v>1086.5225617283954</v>
      </c>
      <c r="S95" s="426">
        <f t="shared" si="32"/>
        <v>245.31648919753087</v>
      </c>
      <c r="T95" s="426">
        <f t="shared" si="32"/>
        <v>1050.5104000000001</v>
      </c>
      <c r="U95" s="426">
        <f t="shared" si="32"/>
        <v>243.17370370370367</v>
      </c>
      <c r="V95" s="426">
        <f t="shared" si="32"/>
        <v>283.70265432098768</v>
      </c>
      <c r="W95" s="426">
        <f t="shared" si="32"/>
        <v>0</v>
      </c>
      <c r="X95" s="426">
        <f t="shared" si="32"/>
        <v>0</v>
      </c>
      <c r="Y95" s="426">
        <f t="shared" si="32"/>
        <v>579.10777777777776</v>
      </c>
      <c r="Z95" s="426">
        <f t="shared" si="32"/>
        <v>0</v>
      </c>
      <c r="AA95" s="426">
        <f t="shared" si="32"/>
        <v>0</v>
      </c>
      <c r="AB95" s="426">
        <f t="shared" si="32"/>
        <v>0</v>
      </c>
      <c r="AC95" s="426">
        <f t="shared" si="32"/>
        <v>0</v>
      </c>
    </row>
    <row r="96" spans="2:31" ht="12.75" customHeight="1" x14ac:dyDescent="0.25">
      <c r="D96" s="443" t="s">
        <v>127</v>
      </c>
      <c r="E96" s="443"/>
      <c r="F96" s="443"/>
      <c r="G96" s="443"/>
      <c r="H96" s="443"/>
      <c r="I96" s="443"/>
      <c r="J96" s="443"/>
      <c r="K96" s="427"/>
      <c r="L96" s="428">
        <f>SUMIF($K29:$K88, 4, L29:L88)</f>
        <v>0</v>
      </c>
      <c r="M96" s="428">
        <f>SUMIF($K29:$K88, 4, M29:M88)</f>
        <v>0</v>
      </c>
      <c r="N96" s="428">
        <f t="shared" ref="N96:P96" si="33">SUMIF($K29:$K88, 4, N29:N88)</f>
        <v>55.698201562500316</v>
      </c>
      <c r="O96" s="428">
        <f t="shared" si="33"/>
        <v>1845.0750000000105</v>
      </c>
      <c r="P96" s="428">
        <f t="shared" si="33"/>
        <v>1845.0750000000105</v>
      </c>
      <c r="Q96" s="428">
        <f t="shared" ref="Q96:AC96" si="34">SUMIF($K29:$K88, 4, Q29:Q88)</f>
        <v>0</v>
      </c>
      <c r="R96" s="428">
        <f t="shared" si="34"/>
        <v>260.01907407407469</v>
      </c>
      <c r="S96" s="428">
        <f t="shared" si="34"/>
        <v>0</v>
      </c>
      <c r="T96" s="428">
        <f t="shared" si="34"/>
        <v>0</v>
      </c>
      <c r="U96" s="428">
        <f t="shared" si="34"/>
        <v>0</v>
      </c>
      <c r="V96" s="428">
        <f t="shared" si="34"/>
        <v>0</v>
      </c>
      <c r="W96" s="428">
        <f t="shared" si="34"/>
        <v>59.686250000000008</v>
      </c>
      <c r="X96" s="428">
        <f t="shared" si="34"/>
        <v>99.47708333333334</v>
      </c>
      <c r="Y96" s="428">
        <f t="shared" si="34"/>
        <v>0</v>
      </c>
      <c r="Z96" s="428">
        <f t="shared" si="34"/>
        <v>0</v>
      </c>
      <c r="AA96" s="428">
        <f t="shared" si="34"/>
        <v>0</v>
      </c>
      <c r="AB96" s="428">
        <f t="shared" si="34"/>
        <v>0</v>
      </c>
      <c r="AC96" s="428">
        <f t="shared" si="34"/>
        <v>0</v>
      </c>
    </row>
    <row r="97" spans="4:29" ht="12.75" customHeight="1" x14ac:dyDescent="0.25">
      <c r="D97" s="469" t="s">
        <v>17</v>
      </c>
      <c r="E97" s="469"/>
      <c r="F97" s="469"/>
      <c r="G97" s="469"/>
      <c r="H97" s="469"/>
      <c r="I97" s="469"/>
      <c r="J97" s="469"/>
      <c r="K97" s="432"/>
      <c r="L97" s="433">
        <f>SUM(L95:L96)</f>
        <v>0</v>
      </c>
      <c r="M97" s="434">
        <f>SUM(M95:M96)</f>
        <v>3.5782641666666679</v>
      </c>
      <c r="N97" s="433">
        <f t="shared" ref="N97:P97" si="35">SUM(N95:N96)</f>
        <v>273.19898812500037</v>
      </c>
      <c r="O97" s="433">
        <f t="shared" si="35"/>
        <v>9050.0700000000124</v>
      </c>
      <c r="P97" s="433">
        <f t="shared" si="35"/>
        <v>9050.0700000000124</v>
      </c>
      <c r="Q97" s="433">
        <f t="shared" ref="Q97:AC97" si="36">SUM(Q95:Q96)</f>
        <v>979.29672839506156</v>
      </c>
      <c r="R97" s="433">
        <f t="shared" si="36"/>
        <v>1346.5416358024702</v>
      </c>
      <c r="S97" s="433">
        <f t="shared" si="36"/>
        <v>245.31648919753087</v>
      </c>
      <c r="T97" s="433">
        <f t="shared" si="36"/>
        <v>1050.5104000000001</v>
      </c>
      <c r="U97" s="433">
        <f t="shared" si="36"/>
        <v>243.17370370370367</v>
      </c>
      <c r="V97" s="433">
        <f t="shared" si="36"/>
        <v>283.70265432098768</v>
      </c>
      <c r="W97" s="433">
        <f t="shared" si="36"/>
        <v>59.686250000000008</v>
      </c>
      <c r="X97" s="433">
        <f t="shared" si="36"/>
        <v>99.47708333333334</v>
      </c>
      <c r="Y97" s="433">
        <f t="shared" si="36"/>
        <v>579.10777777777776</v>
      </c>
      <c r="Z97" s="433">
        <f t="shared" si="36"/>
        <v>0</v>
      </c>
      <c r="AA97" s="433">
        <f t="shared" si="36"/>
        <v>0</v>
      </c>
      <c r="AB97" s="433">
        <f t="shared" si="36"/>
        <v>0</v>
      </c>
      <c r="AC97" s="433">
        <f t="shared" si="36"/>
        <v>0</v>
      </c>
    </row>
    <row r="102" spans="4:29" ht="12.75" customHeight="1" x14ac:dyDescent="0.25">
      <c r="O102" s="476" t="s">
        <v>141</v>
      </c>
      <c r="P102" s="476"/>
      <c r="Q102" s="476"/>
      <c r="R102" s="475">
        <f>R30+R31+R36+R37+R46+R47+R52+R53+R54+R59+R60+R61+R66+R68+R70+R71+R72+R81</f>
        <v>1086.5225617283954</v>
      </c>
      <c r="S102" s="475"/>
    </row>
    <row r="103" spans="4:29" ht="12.75" customHeight="1" x14ac:dyDescent="0.25">
      <c r="O103" s="476"/>
      <c r="P103" s="476"/>
      <c r="Q103" s="476"/>
      <c r="R103" s="475">
        <f>R32+R33+R38+R39+R40+R41+R42+R43+R48+R49+R55+R56+R62+R63+R73+R74+R75+R76+R77+R78</f>
        <v>260.01907407407469</v>
      </c>
      <c r="S103" s="475"/>
    </row>
  </sheetData>
  <mergeCells count="35">
    <mergeCell ref="D95:J95"/>
    <mergeCell ref="D96:J96"/>
    <mergeCell ref="D97:J97"/>
    <mergeCell ref="R102:S102"/>
    <mergeCell ref="R103:S103"/>
    <mergeCell ref="O102:Q103"/>
    <mergeCell ref="AA15:AA26"/>
    <mergeCell ref="AB15:AB26"/>
    <mergeCell ref="U15:U26"/>
    <mergeCell ref="V15:V26"/>
    <mergeCell ref="W15:W26"/>
    <mergeCell ref="X15:X26"/>
    <mergeCell ref="E29:F29"/>
    <mergeCell ref="D89:J89"/>
    <mergeCell ref="Y15:Y26"/>
    <mergeCell ref="Z15:Z26"/>
    <mergeCell ref="O15:O26"/>
    <mergeCell ref="L15:L26"/>
    <mergeCell ref="K14:K27"/>
    <mergeCell ref="E9:AC9"/>
    <mergeCell ref="B14:B27"/>
    <mergeCell ref="D14:D27"/>
    <mergeCell ref="E14:F26"/>
    <mergeCell ref="G14:G27"/>
    <mergeCell ref="H14:H26"/>
    <mergeCell ref="I14:I26"/>
    <mergeCell ref="J14:J26"/>
    <mergeCell ref="M15:M26"/>
    <mergeCell ref="N15:N26"/>
    <mergeCell ref="P15:P26"/>
    <mergeCell ref="Q15:Q26"/>
    <mergeCell ref="R15:R26"/>
    <mergeCell ref="S15:S26"/>
    <mergeCell ref="T15:T26"/>
    <mergeCell ref="AC15:AC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48E9-C3EF-40B6-AAB8-9FC8EB8EAD6B}">
  <sheetPr>
    <pageSetUpPr fitToPage="1"/>
  </sheetPr>
  <dimension ref="A1:AK99"/>
  <sheetViews>
    <sheetView showGridLines="0" topLeftCell="A72" zoomScale="90" zoomScaleNormal="90" workbookViewId="0">
      <selection activeCell="D97" sqref="D97:AC98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0.6640625" style="6" customWidth="1"/>
    <col min="5" max="6" width="13.6640625" style="6" customWidth="1"/>
    <col min="7" max="7" width="8.6640625" style="6" customWidth="1"/>
    <col min="8" max="8" width="8.6640625" style="8" customWidth="1"/>
    <col min="9" max="29" width="8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34"/>
      <c r="M1" s="34"/>
      <c r="N1" s="2"/>
      <c r="O1" s="2"/>
      <c r="P1" s="2"/>
      <c r="Q1" s="34"/>
      <c r="R1" s="34"/>
      <c r="S1" s="34"/>
      <c r="T1" s="34"/>
      <c r="U1" s="34"/>
      <c r="V1" s="34"/>
      <c r="W1" s="34"/>
      <c r="X1" s="34"/>
      <c r="Y1" s="34"/>
      <c r="Z1" s="34"/>
      <c r="AA1" s="2"/>
      <c r="AB1" s="2"/>
      <c r="AC1" s="35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34"/>
      <c r="M2" s="34"/>
      <c r="N2" s="2"/>
      <c r="O2" s="2"/>
      <c r="P2" s="2"/>
      <c r="Q2" s="34"/>
      <c r="R2" s="34"/>
      <c r="S2" s="34"/>
      <c r="T2" s="34"/>
      <c r="U2" s="34"/>
      <c r="V2" s="34"/>
      <c r="W2" s="34"/>
      <c r="X2" s="34"/>
      <c r="Y2" s="34"/>
      <c r="Z2" s="34"/>
      <c r="AA2" s="2"/>
      <c r="AB2" s="2"/>
      <c r="AC2" s="35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2"/>
      <c r="AB3" s="2"/>
      <c r="AC3" s="35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3"/>
      <c r="L4" s="3"/>
      <c r="M4" s="3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2"/>
      <c r="AB4" s="2"/>
      <c r="AC4" s="35"/>
    </row>
    <row r="5" spans="1:37" ht="12.75" customHeight="1" x14ac:dyDescent="0.25">
      <c r="E5" s="3"/>
      <c r="F5" s="5"/>
      <c r="G5" s="3"/>
      <c r="H5" s="2"/>
      <c r="I5" s="2"/>
      <c r="J5" s="3"/>
      <c r="K5" s="3"/>
      <c r="L5" s="3"/>
      <c r="M5" s="3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2"/>
      <c r="AB5" s="2"/>
      <c r="AC5" s="35"/>
    </row>
    <row r="6" spans="1:37" ht="12.75" customHeight="1" x14ac:dyDescent="0.25">
      <c r="E6" s="3"/>
      <c r="F6" s="5"/>
      <c r="G6" s="3"/>
      <c r="H6" s="2"/>
      <c r="I6" s="2"/>
      <c r="J6" s="3"/>
      <c r="K6" s="3"/>
      <c r="L6" s="3"/>
      <c r="M6" s="3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2"/>
      <c r="AB6" s="2"/>
      <c r="AC6" s="35"/>
    </row>
    <row r="7" spans="1:37" ht="12.75" customHeight="1" x14ac:dyDescent="0.25">
      <c r="E7" s="3"/>
      <c r="F7" s="5"/>
      <c r="G7" s="7"/>
      <c r="H7" s="2"/>
      <c r="I7" s="2"/>
      <c r="J7" s="3"/>
      <c r="K7" s="3"/>
      <c r="L7" s="3"/>
      <c r="M7" s="3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2"/>
      <c r="AB7" s="2"/>
      <c r="AC7" s="35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11"/>
      <c r="L10" s="38" t="s">
        <v>114</v>
      </c>
      <c r="M10" s="38" t="s">
        <v>39</v>
      </c>
      <c r="N10" s="38" t="s">
        <v>88</v>
      </c>
      <c r="O10" s="38" t="s">
        <v>89</v>
      </c>
      <c r="P10" s="38" t="s">
        <v>80</v>
      </c>
      <c r="Q10" s="38" t="s">
        <v>41</v>
      </c>
      <c r="R10" s="38" t="s">
        <v>42</v>
      </c>
      <c r="S10" s="38" t="s">
        <v>42</v>
      </c>
      <c r="T10" s="38" t="s">
        <v>56</v>
      </c>
      <c r="U10" s="38" t="s">
        <v>74</v>
      </c>
      <c r="V10" s="38" t="s">
        <v>75</v>
      </c>
      <c r="W10" s="38" t="s">
        <v>81</v>
      </c>
      <c r="X10" s="38" t="s">
        <v>83</v>
      </c>
      <c r="Y10" s="38" t="s">
        <v>122</v>
      </c>
      <c r="Z10" s="38" t="s">
        <v>77</v>
      </c>
      <c r="AA10" s="38" t="s">
        <v>116</v>
      </c>
      <c r="AB10" s="38"/>
      <c r="AC10" s="38"/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9"/>
      <c r="M11" s="58"/>
      <c r="N11" s="58"/>
      <c r="O11" s="58"/>
      <c r="P11" s="58"/>
      <c r="Q11" s="58" t="s">
        <v>90</v>
      </c>
      <c r="R11" s="58" t="s">
        <v>90</v>
      </c>
      <c r="S11" s="58" t="s">
        <v>119</v>
      </c>
      <c r="T11" s="58" t="s">
        <v>79</v>
      </c>
      <c r="U11" s="58"/>
      <c r="V11" s="58"/>
      <c r="W11" s="58"/>
      <c r="X11" s="58"/>
      <c r="Y11" s="58"/>
      <c r="Z11" s="58"/>
      <c r="AA11" s="58" t="s">
        <v>115</v>
      </c>
      <c r="AB11" s="58"/>
      <c r="AC11" s="58"/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59"/>
      <c r="M12" s="60">
        <v>2</v>
      </c>
      <c r="N12" s="60">
        <v>3</v>
      </c>
      <c r="O12" s="60">
        <v>3</v>
      </c>
      <c r="P12" s="60">
        <v>3</v>
      </c>
      <c r="Q12" s="60">
        <v>4</v>
      </c>
      <c r="R12" s="60">
        <v>5</v>
      </c>
      <c r="S12" s="60">
        <v>23</v>
      </c>
      <c r="T12" s="60">
        <v>6</v>
      </c>
      <c r="U12" s="60">
        <v>7</v>
      </c>
      <c r="V12" s="60">
        <v>8</v>
      </c>
      <c r="W12" s="60">
        <v>9</v>
      </c>
      <c r="X12" s="60">
        <v>10</v>
      </c>
      <c r="Y12" s="60">
        <v>26</v>
      </c>
      <c r="Z12" s="60">
        <v>12</v>
      </c>
      <c r="AA12" s="60"/>
      <c r="AB12" s="60"/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59" t="s">
        <v>117</v>
      </c>
      <c r="M13" s="61"/>
      <c r="N13" s="61"/>
      <c r="O13" s="61"/>
      <c r="P13" s="61"/>
      <c r="Q13" s="61"/>
      <c r="R13" s="61" t="s">
        <v>43</v>
      </c>
      <c r="S13" s="61" t="s">
        <v>118</v>
      </c>
      <c r="T13" s="61"/>
      <c r="U13" s="61" t="s">
        <v>66</v>
      </c>
      <c r="V13" s="61" t="s">
        <v>55</v>
      </c>
      <c r="W13" s="61" t="s">
        <v>66</v>
      </c>
      <c r="X13" s="61" t="s">
        <v>82</v>
      </c>
      <c r="Y13" s="61" t="s">
        <v>123</v>
      </c>
      <c r="Z13" s="61"/>
      <c r="AA13" s="61"/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460" t="s">
        <v>124</v>
      </c>
      <c r="L14" s="275" t="str">
        <f t="shared" ref="L14:AC14" si="0">IF(OR(TRIM(L10)=0,TRIM(L10)=""),"",IF(IFERROR(TRIM(INDEX(QryItemNamed,MATCH(TRIM(L10),ITEM,0),2)),"")="Y","SPECIAL",LEFT(IFERROR(TRIM(INDEX(ITEM,MATCH(TRIM(L10),ITEM,0))),""),3)))</f>
        <v>203</v>
      </c>
      <c r="M14" s="275" t="str">
        <f t="shared" si="0"/>
        <v>204</v>
      </c>
      <c r="N14" s="275" t="str">
        <f t="shared" si="0"/>
        <v>206</v>
      </c>
      <c r="O14" s="275" t="str">
        <f t="shared" si="0"/>
        <v>206</v>
      </c>
      <c r="P14" s="275" t="str">
        <f t="shared" si="0"/>
        <v>206</v>
      </c>
      <c r="Q14" s="275" t="str">
        <f t="shared" si="0"/>
        <v>301</v>
      </c>
      <c r="R14" s="275" t="str">
        <f t="shared" si="0"/>
        <v>304</v>
      </c>
      <c r="S14" s="275" t="str">
        <f t="shared" si="0"/>
        <v>304</v>
      </c>
      <c r="T14" s="275" t="str">
        <f t="shared" si="0"/>
        <v>407</v>
      </c>
      <c r="U14" s="275" t="str">
        <f t="shared" si="0"/>
        <v>442</v>
      </c>
      <c r="V14" s="275" t="str">
        <f t="shared" si="0"/>
        <v>442</v>
      </c>
      <c r="W14" s="275" t="str">
        <f t="shared" si="0"/>
        <v>442</v>
      </c>
      <c r="X14" s="275" t="str">
        <f>IF(OR(TRIM(X10)=0,TRIM(X10)=""),"",IF(IFERROR(TRIM(INDEX(QryItemNamed,MATCH(TRIM(X10),ITEM,0),2)),"")="Y","SPECIAL",LEFT(IFERROR(TRIM(INDEX(ITEM,MATCH(TRIM(X10),ITEM,0))),""),3)))</f>
        <v>442</v>
      </c>
      <c r="Y14" s="275" t="str">
        <f>IF(OR(TRIM(Y10)=0,TRIM(Y10)=""),"",IF(IFERROR(TRIM(INDEX(QryItemNamed,MATCH(TRIM(Y10),ITEM,0),2)),"")="Y","SPECIAL",LEFT(IFERROR(TRIM(INDEX(ITEM,MATCH(TRIM(Y10),ITEM,0))),""),3)))</f>
        <v>451</v>
      </c>
      <c r="Z14" s="275" t="str">
        <f t="shared" si="0"/>
        <v>452</v>
      </c>
      <c r="AA14" s="275" t="str">
        <f t="shared" si="0"/>
        <v>SPECIAL</v>
      </c>
      <c r="AB14" s="275" t="str">
        <f t="shared" si="0"/>
        <v/>
      </c>
      <c r="AC14" s="275" t="str">
        <f t="shared" si="0"/>
        <v/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61"/>
      <c r="L15" s="477" t="str">
        <f t="shared" ref="L15" si="1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EMBANKMENT</v>
      </c>
      <c r="M15" s="477" t="str">
        <f t="shared" ref="M15:AC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PROOF ROLLING</v>
      </c>
      <c r="N15" s="477" t="str">
        <f t="shared" si="2"/>
        <v>CEMENT</v>
      </c>
      <c r="O15" s="477" t="str">
        <f t="shared" si="2"/>
        <v>CURING COAT</v>
      </c>
      <c r="P15" s="477" t="str">
        <f t="shared" si="2"/>
        <v>CEMENT STABILIZED SUBGRADE, 14 INCHES DEEP</v>
      </c>
      <c r="Q15" s="477" t="str">
        <f t="shared" si="2"/>
        <v>ASPHALT CONCRETE BASE, PG64-22, (449) (6")</v>
      </c>
      <c r="R15" s="477" t="str">
        <f t="shared" si="2"/>
        <v>AGGREGATE BASE (6")</v>
      </c>
      <c r="S15" s="477" t="str">
        <f t="shared" si="2"/>
        <v>AGGREGATE BASE (15.25")</v>
      </c>
      <c r="T15" s="477" t="str">
        <f t="shared" si="2"/>
        <v>NON-TRACKING TACK COAT (@0.09 GAL/SY)</v>
      </c>
      <c r="U15" s="477" t="str">
        <f t="shared" si="2"/>
        <v>ASPHALT CONCRETE SURFACE COURSE, 12.5 MM, TYPE A (446), AS PER PLAN</v>
      </c>
      <c r="V15" s="477" t="str">
        <f t="shared" si="2"/>
        <v>ASPHALT CONCRETE INTERMEDIATE COURSE, 12.5 MM, TYPE A (448), AS PER PLAN</v>
      </c>
      <c r="W15" s="477" t="str">
        <f t="shared" si="2"/>
        <v>ASPHALT CONCRETE SURFACE COURSE, 9.5 MM, TYPE A (449), AS PER PLAN</v>
      </c>
      <c r="X15" s="477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ASPHALT CONCRETE INTERMEDIATE COURSE, 19 MM, TYPE A (449), AS PER PLAN</v>
      </c>
      <c r="Y15" s="477" t="str">
        <f>IF(OR(TRIM(Y10)=0,TRIM(Y10)=""),IF(Y11="","",Y11),IF(IFERROR(TRIM(INDEX(QryItemNamed,MATCH(TRIM(Y10),ITEM,0),2)),"")="Y",TRIM(RIGHT(IFERROR(TRIM(INDEX(QryItemNamed,MATCH(TRIM(Y10),ITEM,0),4)),"123456789012"),LEN(IFERROR(TRIM(INDEX(QryItemNamed,MATCH(TRIM(Y10),ITEM,0),4)),"123456789012"))-9))&amp;Y11,IFERROR(TRIM(INDEX(QryItemNamed,MATCH(TRIM(Y10),ITEM,0),4))&amp;Y11,"ITEM CODE DOES NOT EXIST IN ITEM MASTER")))</f>
        <v>8" REINFORCED CONCRETE PAVEMENT, CLASS QC 1P, AS PER PLAN</v>
      </c>
      <c r="Z15" s="477" t="str">
        <f t="shared" si="2"/>
        <v>6" NON-REINFORCED CONCRETE PAVEMENT, CLASS QC 1P, AS PER PLAN</v>
      </c>
      <c r="AA15" s="477" t="str">
        <f t="shared" si="2"/>
        <v>GRASS PAVERS</v>
      </c>
      <c r="AB15" s="477" t="str">
        <f t="shared" si="2"/>
        <v/>
      </c>
      <c r="AC15" s="477" t="str">
        <f t="shared" si="2"/>
        <v/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61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61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61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61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61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61"/>
      <c r="L21" s="477"/>
      <c r="M21" s="477"/>
      <c r="N21" s="477"/>
      <c r="O21" s="477"/>
      <c r="P21" s="477"/>
      <c r="Q21" s="477"/>
      <c r="R21" s="477"/>
      <c r="S21" s="477"/>
      <c r="T21" s="477"/>
      <c r="U21" s="477"/>
      <c r="V21" s="477"/>
      <c r="W21" s="477"/>
      <c r="X21" s="477"/>
      <c r="Y21" s="477"/>
      <c r="Z21" s="477"/>
      <c r="AA21" s="477"/>
      <c r="AB21" s="477"/>
      <c r="AC21" s="477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61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7"/>
      <c r="X22" s="477"/>
      <c r="Y22" s="477"/>
      <c r="Z22" s="477"/>
      <c r="AA22" s="477"/>
      <c r="AB22" s="477"/>
      <c r="AC22" s="477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61"/>
      <c r="L23" s="477"/>
      <c r="M23" s="477"/>
      <c r="N23" s="477"/>
      <c r="O23" s="477"/>
      <c r="P23" s="477"/>
      <c r="Q23" s="477"/>
      <c r="R23" s="477"/>
      <c r="S23" s="477"/>
      <c r="T23" s="477"/>
      <c r="U23" s="477"/>
      <c r="V23" s="477"/>
      <c r="W23" s="477"/>
      <c r="X23" s="477"/>
      <c r="Y23" s="477"/>
      <c r="Z23" s="477"/>
      <c r="AA23" s="477"/>
      <c r="AB23" s="477"/>
      <c r="AC23" s="477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61"/>
      <c r="L24" s="477"/>
      <c r="M24" s="477"/>
      <c r="N24" s="477"/>
      <c r="O24" s="477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61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  <c r="AA25" s="477"/>
      <c r="AB25" s="477"/>
      <c r="AC25" s="477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61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465"/>
      <c r="L27" s="63" t="str">
        <f t="shared" ref="L27:AC27" si="3">IF(OR(TRIM(L10)=0,TRIM(L10)=""),"",IF(IFERROR(TRIM(INDEX(QryItemNamed,MATCH(TRIM(L10),ITEM,0),3)),"")="LS","",IFERROR(TRIM(INDEX(QryItemNamed,MATCH(TRIM(L10),ITEM,0),3)),"")))</f>
        <v>CY</v>
      </c>
      <c r="M27" s="63" t="str">
        <f t="shared" si="3"/>
        <v>HOUR</v>
      </c>
      <c r="N27" s="63" t="str">
        <f t="shared" si="3"/>
        <v>TON</v>
      </c>
      <c r="O27" s="63" t="str">
        <f t="shared" si="3"/>
        <v>SY</v>
      </c>
      <c r="P27" s="63" t="str">
        <f t="shared" si="3"/>
        <v>SY</v>
      </c>
      <c r="Q27" s="63" t="str">
        <f t="shared" si="3"/>
        <v>CY</v>
      </c>
      <c r="R27" s="63" t="str">
        <f t="shared" si="3"/>
        <v>CY</v>
      </c>
      <c r="S27" s="63" t="str">
        <f t="shared" si="3"/>
        <v>CY</v>
      </c>
      <c r="T27" s="63" t="str">
        <f t="shared" si="3"/>
        <v>GAL</v>
      </c>
      <c r="U27" s="63" t="str">
        <f t="shared" si="3"/>
        <v>CY</v>
      </c>
      <c r="V27" s="63" t="str">
        <f t="shared" si="3"/>
        <v>CY</v>
      </c>
      <c r="W27" s="63" t="str">
        <f t="shared" si="3"/>
        <v>CY</v>
      </c>
      <c r="X27" s="63" t="str">
        <f t="shared" si="3"/>
        <v>CY</v>
      </c>
      <c r="Y27" s="63" t="str">
        <f t="shared" si="3"/>
        <v>SY</v>
      </c>
      <c r="Z27" s="63" t="str">
        <f t="shared" si="3"/>
        <v>SY</v>
      </c>
      <c r="AA27" s="63" t="str">
        <f t="shared" si="3"/>
        <v>SY</v>
      </c>
      <c r="AB27" s="63" t="str">
        <f t="shared" si="3"/>
        <v/>
      </c>
      <c r="AC27" s="63" t="str">
        <f t="shared" si="3"/>
        <v/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204"/>
      <c r="L28" s="204"/>
      <c r="M28" s="66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</row>
    <row r="29" spans="2:31" ht="12.75" customHeight="1" x14ac:dyDescent="0.25">
      <c r="B29" s="42"/>
      <c r="D29" s="242"/>
      <c r="E29" s="447" t="s">
        <v>106</v>
      </c>
      <c r="F29" s="447"/>
      <c r="G29" s="142"/>
      <c r="H29" s="123"/>
      <c r="I29" s="123"/>
      <c r="J29" s="123"/>
      <c r="K29" s="143"/>
      <c r="L29" s="143"/>
      <c r="M29" s="12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</row>
    <row r="30" spans="2:31" ht="12.75" customHeight="1" x14ac:dyDescent="0.25">
      <c r="B30" s="42"/>
      <c r="D30" s="212" t="s">
        <v>120</v>
      </c>
      <c r="E30" s="213">
        <v>174148.73</v>
      </c>
      <c r="F30" s="213">
        <v>174480</v>
      </c>
      <c r="G30" s="230" t="s">
        <v>34</v>
      </c>
      <c r="H30" s="214">
        <f>F30-E30</f>
        <v>331.26999999998952</v>
      </c>
      <c r="I30" s="214">
        <f>J30/H30</f>
        <v>46.219307513510081</v>
      </c>
      <c r="J30" s="214">
        <v>15311.07</v>
      </c>
      <c r="K30" s="149" t="str">
        <f>IF(D30="","",IF(ISNUMBER(SEARCH("SUP",D30)),"04","01"))</f>
        <v>01</v>
      </c>
      <c r="L30" s="149"/>
      <c r="M30" s="215">
        <f>J30/9/2000</f>
        <v>0.85061500000000001</v>
      </c>
      <c r="N30" s="149">
        <f t="shared" ref="N30" si="4">P30*0.75*14*115*0.05/2000</f>
        <v>51.355880625000005</v>
      </c>
      <c r="O30" s="149">
        <f t="shared" ref="O30" si="5">P30</f>
        <v>1701.23</v>
      </c>
      <c r="P30" s="149">
        <f>J30/9</f>
        <v>1701.23</v>
      </c>
      <c r="Q30" s="149">
        <f>(J30*(6/12))/27</f>
        <v>283.53833333333336</v>
      </c>
      <c r="R30" s="149">
        <f>Q30</f>
        <v>283.53833333333336</v>
      </c>
      <c r="S30" s="205"/>
      <c r="T30" s="205">
        <f>(J30/9)*0.09*2</f>
        <v>306.22140000000002</v>
      </c>
      <c r="U30" s="205">
        <f>(J30*(1.5/12))/27</f>
        <v>70.884583333333339</v>
      </c>
      <c r="V30" s="205">
        <f>(J30*(1.75/12))/27</f>
        <v>82.698680555555555</v>
      </c>
      <c r="W30" s="205"/>
      <c r="X30" s="151"/>
      <c r="Y30" s="151"/>
      <c r="Z30" s="151"/>
      <c r="AA30" s="143"/>
      <c r="AB30" s="143"/>
      <c r="AC30" s="143"/>
      <c r="AE30" s="424"/>
    </row>
    <row r="31" spans="2:31" ht="12.75" customHeight="1" x14ac:dyDescent="0.25">
      <c r="B31" s="42"/>
      <c r="D31" s="216" t="s">
        <v>28</v>
      </c>
      <c r="E31" s="217">
        <f>E30</f>
        <v>174148.73</v>
      </c>
      <c r="F31" s="217">
        <f>F30</f>
        <v>174480</v>
      </c>
      <c r="G31" s="218" t="s">
        <v>34</v>
      </c>
      <c r="H31" s="219">
        <f>F31-E31</f>
        <v>331.26999999998952</v>
      </c>
      <c r="I31" s="219"/>
      <c r="J31" s="219"/>
      <c r="K31" s="149" t="str">
        <f t="shared" ref="K31:K88" si="6">IF(D31="","",IF(ISNUMBER(SEARCH("SUP",D31)),"04","01"))</f>
        <v>01</v>
      </c>
      <c r="L31" s="220"/>
      <c r="M31" s="221">
        <f>(H31*1.5)/9/2000</f>
        <v>2.7605833333332459E-2</v>
      </c>
      <c r="N31" s="220">
        <f>P31*0.75*14*115*0.05/2000</f>
        <v>3.3334043749998949</v>
      </c>
      <c r="O31" s="220">
        <f>P31</f>
        <v>110.42333333332984</v>
      </c>
      <c r="P31" s="220">
        <f>(H31*1.5/9)*2</f>
        <v>110.42333333332984</v>
      </c>
      <c r="Q31" s="220">
        <f>((H31*(6/12)*(4/12))/27)*2</f>
        <v>4.0897530864196234</v>
      </c>
      <c r="R31" s="220">
        <f>((H31*(6/12)*(10/12))/27)*2</f>
        <v>10.22438271604906</v>
      </c>
      <c r="S31" s="220"/>
      <c r="T31" s="222"/>
      <c r="U31" s="222"/>
      <c r="V31" s="222"/>
      <c r="W31" s="175"/>
      <c r="X31" s="245"/>
      <c r="Y31" s="245"/>
      <c r="Z31" s="245"/>
      <c r="AA31" s="143"/>
      <c r="AB31" s="143"/>
      <c r="AC31" s="143"/>
      <c r="AE31" s="424"/>
    </row>
    <row r="32" spans="2:31" ht="12.75" customHeight="1" x14ac:dyDescent="0.25">
      <c r="B32" s="42"/>
      <c r="D32" s="153" t="s">
        <v>95</v>
      </c>
      <c r="E32" s="232">
        <v>174148.73</v>
      </c>
      <c r="F32" s="232">
        <v>174183.84</v>
      </c>
      <c r="G32" s="155" t="s">
        <v>32</v>
      </c>
      <c r="H32" s="156">
        <f>(F32-E32)+19</f>
        <v>54.10999999998603</v>
      </c>
      <c r="I32" s="156">
        <f>J32/H32</f>
        <v>6.454629458512108</v>
      </c>
      <c r="J32" s="156">
        <v>349.26</v>
      </c>
      <c r="K32" s="149" t="str">
        <f t="shared" si="6"/>
        <v>04</v>
      </c>
      <c r="L32" s="152"/>
      <c r="M32" s="98"/>
      <c r="N32" s="152">
        <f t="shared" ref="N32:N33" si="7">P32*0.75*14*115*0.05/2000</f>
        <v>1.17147625</v>
      </c>
      <c r="O32" s="152">
        <f t="shared" ref="O32:O33" si="8">P32</f>
        <v>38.806666666666665</v>
      </c>
      <c r="P32" s="152">
        <f>J32/9</f>
        <v>38.806666666666665</v>
      </c>
      <c r="Q32" s="152"/>
      <c r="R32" s="152">
        <f>(J32*(6/12))/27</f>
        <v>6.4677777777777772</v>
      </c>
      <c r="S32" s="152"/>
      <c r="T32" s="152"/>
      <c r="U32" s="157"/>
      <c r="V32" s="157"/>
      <c r="W32" s="157">
        <f>(J32*(1.5/12))/27</f>
        <v>1.6169444444444443</v>
      </c>
      <c r="X32" s="157">
        <f>(J32*(2.5/12))/27</f>
        <v>2.6949074074074075</v>
      </c>
      <c r="Y32" s="157"/>
      <c r="Z32" s="222"/>
      <c r="AA32" s="222"/>
      <c r="AB32" s="222"/>
      <c r="AC32" s="222"/>
      <c r="AE32" s="424"/>
    </row>
    <row r="33" spans="2:31" ht="12.75" customHeight="1" x14ac:dyDescent="0.25">
      <c r="B33" s="42"/>
      <c r="D33" s="158" t="s">
        <v>71</v>
      </c>
      <c r="E33" s="162">
        <f>E32</f>
        <v>174148.73</v>
      </c>
      <c r="F33" s="162">
        <f>F32</f>
        <v>174183.84</v>
      </c>
      <c r="G33" s="163" t="s">
        <v>32</v>
      </c>
      <c r="H33" s="159">
        <f>H32</f>
        <v>54.10999999998603</v>
      </c>
      <c r="I33" s="159"/>
      <c r="J33" s="159"/>
      <c r="K33" s="149" t="str">
        <f t="shared" si="6"/>
        <v>04</v>
      </c>
      <c r="L33" s="160"/>
      <c r="M33" s="169"/>
      <c r="N33" s="160">
        <f t="shared" si="7"/>
        <v>0.54448187499985945</v>
      </c>
      <c r="O33" s="160">
        <f t="shared" si="8"/>
        <v>18.036666666662011</v>
      </c>
      <c r="P33" s="160">
        <f>(H33*1.5/9)*2</f>
        <v>18.036666666662011</v>
      </c>
      <c r="Q33" s="160"/>
      <c r="R33" s="160">
        <f>((H33*(6/12)*(6/12))/27)*2</f>
        <v>1.0020370370367784</v>
      </c>
      <c r="S33" s="161"/>
      <c r="T33" s="160"/>
      <c r="U33" s="160"/>
      <c r="V33" s="160"/>
      <c r="W33" s="161"/>
      <c r="X33" s="161"/>
      <c r="Y33" s="161"/>
      <c r="Z33" s="261"/>
      <c r="AA33" s="261"/>
      <c r="AB33" s="261"/>
      <c r="AC33" s="261"/>
      <c r="AE33" s="424"/>
    </row>
    <row r="34" spans="2:31" ht="12.75" customHeight="1" x14ac:dyDescent="0.25">
      <c r="B34" s="42"/>
      <c r="D34" s="153" t="s">
        <v>95</v>
      </c>
      <c r="E34" s="232">
        <v>174214.24</v>
      </c>
      <c r="F34" s="232">
        <v>174297.12</v>
      </c>
      <c r="G34" s="155" t="s">
        <v>32</v>
      </c>
      <c r="H34" s="156">
        <f>(F34-E34)+19</f>
        <v>101.88000000000466</v>
      </c>
      <c r="I34" s="156">
        <f>J34/H34</f>
        <v>8.1363368669018659</v>
      </c>
      <c r="J34" s="156">
        <v>828.93</v>
      </c>
      <c r="K34" s="149" t="str">
        <f t="shared" si="6"/>
        <v>04</v>
      </c>
      <c r="L34" s="152"/>
      <c r="M34" s="98"/>
      <c r="N34" s="152">
        <f t="shared" ref="N34:N37" si="9">P34*0.75*14*115*0.05/2000</f>
        <v>2.7803693749999998</v>
      </c>
      <c r="O34" s="152">
        <f t="shared" ref="O34:O37" si="10">P34</f>
        <v>92.103333333333325</v>
      </c>
      <c r="P34" s="152">
        <f>J34/9</f>
        <v>92.103333333333325</v>
      </c>
      <c r="Q34" s="152"/>
      <c r="R34" s="152">
        <f>(J34*(6/12))/27</f>
        <v>15.350555555555555</v>
      </c>
      <c r="S34" s="152"/>
      <c r="T34" s="152"/>
      <c r="U34" s="157"/>
      <c r="V34" s="157"/>
      <c r="W34" s="157">
        <f>(J34*(1.5/12))/27</f>
        <v>3.8376388888888888</v>
      </c>
      <c r="X34" s="157">
        <f>(J34*(2.5/12))/27</f>
        <v>6.3960648148148147</v>
      </c>
      <c r="Y34" s="157"/>
      <c r="Z34" s="267"/>
      <c r="AA34" s="267"/>
      <c r="AB34" s="267"/>
      <c r="AC34" s="267"/>
      <c r="AE34" s="424"/>
    </row>
    <row r="35" spans="2:31" ht="12.75" customHeight="1" x14ac:dyDescent="0.25">
      <c r="B35" s="42"/>
      <c r="D35" s="158" t="s">
        <v>71</v>
      </c>
      <c r="E35" s="162">
        <f>E34</f>
        <v>174214.24</v>
      </c>
      <c r="F35" s="162">
        <f>F34</f>
        <v>174297.12</v>
      </c>
      <c r="G35" s="163" t="s">
        <v>32</v>
      </c>
      <c r="H35" s="159">
        <f>H34</f>
        <v>101.88000000000466</v>
      </c>
      <c r="I35" s="159"/>
      <c r="J35" s="159"/>
      <c r="K35" s="149" t="str">
        <f t="shared" si="6"/>
        <v>04</v>
      </c>
      <c r="L35" s="160"/>
      <c r="M35" s="169"/>
      <c r="N35" s="160">
        <f t="shared" si="9"/>
        <v>1.0251675000000469</v>
      </c>
      <c r="O35" s="160">
        <f t="shared" si="10"/>
        <v>33.96000000000155</v>
      </c>
      <c r="P35" s="160">
        <f>(H35*1.5/9)*2</f>
        <v>33.96000000000155</v>
      </c>
      <c r="Q35" s="160"/>
      <c r="R35" s="160">
        <f>((H35*(6/12)*(6/12))/27)*2</f>
        <v>1.8866666666667529</v>
      </c>
      <c r="S35" s="161"/>
      <c r="T35" s="160"/>
      <c r="U35" s="160"/>
      <c r="V35" s="160"/>
      <c r="W35" s="161"/>
      <c r="X35" s="161"/>
      <c r="Y35" s="161"/>
      <c r="Z35" s="253"/>
      <c r="AA35" s="143"/>
      <c r="AB35" s="143"/>
      <c r="AC35" s="143"/>
      <c r="AE35" s="424"/>
    </row>
    <row r="36" spans="2:31" ht="12.75" customHeight="1" x14ac:dyDescent="0.25">
      <c r="B36" s="42"/>
      <c r="D36" s="153" t="s">
        <v>95</v>
      </c>
      <c r="E36" s="232">
        <v>174317.66</v>
      </c>
      <c r="F36" s="232">
        <v>174457.13</v>
      </c>
      <c r="G36" s="155" t="s">
        <v>32</v>
      </c>
      <c r="H36" s="156">
        <f>(F36-E36)+19</f>
        <v>158.47000000000116</v>
      </c>
      <c r="I36" s="156">
        <f>J36/H36</f>
        <v>8.8459645358742325</v>
      </c>
      <c r="J36" s="156">
        <v>1401.82</v>
      </c>
      <c r="K36" s="149" t="str">
        <f t="shared" si="6"/>
        <v>04</v>
      </c>
      <c r="L36" s="152"/>
      <c r="M36" s="98"/>
      <c r="N36" s="152">
        <f t="shared" si="9"/>
        <v>4.7019379166666662</v>
      </c>
      <c r="O36" s="152">
        <f t="shared" si="10"/>
        <v>155.75777777777776</v>
      </c>
      <c r="P36" s="152">
        <f>J36/9</f>
        <v>155.75777777777776</v>
      </c>
      <c r="Q36" s="152"/>
      <c r="R36" s="152">
        <f>(J36*(6/12))/27</f>
        <v>25.959629629629628</v>
      </c>
      <c r="S36" s="152"/>
      <c r="T36" s="152"/>
      <c r="U36" s="157"/>
      <c r="V36" s="157"/>
      <c r="W36" s="157">
        <f>(J36*(1.5/12))/27</f>
        <v>6.489907407407407</v>
      </c>
      <c r="X36" s="157">
        <f>(J36*(2.5/12))/27</f>
        <v>10.816512345679014</v>
      </c>
      <c r="Y36" s="157"/>
      <c r="Z36" s="253"/>
      <c r="AA36" s="143"/>
      <c r="AB36" s="143"/>
      <c r="AC36" s="143"/>
      <c r="AE36" s="424"/>
    </row>
    <row r="37" spans="2:31" ht="12.75" customHeight="1" x14ac:dyDescent="0.25">
      <c r="B37" s="42"/>
      <c r="D37" s="158" t="s">
        <v>71</v>
      </c>
      <c r="E37" s="162">
        <f>E36</f>
        <v>174317.66</v>
      </c>
      <c r="F37" s="162">
        <f>F36</f>
        <v>174457.13</v>
      </c>
      <c r="G37" s="163" t="s">
        <v>32</v>
      </c>
      <c r="H37" s="159">
        <f>H36</f>
        <v>158.47000000000116</v>
      </c>
      <c r="I37" s="159"/>
      <c r="J37" s="159"/>
      <c r="K37" s="149" t="str">
        <f t="shared" si="6"/>
        <v>04</v>
      </c>
      <c r="L37" s="160"/>
      <c r="M37" s="169"/>
      <c r="N37" s="160">
        <f t="shared" si="9"/>
        <v>1.5946043750000116</v>
      </c>
      <c r="O37" s="160">
        <f t="shared" si="10"/>
        <v>52.823333333333721</v>
      </c>
      <c r="P37" s="160">
        <f>(H37*1.5/9)*2</f>
        <v>52.823333333333721</v>
      </c>
      <c r="Q37" s="160"/>
      <c r="R37" s="160">
        <f>((H37*(6/12)*(6/12))/27)*2</f>
        <v>2.9346296296296512</v>
      </c>
      <c r="S37" s="161"/>
      <c r="T37" s="160"/>
      <c r="U37" s="160"/>
      <c r="V37" s="160"/>
      <c r="W37" s="161"/>
      <c r="X37" s="161"/>
      <c r="Y37" s="161"/>
      <c r="Z37" s="237"/>
      <c r="AA37" s="143"/>
      <c r="AB37" s="143"/>
      <c r="AC37" s="143"/>
      <c r="AE37" s="424"/>
    </row>
    <row r="38" spans="2:31" ht="12.75" customHeight="1" x14ac:dyDescent="0.25">
      <c r="B38" s="42"/>
      <c r="D38" s="144"/>
      <c r="E38" s="145"/>
      <c r="F38" s="145"/>
      <c r="G38" s="146"/>
      <c r="H38" s="147"/>
      <c r="I38" s="147"/>
      <c r="J38" s="147"/>
      <c r="K38" s="149" t="str">
        <f>IF(D38="","",IF(ISNUMBER(SEARCH("SUP",D38)),"04","01"))</f>
        <v/>
      </c>
      <c r="L38" s="148"/>
      <c r="M38" s="240"/>
      <c r="N38" s="235"/>
      <c r="O38" s="235"/>
      <c r="P38" s="235"/>
      <c r="Q38" s="235"/>
      <c r="R38" s="235"/>
      <c r="S38" s="235"/>
      <c r="T38" s="237"/>
      <c r="U38" s="237"/>
      <c r="V38" s="237"/>
      <c r="W38" s="237"/>
      <c r="X38" s="237"/>
      <c r="Y38" s="237"/>
      <c r="Z38" s="237"/>
      <c r="AA38" s="143"/>
      <c r="AB38" s="143"/>
      <c r="AC38" s="143"/>
    </row>
    <row r="39" spans="2:31" ht="12.75" customHeight="1" x14ac:dyDescent="0.25">
      <c r="B39" s="42"/>
      <c r="D39" s="158"/>
      <c r="E39" s="162"/>
      <c r="F39" s="162"/>
      <c r="G39" s="163"/>
      <c r="H39" s="159"/>
      <c r="I39" s="159"/>
      <c r="J39" s="159"/>
      <c r="K39" s="149" t="str">
        <f t="shared" si="6"/>
        <v/>
      </c>
      <c r="L39" s="160"/>
      <c r="M39" s="169"/>
      <c r="N39" s="160"/>
      <c r="O39" s="160"/>
      <c r="P39" s="160"/>
      <c r="Q39" s="160"/>
      <c r="R39" s="160"/>
      <c r="S39" s="161"/>
      <c r="T39" s="160"/>
      <c r="U39" s="160"/>
      <c r="V39" s="160"/>
      <c r="W39" s="161"/>
      <c r="X39" s="161"/>
      <c r="Y39" s="161"/>
      <c r="Z39" s="143"/>
      <c r="AA39" s="143"/>
      <c r="AB39" s="143"/>
      <c r="AC39" s="143"/>
    </row>
    <row r="40" spans="2:31" ht="12.75" customHeight="1" x14ac:dyDescent="0.25">
      <c r="B40" s="42"/>
      <c r="D40" s="242"/>
      <c r="E40" s="447" t="s">
        <v>112</v>
      </c>
      <c r="F40" s="447"/>
      <c r="G40" s="142"/>
      <c r="H40" s="123"/>
      <c r="I40" s="123"/>
      <c r="J40" s="123"/>
      <c r="K40" s="149" t="str">
        <f t="shared" si="6"/>
        <v/>
      </c>
      <c r="L40" s="143"/>
      <c r="M40" s="12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</row>
    <row r="41" spans="2:31" ht="12.75" customHeight="1" x14ac:dyDescent="0.25">
      <c r="B41" s="42"/>
      <c r="D41" s="212" t="s">
        <v>120</v>
      </c>
      <c r="E41" s="213">
        <v>20000</v>
      </c>
      <c r="F41" s="213">
        <v>20457.7</v>
      </c>
      <c r="G41" s="230" t="s">
        <v>34</v>
      </c>
      <c r="H41" s="214">
        <f>F41-E41</f>
        <v>457.70000000000073</v>
      </c>
      <c r="I41" s="214">
        <f>J41/H41</f>
        <v>30.953615905614981</v>
      </c>
      <c r="J41" s="214">
        <v>14167.47</v>
      </c>
      <c r="K41" s="149" t="str">
        <f t="shared" si="6"/>
        <v>01</v>
      </c>
      <c r="L41" s="149"/>
      <c r="M41" s="215">
        <f>J41/9/2000</f>
        <v>0.78708166666666657</v>
      </c>
      <c r="N41" s="149">
        <f>P41*0.75*14*115*0.05/2000</f>
        <v>47.520055625000005</v>
      </c>
      <c r="O41" s="149">
        <f>P41</f>
        <v>1574.1633333333332</v>
      </c>
      <c r="P41" s="149">
        <f>J41/9</f>
        <v>1574.1633333333332</v>
      </c>
      <c r="Q41" s="149">
        <f>(J41*(6/12))/27</f>
        <v>262.36055555555555</v>
      </c>
      <c r="R41" s="149">
        <f>Q41</f>
        <v>262.36055555555555</v>
      </c>
      <c r="S41" s="205"/>
      <c r="T41" s="205">
        <f>(J41/9)*0.09*2</f>
        <v>283.34939999999995</v>
      </c>
      <c r="U41" s="205">
        <f>(J41*(1.5/12))/27</f>
        <v>65.590138888888887</v>
      </c>
      <c r="V41" s="205">
        <f>(J41*(1.75/12))/27</f>
        <v>76.521828703703704</v>
      </c>
      <c r="W41" s="205"/>
      <c r="X41" s="151"/>
      <c r="Y41" s="151"/>
      <c r="Z41" s="151"/>
      <c r="AA41" s="143"/>
      <c r="AB41" s="143"/>
      <c r="AC41" s="143"/>
      <c r="AE41" s="424"/>
    </row>
    <row r="42" spans="2:31" ht="12.75" customHeight="1" x14ac:dyDescent="0.25">
      <c r="B42" s="42"/>
      <c r="D42" s="170" t="s">
        <v>29</v>
      </c>
      <c r="E42" s="171">
        <f>E41</f>
        <v>20000</v>
      </c>
      <c r="F42" s="171">
        <f>F41</f>
        <v>20457.7</v>
      </c>
      <c r="G42" s="227" t="s">
        <v>33</v>
      </c>
      <c r="H42" s="172">
        <v>337.26</v>
      </c>
      <c r="I42" s="172">
        <v>2.5</v>
      </c>
      <c r="J42" s="172">
        <v>749.79</v>
      </c>
      <c r="K42" s="149" t="str">
        <f t="shared" si="6"/>
        <v>01</v>
      </c>
      <c r="L42" s="173"/>
      <c r="M42" s="174">
        <f>(J42/9/2000)+(H42*1)/9/2000</f>
        <v>6.039166666666667E-2</v>
      </c>
      <c r="N42" s="173">
        <f t="shared" ref="N42" si="11">P42*0.75*14*115*0.05/2000</f>
        <v>3.6461468750000008</v>
      </c>
      <c r="O42" s="173">
        <f t="shared" ref="O42:O46" si="12">P42</f>
        <v>120.78333333333333</v>
      </c>
      <c r="P42" s="173">
        <f>(J42/9)+((H42*(12/12)/9))</f>
        <v>120.78333333333333</v>
      </c>
      <c r="Q42" s="173"/>
      <c r="R42" s="173">
        <f>((J42*(6/12))/27)+((H42*(6/12)*(12/12))/27)</f>
        <v>20.130555555555556</v>
      </c>
      <c r="S42" s="175"/>
      <c r="T42" s="175"/>
      <c r="U42" s="175"/>
      <c r="V42" s="175"/>
      <c r="W42" s="175"/>
      <c r="X42" s="245"/>
      <c r="Y42" s="245"/>
      <c r="Z42" s="245"/>
      <c r="AA42" s="143"/>
      <c r="AB42" s="143"/>
      <c r="AC42" s="143"/>
      <c r="AE42" s="424"/>
    </row>
    <row r="43" spans="2:31" ht="12.75" customHeight="1" x14ac:dyDescent="0.25">
      <c r="B43" s="42"/>
      <c r="D43" s="216" t="s">
        <v>107</v>
      </c>
      <c r="E43" s="217">
        <v>20000</v>
      </c>
      <c r="F43" s="217">
        <v>20457.7</v>
      </c>
      <c r="G43" s="218" t="s">
        <v>32</v>
      </c>
      <c r="H43" s="219">
        <v>326.72000000000003</v>
      </c>
      <c r="I43" s="219">
        <v>0.5</v>
      </c>
      <c r="J43" s="219">
        <v>319.85000000000002</v>
      </c>
      <c r="K43" s="149" t="str">
        <f t="shared" si="6"/>
        <v>01</v>
      </c>
      <c r="L43" s="220"/>
      <c r="M43" s="221">
        <f>(J43/9/2000)+(H43*1)/9/2000</f>
        <v>3.592055555555556E-2</v>
      </c>
      <c r="N43" s="220">
        <f>P43*0.75*14*115*0.05/2000</f>
        <v>1.0728302083333334</v>
      </c>
      <c r="O43" s="220">
        <f t="shared" si="12"/>
        <v>35.538888888888891</v>
      </c>
      <c r="P43" s="220">
        <f>(J43/9)</f>
        <v>35.538888888888891</v>
      </c>
      <c r="Q43" s="220"/>
      <c r="R43" s="220">
        <f>((J43*(6/12))/27)</f>
        <v>5.9231481481481483</v>
      </c>
      <c r="S43" s="222"/>
      <c r="T43" s="220"/>
      <c r="U43" s="220"/>
      <c r="V43" s="220"/>
      <c r="W43" s="222"/>
      <c r="X43" s="222"/>
      <c r="Y43" s="222"/>
      <c r="Z43" s="222"/>
      <c r="AA43" s="143"/>
      <c r="AB43" s="143"/>
      <c r="AC43" s="143"/>
      <c r="AE43" s="424"/>
    </row>
    <row r="44" spans="2:31" ht="12.75" customHeight="1" x14ac:dyDescent="0.25">
      <c r="B44" s="42"/>
      <c r="D44" s="254" t="s">
        <v>51</v>
      </c>
      <c r="E44" s="256">
        <v>20000</v>
      </c>
      <c r="F44" s="256">
        <v>20457.7</v>
      </c>
      <c r="G44" s="257" t="s">
        <v>32</v>
      </c>
      <c r="H44" s="258">
        <f t="shared" ref="H44:H45" si="13">F44-E44</f>
        <v>457.70000000000073</v>
      </c>
      <c r="I44" s="258"/>
      <c r="J44" s="258">
        <v>4005.99</v>
      </c>
      <c r="K44" s="149" t="str">
        <f t="shared" si="6"/>
        <v>01</v>
      </c>
      <c r="L44" s="259"/>
      <c r="M44" s="260">
        <f>(J44/9/2000)+(H44*1)/9/2000</f>
        <v>0.2479827777777778</v>
      </c>
      <c r="N44" s="259">
        <f t="shared" ref="N44:N45" si="14">P44*0.75*14*115*0.05/2000</f>
        <v>13.436758125000001</v>
      </c>
      <c r="O44" s="259">
        <f t="shared" si="12"/>
        <v>445.10999999999996</v>
      </c>
      <c r="P44" s="259">
        <f>(J44/9)</f>
        <v>445.10999999999996</v>
      </c>
      <c r="Q44" s="259"/>
      <c r="R44" s="259">
        <f>((J44*(6/12))/27)</f>
        <v>74.185000000000002</v>
      </c>
      <c r="S44" s="261"/>
      <c r="T44" s="259"/>
      <c r="U44" s="259"/>
      <c r="V44" s="259"/>
      <c r="W44" s="261"/>
      <c r="X44" s="261"/>
      <c r="Y44" s="261">
        <f>J44/9</f>
        <v>445.10999999999996</v>
      </c>
      <c r="Z44" s="261"/>
      <c r="AA44" s="143"/>
      <c r="AB44" s="143"/>
      <c r="AC44" s="143"/>
      <c r="AE44" s="424"/>
    </row>
    <row r="45" spans="2:31" ht="12.75" customHeight="1" x14ac:dyDescent="0.25">
      <c r="B45" s="42"/>
      <c r="D45" s="255" t="s">
        <v>108</v>
      </c>
      <c r="E45" s="262">
        <v>20000</v>
      </c>
      <c r="F45" s="262">
        <v>20457.7</v>
      </c>
      <c r="G45" s="263" t="s">
        <v>32</v>
      </c>
      <c r="H45" s="264">
        <f t="shared" si="13"/>
        <v>457.70000000000073</v>
      </c>
      <c r="I45" s="264"/>
      <c r="J45" s="264">
        <v>109.17</v>
      </c>
      <c r="K45" s="149" t="str">
        <f t="shared" si="6"/>
        <v>01</v>
      </c>
      <c r="L45" s="265"/>
      <c r="M45" s="266">
        <f>(J45/9/2000)+(H45*1)/9/2000</f>
        <v>3.1492777777777821E-2</v>
      </c>
      <c r="N45" s="265">
        <f t="shared" si="14"/>
        <v>3.4365785416666719</v>
      </c>
      <c r="O45" s="265">
        <f t="shared" si="12"/>
        <v>113.84111111111127</v>
      </c>
      <c r="P45" s="265">
        <f>(J45/9)+((H45*(12/12)/9)*2)</f>
        <v>113.84111111111127</v>
      </c>
      <c r="Q45" s="265"/>
      <c r="R45" s="265">
        <f>((J45*(6/12))/27)+((H45*(6/12)*(12/12))/27)</f>
        <v>10.497592592592605</v>
      </c>
      <c r="S45" s="267"/>
      <c r="T45" s="265"/>
      <c r="U45" s="265"/>
      <c r="V45" s="265"/>
      <c r="W45" s="267"/>
      <c r="X45" s="267"/>
      <c r="Y45" s="267"/>
      <c r="Z45" s="267"/>
      <c r="AA45" s="143"/>
      <c r="AB45" s="143"/>
      <c r="AC45" s="143"/>
      <c r="AE45" s="424"/>
    </row>
    <row r="46" spans="2:31" ht="12.75" customHeight="1" x14ac:dyDescent="0.25">
      <c r="B46" s="42"/>
      <c r="D46" s="244" t="s">
        <v>72</v>
      </c>
      <c r="E46" s="248">
        <v>20386.29</v>
      </c>
      <c r="F46" s="248">
        <v>20406.09</v>
      </c>
      <c r="G46" s="249" t="s">
        <v>33</v>
      </c>
      <c r="H46" s="250">
        <f>F46-E46</f>
        <v>19.799999999999272</v>
      </c>
      <c r="I46" s="250">
        <v>0.5</v>
      </c>
      <c r="J46" s="250">
        <v>40.590000000000003</v>
      </c>
      <c r="K46" s="149" t="str">
        <f t="shared" si="6"/>
        <v>01</v>
      </c>
      <c r="L46" s="251"/>
      <c r="M46" s="252">
        <f>(J46/9/2000)+(H46*1)/9/2000</f>
        <v>3.3549999999999604E-3</v>
      </c>
      <c r="N46" s="251">
        <f>P46*0.75*14*115*0.05/2000</f>
        <v>0.13614562500000002</v>
      </c>
      <c r="O46" s="251">
        <f t="shared" si="12"/>
        <v>4.5100000000000007</v>
      </c>
      <c r="P46" s="251">
        <f>(J46/9)</f>
        <v>4.5100000000000007</v>
      </c>
      <c r="Q46" s="251"/>
      <c r="R46" s="251">
        <f>((J46*(6/12))/27)+((H46*(6/12)*(12/12))/27)</f>
        <v>1.1183333333333199</v>
      </c>
      <c r="S46" s="253"/>
      <c r="T46" s="251"/>
      <c r="U46" s="251"/>
      <c r="V46" s="251"/>
      <c r="W46" s="253"/>
      <c r="X46" s="253"/>
      <c r="Y46" s="253"/>
      <c r="Z46" s="253"/>
      <c r="AA46" s="143"/>
      <c r="AB46" s="143"/>
      <c r="AC46" s="143"/>
      <c r="AE46" s="424"/>
    </row>
    <row r="47" spans="2:31" ht="12.75" customHeight="1" x14ac:dyDescent="0.25">
      <c r="B47" s="42"/>
      <c r="D47" s="231" t="s">
        <v>30</v>
      </c>
      <c r="E47" s="232">
        <v>20386.29</v>
      </c>
      <c r="F47" s="232">
        <v>20406.09</v>
      </c>
      <c r="G47" s="233" t="s">
        <v>33</v>
      </c>
      <c r="H47" s="234">
        <f>F47-E47</f>
        <v>19.799999999999272</v>
      </c>
      <c r="I47" s="234">
        <f>J47/H47</f>
        <v>8.625757575757893</v>
      </c>
      <c r="J47" s="234">
        <v>170.79</v>
      </c>
      <c r="K47" s="149" t="str">
        <f t="shared" si="6"/>
        <v>01</v>
      </c>
      <c r="L47" s="235"/>
      <c r="M47" s="240">
        <f>(J47/9/2000)+(127.26/9/2000)</f>
        <v>1.6558333333333335E-2</v>
      </c>
      <c r="N47" s="235">
        <f>P47*0.75*14*115*0.05/2000</f>
        <v>0.9997093749999999</v>
      </c>
      <c r="O47" s="235">
        <f>P47</f>
        <v>33.116666666666667</v>
      </c>
      <c r="P47" s="235">
        <f>(J47/9)+(127.26/9)</f>
        <v>33.116666666666667</v>
      </c>
      <c r="Q47" s="235"/>
      <c r="R47" s="235"/>
      <c r="S47" s="235">
        <f>((J47*(15.25/12))/27)+((127.26*(4.25/12))/27)</f>
        <v>9.7080324074074049</v>
      </c>
      <c r="T47" s="237"/>
      <c r="U47" s="237"/>
      <c r="V47" s="237"/>
      <c r="W47" s="237"/>
      <c r="X47" s="237"/>
      <c r="Y47" s="237"/>
      <c r="Z47" s="237">
        <f>P47</f>
        <v>33.116666666666667</v>
      </c>
      <c r="AA47" s="143"/>
      <c r="AB47" s="143"/>
      <c r="AC47" s="143"/>
      <c r="AE47" s="424"/>
    </row>
    <row r="48" spans="2:31" ht="12.75" customHeight="1" x14ac:dyDescent="0.25">
      <c r="B48" s="42"/>
      <c r="D48" s="144"/>
      <c r="E48" s="145"/>
      <c r="F48" s="145"/>
      <c r="G48" s="146"/>
      <c r="H48" s="147"/>
      <c r="I48" s="147"/>
      <c r="J48" s="147"/>
      <c r="K48" s="149" t="str">
        <f t="shared" si="6"/>
        <v/>
      </c>
      <c r="L48" s="148"/>
      <c r="M48" s="240"/>
      <c r="N48" s="235"/>
      <c r="O48" s="235"/>
      <c r="P48" s="235"/>
      <c r="Q48" s="235"/>
      <c r="R48" s="235"/>
      <c r="S48" s="235"/>
      <c r="T48" s="237"/>
      <c r="U48" s="237"/>
      <c r="V48" s="237"/>
      <c r="W48" s="237"/>
      <c r="X48" s="237"/>
      <c r="Y48" s="237"/>
      <c r="Z48" s="237"/>
      <c r="AA48" s="143"/>
      <c r="AB48" s="143"/>
      <c r="AC48" s="143"/>
    </row>
    <row r="49" spans="2:31" ht="12.75" customHeight="1" x14ac:dyDescent="0.25">
      <c r="B49" s="42"/>
      <c r="D49" s="158"/>
      <c r="E49" s="162"/>
      <c r="F49" s="162"/>
      <c r="G49" s="163"/>
      <c r="H49" s="159"/>
      <c r="I49" s="159"/>
      <c r="J49" s="159"/>
      <c r="K49" s="149" t="str">
        <f t="shared" si="6"/>
        <v/>
      </c>
      <c r="L49" s="160"/>
      <c r="M49" s="169"/>
      <c r="N49" s="160"/>
      <c r="O49" s="160"/>
      <c r="P49" s="160"/>
      <c r="Q49" s="160"/>
      <c r="R49" s="160"/>
      <c r="S49" s="161"/>
      <c r="T49" s="160"/>
      <c r="U49" s="160"/>
      <c r="V49" s="160"/>
      <c r="W49" s="161"/>
      <c r="X49" s="161"/>
      <c r="Y49" s="161"/>
      <c r="Z49" s="143"/>
      <c r="AA49" s="143"/>
      <c r="AB49" s="143"/>
      <c r="AC49" s="143"/>
    </row>
    <row r="50" spans="2:31" ht="12.75" customHeight="1" x14ac:dyDescent="0.25">
      <c r="B50" s="42"/>
      <c r="D50" s="153"/>
      <c r="E50" s="268" t="s">
        <v>111</v>
      </c>
      <c r="F50" s="269"/>
      <c r="G50" s="155"/>
      <c r="H50" s="156"/>
      <c r="I50" s="156"/>
      <c r="J50" s="156"/>
      <c r="K50" s="149" t="str">
        <f t="shared" si="6"/>
        <v/>
      </c>
      <c r="L50" s="152"/>
      <c r="M50" s="98"/>
      <c r="N50" s="152"/>
      <c r="O50" s="152"/>
      <c r="P50" s="152"/>
      <c r="Q50" s="152"/>
      <c r="R50" s="168"/>
      <c r="S50" s="143"/>
      <c r="T50" s="152"/>
      <c r="U50" s="152"/>
      <c r="V50" s="152"/>
      <c r="W50" s="143"/>
      <c r="X50" s="143"/>
      <c r="Y50" s="143"/>
      <c r="Z50" s="143"/>
      <c r="AA50" s="143"/>
      <c r="AB50" s="143"/>
      <c r="AC50" s="143"/>
    </row>
    <row r="51" spans="2:31" ht="12.75" customHeight="1" x14ac:dyDescent="0.25">
      <c r="B51" s="42"/>
      <c r="D51" s="212" t="s">
        <v>120</v>
      </c>
      <c r="E51" s="213">
        <v>160000</v>
      </c>
      <c r="F51" s="213">
        <v>160089.75</v>
      </c>
      <c r="G51" s="230" t="s">
        <v>34</v>
      </c>
      <c r="H51" s="214">
        <f>F51-E51</f>
        <v>89.75</v>
      </c>
      <c r="I51" s="214">
        <f>J51/H51</f>
        <v>32.325459610027856</v>
      </c>
      <c r="J51" s="214">
        <v>2901.21</v>
      </c>
      <c r="K51" s="149" t="str">
        <f t="shared" si="6"/>
        <v>01</v>
      </c>
      <c r="L51" s="149"/>
      <c r="M51" s="215">
        <f>J51/9/2000</f>
        <v>0.16117833333333334</v>
      </c>
      <c r="N51" s="149">
        <f t="shared" ref="N51" si="15">P51*0.75*14*115*0.05/2000</f>
        <v>9.7311418750000005</v>
      </c>
      <c r="O51" s="149">
        <f t="shared" ref="O51" si="16">P51</f>
        <v>322.35666666666668</v>
      </c>
      <c r="P51" s="149">
        <f>J51/9</f>
        <v>322.35666666666668</v>
      </c>
      <c r="Q51" s="149">
        <f>(J51*(6/12))/27</f>
        <v>53.726111111111109</v>
      </c>
      <c r="R51" s="149">
        <f>Q51</f>
        <v>53.726111111111109</v>
      </c>
      <c r="S51" s="205"/>
      <c r="T51" s="205">
        <f>(J51/9)*0.09*2</f>
        <v>58.0242</v>
      </c>
      <c r="U51" s="205">
        <f>(J51*(1.5/12))/27</f>
        <v>13.431527777777777</v>
      </c>
      <c r="V51" s="205">
        <f>(J51*(1.75/12))/27</f>
        <v>15.670115740740743</v>
      </c>
      <c r="W51" s="205"/>
      <c r="X51" s="151"/>
      <c r="Y51" s="151"/>
      <c r="Z51" s="143"/>
      <c r="AA51" s="222"/>
      <c r="AB51" s="222"/>
      <c r="AC51" s="222"/>
      <c r="AE51" s="424"/>
    </row>
    <row r="52" spans="2:31" ht="12.75" customHeight="1" x14ac:dyDescent="0.25">
      <c r="B52" s="42"/>
      <c r="D52" s="216" t="s">
        <v>28</v>
      </c>
      <c r="E52" s="217">
        <f>E51</f>
        <v>160000</v>
      </c>
      <c r="F52" s="217">
        <f>F51</f>
        <v>160089.75</v>
      </c>
      <c r="G52" s="218" t="s">
        <v>34</v>
      </c>
      <c r="H52" s="219">
        <f>F52-E52</f>
        <v>89.75</v>
      </c>
      <c r="I52" s="219"/>
      <c r="J52" s="219"/>
      <c r="K52" s="149" t="str">
        <f t="shared" si="6"/>
        <v>01</v>
      </c>
      <c r="L52" s="220"/>
      <c r="M52" s="221">
        <f>(H52*1.5)/9/2000</f>
        <v>7.4791666666666669E-3</v>
      </c>
      <c r="N52" s="220">
        <f>P52*0.75*14*115*0.05/2000</f>
        <v>0.90310937499999999</v>
      </c>
      <c r="O52" s="220">
        <f>P52</f>
        <v>29.916666666666668</v>
      </c>
      <c r="P52" s="220">
        <f>(H52*1.5/9)*2</f>
        <v>29.916666666666668</v>
      </c>
      <c r="Q52" s="220">
        <f>((H52*(6/12)*(4/12))/27)*2</f>
        <v>1.1080246913580245</v>
      </c>
      <c r="R52" s="220">
        <f>((H52*(6/12)*(10/12))/27)*2</f>
        <v>2.7700617283950617</v>
      </c>
      <c r="S52" s="220"/>
      <c r="T52" s="222"/>
      <c r="U52" s="222"/>
      <c r="V52" s="222"/>
      <c r="W52" s="175"/>
      <c r="X52" s="245"/>
      <c r="Y52" s="245"/>
      <c r="Z52" s="143"/>
      <c r="AA52" s="222"/>
      <c r="AB52" s="222"/>
      <c r="AC52" s="222"/>
      <c r="AE52" s="424"/>
    </row>
    <row r="53" spans="2:31" ht="12.75" customHeight="1" x14ac:dyDescent="0.25">
      <c r="B53" s="42"/>
      <c r="D53" s="153"/>
      <c r="E53" s="232"/>
      <c r="F53" s="232"/>
      <c r="G53" s="155"/>
      <c r="H53" s="156"/>
      <c r="I53" s="156"/>
      <c r="J53" s="156"/>
      <c r="K53" s="149" t="str">
        <f t="shared" si="6"/>
        <v/>
      </c>
      <c r="L53" s="152"/>
      <c r="M53" s="98"/>
      <c r="N53" s="152"/>
      <c r="O53" s="152"/>
      <c r="P53" s="152"/>
      <c r="Q53" s="152"/>
      <c r="R53" s="152"/>
      <c r="S53" s="152"/>
      <c r="T53" s="152"/>
      <c r="U53" s="157"/>
      <c r="V53" s="157"/>
      <c r="W53" s="157"/>
      <c r="X53" s="157"/>
      <c r="Y53" s="157"/>
      <c r="Z53" s="161"/>
      <c r="AA53" s="143"/>
      <c r="AB53" s="143"/>
      <c r="AC53" s="143"/>
    </row>
    <row r="54" spans="2:31" ht="12.75" customHeight="1" x14ac:dyDescent="0.25">
      <c r="B54" s="42"/>
      <c r="D54" s="212" t="s">
        <v>120</v>
      </c>
      <c r="E54" s="213">
        <v>160089.75</v>
      </c>
      <c r="F54" s="213">
        <v>160094.44</v>
      </c>
      <c r="G54" s="230" t="s">
        <v>34</v>
      </c>
      <c r="H54" s="214">
        <f>F54-E54</f>
        <v>4.6900000000023283</v>
      </c>
      <c r="I54" s="214">
        <f>J54/H54</f>
        <v>30.699360341136142</v>
      </c>
      <c r="J54" s="214">
        <v>143.97999999999999</v>
      </c>
      <c r="K54" s="149" t="str">
        <f t="shared" si="6"/>
        <v>01</v>
      </c>
      <c r="L54" s="149"/>
      <c r="M54" s="215">
        <f>J54/9/2000</f>
        <v>7.9988888888888887E-3</v>
      </c>
      <c r="N54" s="149">
        <f t="shared" ref="N54" si="17">P54*0.75*14*115*0.05/2000</f>
        <v>0.48293291666666666</v>
      </c>
      <c r="O54" s="149">
        <f t="shared" ref="O54" si="18">P54</f>
        <v>15.997777777777777</v>
      </c>
      <c r="P54" s="149">
        <f>J54/9</f>
        <v>15.997777777777777</v>
      </c>
      <c r="Q54" s="149">
        <f>(J54*(6/12))/27</f>
        <v>2.6662962962962959</v>
      </c>
      <c r="R54" s="149">
        <f>Q54</f>
        <v>2.6662962962962959</v>
      </c>
      <c r="S54" s="205"/>
      <c r="T54" s="205">
        <f>(J54/9)*0.09*2</f>
        <v>2.8795999999999999</v>
      </c>
      <c r="U54" s="205">
        <f>(J54*(1.5/12))/27</f>
        <v>0.66657407407407399</v>
      </c>
      <c r="V54" s="205">
        <f>(J54*(1.75/12))/27</f>
        <v>0.77766975308641972</v>
      </c>
      <c r="W54" s="205"/>
      <c r="X54" s="151"/>
      <c r="Y54" s="151"/>
      <c r="Z54" s="151"/>
      <c r="AA54" s="143"/>
      <c r="AB54" s="143"/>
      <c r="AC54" s="143"/>
      <c r="AE54" s="424"/>
    </row>
    <row r="55" spans="2:31" ht="12.75" customHeight="1" x14ac:dyDescent="0.25">
      <c r="B55" s="42"/>
      <c r="D55" s="216" t="s">
        <v>28</v>
      </c>
      <c r="E55" s="217">
        <f>E54</f>
        <v>160089.75</v>
      </c>
      <c r="F55" s="217">
        <f>F54</f>
        <v>160094.44</v>
      </c>
      <c r="G55" s="218" t="s">
        <v>32</v>
      </c>
      <c r="H55" s="219">
        <f>F55-E55</f>
        <v>4.6900000000023283</v>
      </c>
      <c r="I55" s="219"/>
      <c r="J55" s="219"/>
      <c r="K55" s="149" t="str">
        <f t="shared" si="6"/>
        <v>01</v>
      </c>
      <c r="L55" s="220"/>
      <c r="M55" s="221">
        <f>(H55*1.5)/9/2000</f>
        <v>3.9083333333352738E-4</v>
      </c>
      <c r="N55" s="220">
        <f>P55*0.75*14*115*0.05/2000</f>
        <v>2.3596562500011714E-2</v>
      </c>
      <c r="O55" s="220">
        <f>P55</f>
        <v>0.78166666666705475</v>
      </c>
      <c r="P55" s="220">
        <f>(H55*1.5/9)</f>
        <v>0.78166666666705475</v>
      </c>
      <c r="Q55" s="220">
        <f>(H55*(6/12)*(4/12))/27</f>
        <v>2.8950617283964988E-2</v>
      </c>
      <c r="R55" s="220">
        <f>(H55*(6/12)*(10/12))/27</f>
        <v>7.2376543209912478E-2</v>
      </c>
      <c r="S55" s="220"/>
      <c r="T55" s="222"/>
      <c r="U55" s="222"/>
      <c r="V55" s="222"/>
      <c r="W55" s="175"/>
      <c r="X55" s="245"/>
      <c r="Y55" s="245"/>
      <c r="Z55" s="143"/>
      <c r="AA55" s="205"/>
      <c r="AB55" s="151"/>
      <c r="AC55" s="143"/>
      <c r="AE55" s="424"/>
    </row>
    <row r="56" spans="2:31" ht="12.75" customHeight="1" x14ac:dyDescent="0.25">
      <c r="B56" s="42"/>
      <c r="D56" s="170" t="s">
        <v>29</v>
      </c>
      <c r="E56" s="171">
        <f>E54</f>
        <v>160089.75</v>
      </c>
      <c r="F56" s="171">
        <f>F54</f>
        <v>160094.44</v>
      </c>
      <c r="G56" s="227" t="s">
        <v>33</v>
      </c>
      <c r="H56" s="172">
        <f>F56-E56</f>
        <v>4.6900000000023283</v>
      </c>
      <c r="I56" s="172">
        <v>2.5</v>
      </c>
      <c r="J56" s="172">
        <v>11.98</v>
      </c>
      <c r="K56" s="149" t="str">
        <f t="shared" si="6"/>
        <v>01</v>
      </c>
      <c r="L56" s="173"/>
      <c r="M56" s="174">
        <f>(J56/9/2000)+(H56*1)/9/2000</f>
        <v>9.261111111112404E-4</v>
      </c>
      <c r="N56" s="173">
        <f t="shared" ref="N56" si="19">P56*0.75*14*115*0.05/2000</f>
        <v>5.5913958333341146E-2</v>
      </c>
      <c r="O56" s="173">
        <f t="shared" ref="O56" si="20">P56</f>
        <v>1.8522222222224809</v>
      </c>
      <c r="P56" s="173">
        <f>(J56/9)+((H56*(12/12)/9))</f>
        <v>1.8522222222224809</v>
      </c>
      <c r="Q56" s="173"/>
      <c r="R56" s="173">
        <f>((J56*(6/12))/27)+((H56*(6/12)*(12/12))/27)</f>
        <v>0.30870370370374683</v>
      </c>
      <c r="S56" s="175"/>
      <c r="T56" s="175"/>
      <c r="U56" s="175"/>
      <c r="V56" s="175"/>
      <c r="W56" s="175"/>
      <c r="X56" s="245"/>
      <c r="Y56" s="245"/>
      <c r="Z56" s="245"/>
      <c r="AA56" s="175"/>
      <c r="AB56" s="245"/>
      <c r="AC56" s="143"/>
      <c r="AE56" s="424"/>
    </row>
    <row r="57" spans="2:31" ht="12.75" customHeight="1" x14ac:dyDescent="0.25">
      <c r="B57" s="42"/>
      <c r="D57" s="144"/>
      <c r="E57" s="145"/>
      <c r="F57" s="145"/>
      <c r="G57" s="146"/>
      <c r="H57" s="147"/>
      <c r="I57" s="147"/>
      <c r="J57" s="147"/>
      <c r="K57" s="149" t="str">
        <f t="shared" si="6"/>
        <v/>
      </c>
      <c r="L57" s="148"/>
      <c r="M57" s="174"/>
      <c r="N57" s="173"/>
      <c r="O57" s="173"/>
      <c r="P57" s="173"/>
      <c r="Q57" s="173"/>
      <c r="R57" s="173"/>
      <c r="S57" s="175"/>
      <c r="T57" s="175"/>
      <c r="U57" s="175"/>
      <c r="V57" s="175"/>
      <c r="W57" s="175"/>
      <c r="X57" s="245"/>
      <c r="Y57" s="245"/>
      <c r="Z57" s="245"/>
      <c r="AA57" s="251"/>
      <c r="AB57" s="253"/>
      <c r="AC57" s="143"/>
    </row>
    <row r="58" spans="2:31" ht="12.75" customHeight="1" x14ac:dyDescent="0.25">
      <c r="B58" s="42"/>
      <c r="D58" s="212"/>
      <c r="E58" s="213"/>
      <c r="F58" s="213"/>
      <c r="G58" s="230"/>
      <c r="H58" s="214"/>
      <c r="I58" s="214"/>
      <c r="J58" s="214"/>
      <c r="K58" s="149" t="str">
        <f t="shared" si="6"/>
        <v/>
      </c>
      <c r="L58" s="149"/>
      <c r="M58" s="215"/>
      <c r="N58" s="149"/>
      <c r="O58" s="149"/>
      <c r="P58" s="149"/>
      <c r="Q58" s="149"/>
      <c r="R58" s="149"/>
      <c r="S58" s="205"/>
      <c r="T58" s="205"/>
      <c r="U58" s="205"/>
      <c r="V58" s="205"/>
      <c r="W58" s="205"/>
      <c r="X58" s="151"/>
      <c r="Y58" s="151"/>
      <c r="Z58" s="151"/>
      <c r="AA58" s="160"/>
      <c r="AB58" s="161"/>
      <c r="AC58" s="143"/>
    </row>
    <row r="59" spans="2:31" ht="12.75" customHeight="1" x14ac:dyDescent="0.25">
      <c r="B59" s="42"/>
      <c r="D59" s="212" t="s">
        <v>120</v>
      </c>
      <c r="E59" s="213">
        <v>160094.44</v>
      </c>
      <c r="F59" s="213">
        <v>160190.78</v>
      </c>
      <c r="G59" s="230" t="s">
        <v>34</v>
      </c>
      <c r="H59" s="214">
        <f>F59-E59</f>
        <v>96.339999999996508</v>
      </c>
      <c r="I59" s="214">
        <f>J59/H59</f>
        <v>30.847623001869504</v>
      </c>
      <c r="J59" s="214">
        <v>2971.86</v>
      </c>
      <c r="K59" s="149" t="str">
        <f t="shared" si="6"/>
        <v>01</v>
      </c>
      <c r="L59" s="149"/>
      <c r="M59" s="215">
        <f>J59/9/2000</f>
        <v>0.16510333333333335</v>
      </c>
      <c r="N59" s="149">
        <f t="shared" ref="N59:N60" si="21">P59*0.75*14*115*0.05/2000</f>
        <v>9.9681137500000023</v>
      </c>
      <c r="O59" s="149">
        <f t="shared" ref="O59:O61" si="22">P59</f>
        <v>330.20666666666671</v>
      </c>
      <c r="P59" s="149">
        <f>J59/9</f>
        <v>330.20666666666671</v>
      </c>
      <c r="Q59" s="149">
        <f>(J59*(6/12))/27</f>
        <v>55.034444444444446</v>
      </c>
      <c r="R59" s="149">
        <f>Q59</f>
        <v>55.034444444444446</v>
      </c>
      <c r="S59" s="205"/>
      <c r="T59" s="205">
        <f>(J59/9)*0.09*2</f>
        <v>59.437200000000004</v>
      </c>
      <c r="U59" s="205">
        <f>(J59*(1.5/12))/27</f>
        <v>13.758611111111112</v>
      </c>
      <c r="V59" s="205">
        <f>(J59*(1.75/12))/27</f>
        <v>16.051712962962966</v>
      </c>
      <c r="W59" s="205"/>
      <c r="X59" s="151"/>
      <c r="Y59" s="151"/>
      <c r="Z59" s="151"/>
      <c r="AA59" s="237"/>
      <c r="AB59" s="237"/>
      <c r="AC59" s="143"/>
      <c r="AE59" s="424"/>
    </row>
    <row r="60" spans="2:31" ht="12.75" customHeight="1" x14ac:dyDescent="0.25">
      <c r="B60" s="42"/>
      <c r="D60" s="170" t="s">
        <v>29</v>
      </c>
      <c r="E60" s="171">
        <f>E59</f>
        <v>160094.44</v>
      </c>
      <c r="F60" s="171">
        <f>F59</f>
        <v>160190.78</v>
      </c>
      <c r="G60" s="227" t="s">
        <v>34</v>
      </c>
      <c r="H60" s="172">
        <f>F60-E60</f>
        <v>96.339999999996508</v>
      </c>
      <c r="I60" s="172">
        <v>2.5</v>
      </c>
      <c r="J60" s="172">
        <v>424.01</v>
      </c>
      <c r="K60" s="149" t="str">
        <f t="shared" si="6"/>
        <v>01</v>
      </c>
      <c r="L60" s="173"/>
      <c r="M60" s="174">
        <f>(J60/9/2000)+(H60*1)/9/2000</f>
        <v>2.890833333333314E-2</v>
      </c>
      <c r="N60" s="173">
        <f t="shared" si="21"/>
        <v>2.0684810416666437</v>
      </c>
      <c r="O60" s="173">
        <f t="shared" si="22"/>
        <v>68.521111111110343</v>
      </c>
      <c r="P60" s="173">
        <f>(J60/9)+((H60*(12/12)/9)*2)</f>
        <v>68.521111111110343</v>
      </c>
      <c r="Q60" s="173"/>
      <c r="R60" s="173">
        <f>((J60*(6/12))/27)+((H60*(6/12)*(12/12))/27)</f>
        <v>9.6361111111110453</v>
      </c>
      <c r="S60" s="175"/>
      <c r="T60" s="175"/>
      <c r="U60" s="175"/>
      <c r="V60" s="175"/>
      <c r="W60" s="175"/>
      <c r="X60" s="245"/>
      <c r="Y60" s="245"/>
      <c r="Z60" s="245"/>
      <c r="AA60" s="152"/>
      <c r="AB60" s="157"/>
      <c r="AC60" s="143"/>
      <c r="AE60" s="424"/>
    </row>
    <row r="61" spans="2:31" ht="12.75" customHeight="1" x14ac:dyDescent="0.25">
      <c r="B61" s="42"/>
      <c r="D61" s="244" t="s">
        <v>72</v>
      </c>
      <c r="E61" s="217">
        <v>160113.09</v>
      </c>
      <c r="F61" s="217">
        <v>160190.78</v>
      </c>
      <c r="G61" s="218" t="s">
        <v>32</v>
      </c>
      <c r="H61" s="219">
        <v>326.72000000000003</v>
      </c>
      <c r="I61" s="219">
        <v>0.5</v>
      </c>
      <c r="J61" s="219">
        <v>97.16</v>
      </c>
      <c r="K61" s="149" t="str">
        <f t="shared" si="6"/>
        <v>01</v>
      </c>
      <c r="L61" s="220"/>
      <c r="M61" s="221">
        <f>(J61/9/2000)+(H61*1)/9/2000</f>
        <v>2.354888888888889E-2</v>
      </c>
      <c r="N61" s="220">
        <f>P61*0.75*14*115*0.05/2000</f>
        <v>0.32589083333333335</v>
      </c>
      <c r="O61" s="220">
        <f t="shared" si="22"/>
        <v>10.795555555555556</v>
      </c>
      <c r="P61" s="220">
        <f>(J61/9)</f>
        <v>10.795555555555556</v>
      </c>
      <c r="Q61" s="220"/>
      <c r="R61" s="220">
        <f>((J61*(6/12))/27)</f>
        <v>1.7992592592592591</v>
      </c>
      <c r="S61" s="222"/>
      <c r="T61" s="220"/>
      <c r="U61" s="220"/>
      <c r="V61" s="220"/>
      <c r="W61" s="222"/>
      <c r="X61" s="222"/>
      <c r="Y61" s="222"/>
      <c r="Z61" s="222"/>
      <c r="AA61" s="205"/>
      <c r="AB61" s="151"/>
      <c r="AC61" s="143"/>
      <c r="AE61" s="424"/>
    </row>
    <row r="62" spans="2:31" ht="12.75" customHeight="1" x14ac:dyDescent="0.25">
      <c r="B62" s="42"/>
      <c r="D62" s="144"/>
      <c r="E62" s="145"/>
      <c r="F62" s="145"/>
      <c r="G62" s="146"/>
      <c r="H62" s="147"/>
      <c r="I62" s="147"/>
      <c r="J62" s="147"/>
      <c r="K62" s="149" t="str">
        <f t="shared" si="6"/>
        <v/>
      </c>
      <c r="L62" s="148"/>
      <c r="M62" s="221"/>
      <c r="N62" s="220"/>
      <c r="O62" s="220"/>
      <c r="P62" s="220"/>
      <c r="Q62" s="220"/>
      <c r="R62" s="220"/>
      <c r="S62" s="222"/>
      <c r="T62" s="220"/>
      <c r="U62" s="220"/>
      <c r="V62" s="220"/>
      <c r="W62" s="222"/>
      <c r="X62" s="222"/>
      <c r="Y62" s="222"/>
      <c r="Z62" s="222"/>
      <c r="AA62" s="175"/>
      <c r="AB62" s="245"/>
      <c r="AC62" s="143"/>
    </row>
    <row r="63" spans="2:31" ht="12.75" customHeight="1" x14ac:dyDescent="0.25">
      <c r="B63" s="42"/>
      <c r="D63" s="158"/>
      <c r="E63" s="162"/>
      <c r="F63" s="162"/>
      <c r="G63" s="163"/>
      <c r="H63" s="159"/>
      <c r="I63" s="159"/>
      <c r="J63" s="159"/>
      <c r="K63" s="149" t="str">
        <f t="shared" si="6"/>
        <v/>
      </c>
      <c r="L63" s="160"/>
      <c r="M63" s="169"/>
      <c r="N63" s="160"/>
      <c r="O63" s="160"/>
      <c r="P63" s="160"/>
      <c r="Q63" s="160"/>
      <c r="R63" s="160"/>
      <c r="S63" s="161"/>
      <c r="T63" s="160"/>
      <c r="U63" s="160"/>
      <c r="V63" s="160"/>
      <c r="W63" s="161"/>
      <c r="X63" s="161"/>
      <c r="Y63" s="161"/>
      <c r="Z63" s="143"/>
      <c r="AA63" s="251"/>
      <c r="AB63" s="253"/>
      <c r="AC63" s="143"/>
    </row>
    <row r="64" spans="2:31" ht="12.75" customHeight="1" x14ac:dyDescent="0.25">
      <c r="B64" s="42"/>
      <c r="D64" s="231" t="s">
        <v>30</v>
      </c>
      <c r="E64" s="232">
        <v>160102.74</v>
      </c>
      <c r="F64" s="232">
        <v>160190.78</v>
      </c>
      <c r="G64" s="233" t="s">
        <v>34</v>
      </c>
      <c r="H64" s="234">
        <f>F64-E64</f>
        <v>88.040000000008149</v>
      </c>
      <c r="I64" s="234">
        <f>J64/H64</f>
        <v>13.252839618354066</v>
      </c>
      <c r="J64" s="234">
        <v>1166.78</v>
      </c>
      <c r="K64" s="149" t="str">
        <f t="shared" si="6"/>
        <v>01</v>
      </c>
      <c r="L64" s="235"/>
      <c r="M64" s="240">
        <f>(J64/9/2000)</f>
        <v>6.4821111111111107E-2</v>
      </c>
      <c r="N64" s="235">
        <f>P64*0.75*14*115*0.05/2000</f>
        <v>3.9135745833333329</v>
      </c>
      <c r="O64" s="235">
        <f>P64</f>
        <v>129.64222222222222</v>
      </c>
      <c r="P64" s="235">
        <f>(J64/9)</f>
        <v>129.64222222222222</v>
      </c>
      <c r="Q64" s="235"/>
      <c r="R64" s="235"/>
      <c r="S64" s="235">
        <f>((J64*(15.25/12))/27)</f>
        <v>54.917885802469129</v>
      </c>
      <c r="T64" s="237"/>
      <c r="U64" s="237"/>
      <c r="V64" s="237"/>
      <c r="W64" s="237"/>
      <c r="X64" s="237"/>
      <c r="Y64" s="237"/>
      <c r="Z64" s="237">
        <f>P64</f>
        <v>129.64222222222222</v>
      </c>
      <c r="AA64" s="157"/>
      <c r="AB64" s="157"/>
      <c r="AC64" s="143"/>
      <c r="AE64" s="424"/>
    </row>
    <row r="65" spans="2:29" ht="12.75" customHeight="1" x14ac:dyDescent="0.25">
      <c r="B65" s="42"/>
      <c r="D65" s="158"/>
      <c r="E65" s="162"/>
      <c r="F65" s="162"/>
      <c r="G65" s="163"/>
      <c r="H65" s="159"/>
      <c r="I65" s="159"/>
      <c r="J65" s="159"/>
      <c r="K65" s="149" t="str">
        <f>IF(D65="","",IF(ISNUMBER(SEARCH("SUP",D65)),"04","01"))</f>
        <v/>
      </c>
      <c r="L65" s="160"/>
      <c r="M65" s="238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1"/>
      <c r="Y65" s="161"/>
      <c r="Z65" s="160"/>
      <c r="AA65" s="160"/>
      <c r="AB65" s="161"/>
      <c r="AC65" s="143"/>
    </row>
    <row r="66" spans="2:29" ht="12.75" customHeight="1" x14ac:dyDescent="0.25">
      <c r="B66" s="42"/>
      <c r="D66" s="231"/>
      <c r="E66" s="232"/>
      <c r="F66" s="232"/>
      <c r="G66" s="233"/>
      <c r="H66" s="234"/>
      <c r="I66" s="234"/>
      <c r="J66" s="234"/>
      <c r="K66" s="149" t="str">
        <f t="shared" si="6"/>
        <v/>
      </c>
      <c r="L66" s="235"/>
      <c r="M66" s="236"/>
      <c r="N66" s="235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7"/>
      <c r="AA66" s="237"/>
      <c r="AB66" s="237"/>
      <c r="AC66" s="143"/>
    </row>
    <row r="67" spans="2:29" ht="12.75" customHeight="1" x14ac:dyDescent="0.25">
      <c r="B67" s="42"/>
      <c r="D67" s="244"/>
      <c r="E67" s="248"/>
      <c r="F67" s="248"/>
      <c r="G67" s="249"/>
      <c r="H67" s="250"/>
      <c r="I67" s="250"/>
      <c r="J67" s="250"/>
      <c r="K67" s="149" t="str">
        <f t="shared" si="6"/>
        <v/>
      </c>
      <c r="L67" s="251"/>
      <c r="M67" s="270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3"/>
      <c r="Y67" s="253"/>
      <c r="Z67" s="251"/>
      <c r="AA67" s="251"/>
      <c r="AB67" s="253"/>
      <c r="AC67" s="143"/>
    </row>
    <row r="68" spans="2:29" ht="12.75" customHeight="1" x14ac:dyDescent="0.25">
      <c r="B68" s="42"/>
      <c r="D68" s="212"/>
      <c r="E68" s="213"/>
      <c r="F68" s="213"/>
      <c r="G68" s="230"/>
      <c r="H68" s="214"/>
      <c r="I68" s="214"/>
      <c r="J68" s="214"/>
      <c r="K68" s="149" t="str">
        <f t="shared" si="6"/>
        <v/>
      </c>
      <c r="L68" s="149"/>
      <c r="M68" s="215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205"/>
      <c r="Y68" s="205"/>
      <c r="Z68" s="205"/>
      <c r="AA68" s="205"/>
      <c r="AB68" s="151"/>
      <c r="AC68" s="143"/>
    </row>
    <row r="69" spans="2:29" ht="12.75" customHeight="1" x14ac:dyDescent="0.25">
      <c r="B69" s="42"/>
      <c r="D69" s="216"/>
      <c r="E69" s="217"/>
      <c r="F69" s="217"/>
      <c r="G69" s="218"/>
      <c r="H69" s="219"/>
      <c r="I69" s="219"/>
      <c r="J69" s="219"/>
      <c r="K69" s="149" t="str">
        <f t="shared" si="6"/>
        <v/>
      </c>
      <c r="L69" s="220"/>
      <c r="M69" s="272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2"/>
      <c r="AA69" s="222"/>
      <c r="AB69" s="245"/>
      <c r="AC69" s="143"/>
    </row>
    <row r="70" spans="2:29" ht="12.75" customHeight="1" x14ac:dyDescent="0.25">
      <c r="B70" s="42"/>
      <c r="D70" s="153"/>
      <c r="E70" s="232"/>
      <c r="F70" s="232"/>
      <c r="G70" s="155"/>
      <c r="H70" s="156"/>
      <c r="I70" s="156"/>
      <c r="J70" s="156"/>
      <c r="K70" s="149" t="str">
        <f t="shared" si="6"/>
        <v/>
      </c>
      <c r="L70" s="152"/>
      <c r="M70" s="189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7"/>
      <c r="AB70" s="157"/>
      <c r="AC70" s="143"/>
    </row>
    <row r="71" spans="2:29" ht="12.75" customHeight="1" x14ac:dyDescent="0.25">
      <c r="B71" s="42"/>
      <c r="D71" s="158"/>
      <c r="E71" s="162"/>
      <c r="F71" s="162"/>
      <c r="G71" s="163"/>
      <c r="H71" s="159"/>
      <c r="I71" s="159"/>
      <c r="J71" s="159"/>
      <c r="K71" s="149" t="str">
        <f t="shared" si="6"/>
        <v/>
      </c>
      <c r="L71" s="160"/>
      <c r="M71" s="238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1"/>
      <c r="Y71" s="161"/>
      <c r="Z71" s="160"/>
      <c r="AA71" s="160"/>
      <c r="AB71" s="161"/>
      <c r="AC71" s="143"/>
    </row>
    <row r="72" spans="2:29" ht="12.75" customHeight="1" x14ac:dyDescent="0.25">
      <c r="B72" s="42"/>
      <c r="D72" s="231"/>
      <c r="E72" s="232"/>
      <c r="F72" s="232"/>
      <c r="G72" s="233"/>
      <c r="H72" s="234"/>
      <c r="I72" s="234"/>
      <c r="J72" s="234"/>
      <c r="K72" s="149" t="str">
        <f t="shared" si="6"/>
        <v/>
      </c>
      <c r="L72" s="235"/>
      <c r="M72" s="236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7"/>
      <c r="AA72" s="237"/>
      <c r="AB72" s="237"/>
      <c r="AC72" s="143"/>
    </row>
    <row r="73" spans="2:29" ht="12.75" customHeight="1" x14ac:dyDescent="0.25">
      <c r="B73" s="42"/>
      <c r="D73" s="231"/>
      <c r="E73" s="232"/>
      <c r="F73" s="232"/>
      <c r="G73" s="233"/>
      <c r="H73" s="234"/>
      <c r="I73" s="234"/>
      <c r="J73" s="234"/>
      <c r="K73" s="149" t="str">
        <f>IF(D73="","",IF(ISNUMBER(SEARCH("SUP",D73)),"04","01"))</f>
        <v/>
      </c>
      <c r="L73" s="235"/>
      <c r="M73" s="236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7"/>
      <c r="AA73" s="237"/>
      <c r="AB73" s="237"/>
      <c r="AC73" s="143"/>
    </row>
    <row r="74" spans="2:29" ht="12.75" customHeight="1" x14ac:dyDescent="0.25">
      <c r="B74" s="42"/>
      <c r="D74" s="212"/>
      <c r="E74" s="213"/>
      <c r="F74" s="213"/>
      <c r="G74" s="230"/>
      <c r="H74" s="214"/>
      <c r="I74" s="214"/>
      <c r="J74" s="214"/>
      <c r="K74" s="149" t="str">
        <f t="shared" si="6"/>
        <v/>
      </c>
      <c r="L74" s="149"/>
      <c r="M74" s="215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205"/>
      <c r="Y74" s="205"/>
      <c r="Z74" s="205"/>
      <c r="AA74" s="205"/>
      <c r="AB74" s="151"/>
      <c r="AC74" s="143"/>
    </row>
    <row r="75" spans="2:29" ht="12.75" customHeight="1" x14ac:dyDescent="0.25">
      <c r="B75" s="42"/>
      <c r="D75" s="176"/>
      <c r="E75" s="177"/>
      <c r="F75" s="177"/>
      <c r="G75" s="247"/>
      <c r="H75" s="178"/>
      <c r="I75" s="178"/>
      <c r="J75" s="178"/>
      <c r="K75" s="149" t="str">
        <f t="shared" si="6"/>
        <v/>
      </c>
      <c r="L75" s="179"/>
      <c r="M75" s="276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61"/>
      <c r="Y75" s="161"/>
      <c r="Z75" s="160"/>
      <c r="AA75" s="160"/>
      <c r="AB75" s="161"/>
      <c r="AC75" s="143"/>
    </row>
    <row r="76" spans="2:29" ht="12.75" customHeight="1" x14ac:dyDescent="0.25">
      <c r="B76" s="42"/>
      <c r="D76" s="153"/>
      <c r="E76" s="154"/>
      <c r="F76" s="154"/>
      <c r="G76" s="155"/>
      <c r="H76" s="156"/>
      <c r="I76" s="156"/>
      <c r="J76" s="156"/>
      <c r="K76" s="149" t="str">
        <f t="shared" si="6"/>
        <v/>
      </c>
      <c r="L76" s="152"/>
      <c r="M76" s="189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7"/>
      <c r="AB76" s="157"/>
      <c r="AC76" s="143"/>
    </row>
    <row r="77" spans="2:29" ht="12.75" customHeight="1" x14ac:dyDescent="0.25">
      <c r="B77" s="42"/>
      <c r="D77" s="158"/>
      <c r="E77" s="162"/>
      <c r="F77" s="162"/>
      <c r="G77" s="163"/>
      <c r="H77" s="159"/>
      <c r="I77" s="159"/>
      <c r="J77" s="159"/>
      <c r="K77" s="149" t="str">
        <f t="shared" si="6"/>
        <v/>
      </c>
      <c r="L77" s="160"/>
      <c r="M77" s="238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1"/>
      <c r="Y77" s="161"/>
      <c r="Z77" s="160"/>
      <c r="AA77" s="160"/>
      <c r="AB77" s="161"/>
      <c r="AC77" s="143"/>
    </row>
    <row r="78" spans="2:29" ht="12.75" customHeight="1" x14ac:dyDescent="0.25">
      <c r="B78" s="42"/>
      <c r="D78" s="158"/>
      <c r="E78" s="162"/>
      <c r="F78" s="162"/>
      <c r="G78" s="163"/>
      <c r="H78" s="159"/>
      <c r="I78" s="159"/>
      <c r="J78" s="159"/>
      <c r="K78" s="149" t="str">
        <f t="shared" si="6"/>
        <v/>
      </c>
      <c r="L78" s="160"/>
      <c r="M78" s="238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1"/>
      <c r="Y78" s="161"/>
      <c r="Z78" s="160"/>
      <c r="AA78" s="160"/>
      <c r="AB78" s="161"/>
      <c r="AC78" s="143"/>
    </row>
    <row r="79" spans="2:29" ht="12.75" customHeight="1" x14ac:dyDescent="0.25">
      <c r="B79" s="42"/>
      <c r="D79" s="158"/>
      <c r="E79" s="162"/>
      <c r="F79" s="162"/>
      <c r="G79" s="163"/>
      <c r="H79" s="159"/>
      <c r="I79" s="159"/>
      <c r="J79" s="159"/>
      <c r="K79" s="149" t="str">
        <f t="shared" si="6"/>
        <v/>
      </c>
      <c r="L79" s="160"/>
      <c r="M79" s="238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1"/>
      <c r="Y79" s="161"/>
      <c r="Z79" s="160"/>
      <c r="AA79" s="160"/>
      <c r="AB79" s="161"/>
      <c r="AC79" s="143"/>
    </row>
    <row r="80" spans="2:29" ht="12.75" customHeight="1" x14ac:dyDescent="0.25">
      <c r="B80" s="42"/>
      <c r="D80" s="244"/>
      <c r="E80" s="248"/>
      <c r="F80" s="248"/>
      <c r="G80" s="249"/>
      <c r="H80" s="250"/>
      <c r="I80" s="250"/>
      <c r="J80" s="250"/>
      <c r="K80" s="149" t="str">
        <f t="shared" si="6"/>
        <v/>
      </c>
      <c r="L80" s="251"/>
      <c r="M80" s="270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3"/>
      <c r="Y80" s="253"/>
      <c r="Z80" s="251"/>
      <c r="AA80" s="251"/>
      <c r="AB80" s="161"/>
      <c r="AC80" s="143"/>
    </row>
    <row r="81" spans="2:29" ht="12.75" customHeight="1" x14ac:dyDescent="0.25">
      <c r="B81" s="42"/>
      <c r="D81" s="170"/>
      <c r="E81" s="171"/>
      <c r="F81" s="171"/>
      <c r="G81" s="227"/>
      <c r="H81" s="172"/>
      <c r="I81" s="172"/>
      <c r="J81" s="172"/>
      <c r="K81" s="149" t="str">
        <f t="shared" si="6"/>
        <v/>
      </c>
      <c r="L81" s="173"/>
      <c r="M81" s="228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5"/>
      <c r="Y81" s="175"/>
      <c r="Z81" s="175"/>
      <c r="AA81" s="175"/>
      <c r="AB81" s="245"/>
      <c r="AC81" s="143"/>
    </row>
    <row r="82" spans="2:29" ht="12.75" customHeight="1" x14ac:dyDescent="0.25">
      <c r="B82" s="42"/>
      <c r="D82" s="212"/>
      <c r="E82" s="213"/>
      <c r="F82" s="213"/>
      <c r="G82" s="230"/>
      <c r="H82" s="214"/>
      <c r="I82" s="214"/>
      <c r="J82" s="214"/>
      <c r="K82" s="149" t="str">
        <f t="shared" si="6"/>
        <v/>
      </c>
      <c r="L82" s="149"/>
      <c r="M82" s="215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205"/>
      <c r="Y82" s="205"/>
      <c r="Z82" s="205"/>
      <c r="AA82" s="205"/>
      <c r="AB82" s="151"/>
      <c r="AC82" s="143"/>
    </row>
    <row r="83" spans="2:29" ht="12.75" customHeight="1" x14ac:dyDescent="0.25">
      <c r="B83" s="42"/>
      <c r="D83" s="244"/>
      <c r="E83" s="248"/>
      <c r="F83" s="248"/>
      <c r="G83" s="249"/>
      <c r="H83" s="250"/>
      <c r="I83" s="250"/>
      <c r="J83" s="250"/>
      <c r="K83" s="149" t="str">
        <f t="shared" si="6"/>
        <v/>
      </c>
      <c r="L83" s="251"/>
      <c r="M83" s="270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3"/>
      <c r="Y83" s="253"/>
      <c r="Z83" s="251"/>
      <c r="AA83" s="205"/>
      <c r="AB83" s="151"/>
      <c r="AC83" s="143"/>
    </row>
    <row r="84" spans="2:29" ht="12.75" customHeight="1" x14ac:dyDescent="0.25">
      <c r="B84" s="42"/>
      <c r="D84" s="170"/>
      <c r="E84" s="171"/>
      <c r="F84" s="171"/>
      <c r="G84" s="227"/>
      <c r="H84" s="172"/>
      <c r="I84" s="172"/>
      <c r="J84" s="172"/>
      <c r="K84" s="149" t="str">
        <f t="shared" si="6"/>
        <v/>
      </c>
      <c r="L84" s="173"/>
      <c r="M84" s="228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5"/>
      <c r="Y84" s="175"/>
      <c r="Z84" s="175"/>
      <c r="AA84" s="175"/>
      <c r="AB84" s="245"/>
      <c r="AC84" s="143"/>
    </row>
    <row r="85" spans="2:29" ht="12.75" customHeight="1" x14ac:dyDescent="0.25">
      <c r="B85" s="42"/>
      <c r="D85" s="244"/>
      <c r="E85" s="248"/>
      <c r="F85" s="248"/>
      <c r="G85" s="249"/>
      <c r="H85" s="250"/>
      <c r="I85" s="250"/>
      <c r="J85" s="250"/>
      <c r="K85" s="149" t="str">
        <f t="shared" si="6"/>
        <v/>
      </c>
      <c r="L85" s="251"/>
      <c r="M85" s="270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3"/>
      <c r="Y85" s="253"/>
      <c r="Z85" s="251"/>
      <c r="AA85" s="251"/>
      <c r="AB85" s="253"/>
      <c r="AC85" s="143"/>
    </row>
    <row r="86" spans="2:29" ht="12.75" customHeight="1" x14ac:dyDescent="0.25">
      <c r="B86" s="42"/>
      <c r="D86" s="231"/>
      <c r="E86" s="232"/>
      <c r="F86" s="232"/>
      <c r="G86" s="233"/>
      <c r="H86" s="234"/>
      <c r="I86" s="234"/>
      <c r="J86" s="234"/>
      <c r="K86" s="149" t="str">
        <f t="shared" si="6"/>
        <v/>
      </c>
      <c r="L86" s="235"/>
      <c r="M86" s="236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7"/>
      <c r="AA86" s="237"/>
      <c r="AB86" s="237"/>
      <c r="AC86" s="143"/>
    </row>
    <row r="87" spans="2:29" ht="12.75" customHeight="1" x14ac:dyDescent="0.25">
      <c r="B87" s="42"/>
      <c r="D87" s="158"/>
      <c r="E87" s="162"/>
      <c r="F87" s="162"/>
      <c r="G87" s="163"/>
      <c r="H87" s="159"/>
      <c r="I87" s="159"/>
      <c r="J87" s="159"/>
      <c r="K87" s="149" t="str">
        <f t="shared" si="6"/>
        <v/>
      </c>
      <c r="L87" s="160"/>
      <c r="M87" s="238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1"/>
      <c r="Y87" s="161"/>
      <c r="Z87" s="160"/>
      <c r="AA87" s="160"/>
      <c r="AB87" s="161"/>
      <c r="AC87" s="143"/>
    </row>
    <row r="88" spans="2:29" ht="12.75" customHeight="1" thickBot="1" x14ac:dyDescent="0.3">
      <c r="D88" s="243"/>
      <c r="E88" s="203"/>
      <c r="F88" s="203"/>
      <c r="G88" s="201"/>
      <c r="H88" s="128" t="str">
        <f t="shared" ref="H88" si="23">IF(E88&lt;&gt;"",F88-E88,"")</f>
        <v/>
      </c>
      <c r="I88" s="128"/>
      <c r="J88" s="128"/>
      <c r="K88" s="149" t="str">
        <f t="shared" si="6"/>
        <v/>
      </c>
      <c r="L88" s="202"/>
      <c r="M88" s="128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spans="2:29" ht="12.75" customHeight="1" thickBot="1" x14ac:dyDescent="0.3">
      <c r="B89" s="6" t="s">
        <v>17</v>
      </c>
      <c r="D89" s="444" t="s">
        <v>86</v>
      </c>
      <c r="E89" s="445"/>
      <c r="F89" s="445"/>
      <c r="G89" s="445"/>
      <c r="H89" s="445"/>
      <c r="I89" s="445"/>
      <c r="J89" s="446"/>
      <c r="K89" s="136">
        <f t="shared" ref="K89:AC89" si="24">SUM(K28:K88)</f>
        <v>0</v>
      </c>
      <c r="L89" s="136">
        <f t="shared" si="24"/>
        <v>0</v>
      </c>
      <c r="M89" s="135">
        <f t="shared" si="24"/>
        <v>2.5213586111111104</v>
      </c>
      <c r="N89" s="136">
        <f t="shared" si="24"/>
        <v>164.22830156249992</v>
      </c>
      <c r="O89" s="136">
        <f t="shared" si="24"/>
        <v>5440.2749999999924</v>
      </c>
      <c r="P89" s="136">
        <f t="shared" si="24"/>
        <v>5440.2749999999924</v>
      </c>
      <c r="Q89" s="136">
        <f t="shared" si="24"/>
        <v>662.55246913580243</v>
      </c>
      <c r="R89" s="136">
        <f t="shared" si="24"/>
        <v>847.59256172839457</v>
      </c>
      <c r="S89" s="136">
        <f t="shared" si="24"/>
        <v>64.625918209876531</v>
      </c>
      <c r="T89" s="136">
        <f t="shared" si="24"/>
        <v>709.91179999999986</v>
      </c>
      <c r="U89" s="136">
        <f t="shared" si="24"/>
        <v>164.3314351851852</v>
      </c>
      <c r="V89" s="136">
        <f t="shared" si="24"/>
        <v>191.72000771604939</v>
      </c>
      <c r="W89" s="136">
        <f t="shared" si="24"/>
        <v>11.94449074074074</v>
      </c>
      <c r="X89" s="136">
        <f t="shared" si="24"/>
        <v>19.907484567901236</v>
      </c>
      <c r="Y89" s="136">
        <f t="shared" si="24"/>
        <v>445.10999999999996</v>
      </c>
      <c r="Z89" s="136">
        <f t="shared" si="24"/>
        <v>162.75888888888889</v>
      </c>
      <c r="AA89" s="136">
        <f t="shared" si="24"/>
        <v>0</v>
      </c>
      <c r="AB89" s="136">
        <f t="shared" si="24"/>
        <v>0</v>
      </c>
      <c r="AC89" s="136">
        <f t="shared" si="24"/>
        <v>0</v>
      </c>
    </row>
    <row r="97" spans="4:29" ht="12.75" customHeight="1" x14ac:dyDescent="0.25">
      <c r="D97" s="442" t="s">
        <v>126</v>
      </c>
      <c r="E97" s="442"/>
      <c r="F97" s="442"/>
      <c r="G97" s="442"/>
      <c r="H97" s="442"/>
      <c r="I97" s="442"/>
      <c r="J97" s="442"/>
      <c r="K97" s="425"/>
      <c r="L97" s="426">
        <f>SUMIF($K29:$K88, 1, L29:L88)</f>
        <v>0</v>
      </c>
      <c r="M97" s="430">
        <f t="shared" ref="M97:AC97" si="25">SUMIF($K29:$K88, 1, M29:M88)</f>
        <v>2.5213586111111104</v>
      </c>
      <c r="N97" s="426">
        <f t="shared" si="25"/>
        <v>152.4102642708333</v>
      </c>
      <c r="O97" s="426">
        <f t="shared" si="25"/>
        <v>5048.7872222222186</v>
      </c>
      <c r="P97" s="426">
        <f t="shared" si="25"/>
        <v>5048.7872222222186</v>
      </c>
      <c r="Q97" s="426">
        <f t="shared" si="25"/>
        <v>662.55246913580243</v>
      </c>
      <c r="R97" s="426">
        <f t="shared" si="25"/>
        <v>793.99126543209843</v>
      </c>
      <c r="S97" s="426">
        <f t="shared" si="25"/>
        <v>64.625918209876531</v>
      </c>
      <c r="T97" s="426">
        <f t="shared" si="25"/>
        <v>709.91179999999986</v>
      </c>
      <c r="U97" s="426">
        <f t="shared" si="25"/>
        <v>164.3314351851852</v>
      </c>
      <c r="V97" s="426">
        <f t="shared" si="25"/>
        <v>191.72000771604939</v>
      </c>
      <c r="W97" s="426">
        <f t="shared" si="25"/>
        <v>0</v>
      </c>
      <c r="X97" s="426">
        <f t="shared" si="25"/>
        <v>0</v>
      </c>
      <c r="Y97" s="426">
        <f t="shared" si="25"/>
        <v>445.10999999999996</v>
      </c>
      <c r="Z97" s="426">
        <f t="shared" si="25"/>
        <v>162.75888888888889</v>
      </c>
      <c r="AA97" s="426">
        <f t="shared" si="25"/>
        <v>0</v>
      </c>
      <c r="AB97" s="426">
        <f t="shared" si="25"/>
        <v>0</v>
      </c>
      <c r="AC97" s="426">
        <f t="shared" si="25"/>
        <v>0</v>
      </c>
    </row>
    <row r="98" spans="4:29" ht="12.75" customHeight="1" x14ac:dyDescent="0.25">
      <c r="D98" s="443" t="s">
        <v>127</v>
      </c>
      <c r="E98" s="443"/>
      <c r="F98" s="443"/>
      <c r="G98" s="443"/>
      <c r="H98" s="443"/>
      <c r="I98" s="443"/>
      <c r="J98" s="443"/>
      <c r="K98" s="427"/>
      <c r="L98" s="428">
        <f>SUMIF($K29:$K88, 4, L29:L88)</f>
        <v>0</v>
      </c>
      <c r="M98" s="428">
        <f t="shared" ref="M98:AC98" si="26">SUMIF($K29:$K88, 4, M29:M88)</f>
        <v>0</v>
      </c>
      <c r="N98" s="428">
        <f t="shared" si="26"/>
        <v>11.818037291666583</v>
      </c>
      <c r="O98" s="428">
        <f t="shared" si="26"/>
        <v>391.48777777777502</v>
      </c>
      <c r="P98" s="428">
        <f t="shared" si="26"/>
        <v>391.48777777777502</v>
      </c>
      <c r="Q98" s="428">
        <f t="shared" si="26"/>
        <v>0</v>
      </c>
      <c r="R98" s="428">
        <f t="shared" si="26"/>
        <v>53.601296296296141</v>
      </c>
      <c r="S98" s="428">
        <f t="shared" si="26"/>
        <v>0</v>
      </c>
      <c r="T98" s="428">
        <f t="shared" si="26"/>
        <v>0</v>
      </c>
      <c r="U98" s="428">
        <f t="shared" si="26"/>
        <v>0</v>
      </c>
      <c r="V98" s="428">
        <f t="shared" si="26"/>
        <v>0</v>
      </c>
      <c r="W98" s="428">
        <f t="shared" si="26"/>
        <v>11.94449074074074</v>
      </c>
      <c r="X98" s="428">
        <f t="shared" si="26"/>
        <v>19.907484567901236</v>
      </c>
      <c r="Y98" s="428">
        <f t="shared" si="26"/>
        <v>0</v>
      </c>
      <c r="Z98" s="428">
        <f t="shared" si="26"/>
        <v>0</v>
      </c>
      <c r="AA98" s="428">
        <f t="shared" si="26"/>
        <v>0</v>
      </c>
      <c r="AB98" s="428">
        <f t="shared" si="26"/>
        <v>0</v>
      </c>
      <c r="AC98" s="428">
        <f t="shared" si="26"/>
        <v>0</v>
      </c>
    </row>
    <row r="99" spans="4:29" ht="12.75" customHeight="1" x14ac:dyDescent="0.25">
      <c r="D99" s="469" t="s">
        <v>17</v>
      </c>
      <c r="E99" s="469"/>
      <c r="F99" s="469"/>
      <c r="G99" s="469"/>
      <c r="H99" s="469"/>
      <c r="I99" s="469"/>
      <c r="J99" s="469"/>
      <c r="K99" s="432"/>
      <c r="L99" s="433">
        <f>SUM(L97:L98)</f>
        <v>0</v>
      </c>
      <c r="M99" s="434">
        <f t="shared" ref="M99:AC99" si="27">SUM(M97:M98)</f>
        <v>2.5213586111111104</v>
      </c>
      <c r="N99" s="433">
        <f t="shared" si="27"/>
        <v>164.22830156249987</v>
      </c>
      <c r="O99" s="433">
        <f t="shared" si="27"/>
        <v>5440.2749999999933</v>
      </c>
      <c r="P99" s="433">
        <f t="shared" si="27"/>
        <v>5440.2749999999933</v>
      </c>
      <c r="Q99" s="433">
        <f t="shared" si="27"/>
        <v>662.55246913580243</v>
      </c>
      <c r="R99" s="433">
        <f t="shared" si="27"/>
        <v>847.59256172839457</v>
      </c>
      <c r="S99" s="433">
        <f t="shared" si="27"/>
        <v>64.625918209876531</v>
      </c>
      <c r="T99" s="433">
        <f t="shared" si="27"/>
        <v>709.91179999999986</v>
      </c>
      <c r="U99" s="433">
        <f t="shared" si="27"/>
        <v>164.3314351851852</v>
      </c>
      <c r="V99" s="433">
        <f t="shared" si="27"/>
        <v>191.72000771604939</v>
      </c>
      <c r="W99" s="433">
        <f t="shared" si="27"/>
        <v>11.94449074074074</v>
      </c>
      <c r="X99" s="433">
        <f t="shared" si="27"/>
        <v>19.907484567901236</v>
      </c>
      <c r="Y99" s="433">
        <f t="shared" si="27"/>
        <v>445.10999999999996</v>
      </c>
      <c r="Z99" s="433">
        <f t="shared" si="27"/>
        <v>162.75888888888889</v>
      </c>
      <c r="AA99" s="433">
        <f t="shared" si="27"/>
        <v>0</v>
      </c>
      <c r="AB99" s="433">
        <f t="shared" si="27"/>
        <v>0</v>
      </c>
      <c r="AC99" s="433">
        <f t="shared" si="27"/>
        <v>0</v>
      </c>
    </row>
  </sheetData>
  <mergeCells count="33">
    <mergeCell ref="B14:B27"/>
    <mergeCell ref="D14:D27"/>
    <mergeCell ref="E14:F26"/>
    <mergeCell ref="G14:G27"/>
    <mergeCell ref="H14:H26"/>
    <mergeCell ref="S15:S26"/>
    <mergeCell ref="D97:J97"/>
    <mergeCell ref="D98:J98"/>
    <mergeCell ref="D99:J99"/>
    <mergeCell ref="E9:AC9"/>
    <mergeCell ref="I14:I26"/>
    <mergeCell ref="J14:J26"/>
    <mergeCell ref="M15:M26"/>
    <mergeCell ref="N15:N26"/>
    <mergeCell ref="O15:O26"/>
    <mergeCell ref="P15:P26"/>
    <mergeCell ref="Q15:Q26"/>
    <mergeCell ref="AC15:AC26"/>
    <mergeCell ref="E29:F29"/>
    <mergeCell ref="AB15:AB26"/>
    <mergeCell ref="D89:J89"/>
    <mergeCell ref="E40:F40"/>
    <mergeCell ref="Z15:Z26"/>
    <mergeCell ref="AA15:AA26"/>
    <mergeCell ref="T15:T26"/>
    <mergeCell ref="L15:L26"/>
    <mergeCell ref="K14:K27"/>
    <mergeCell ref="U15:U26"/>
    <mergeCell ref="V15:V26"/>
    <mergeCell ref="W15:W26"/>
    <mergeCell ref="X15:X26"/>
    <mergeCell ref="Y15:Y26"/>
    <mergeCell ref="R15:R26"/>
  </mergeCells>
  <printOptions verticalCentered="1"/>
  <pageMargins left="0.25" right="0.25" top="0.75" bottom="0.75" header="0.3" footer="0.3"/>
  <pageSetup scale="35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EE4A-BCC1-4F6E-975C-08FF10D0B034}">
  <sheetPr>
    <pageSetUpPr fitToPage="1"/>
  </sheetPr>
  <dimension ref="A1:AT133"/>
  <sheetViews>
    <sheetView showGridLines="0" tabSelected="1" zoomScale="85" zoomScaleNormal="85" workbookViewId="0">
      <selection activeCell="D45" sqref="D45:F45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27.6640625" style="6" customWidth="1"/>
    <col min="5" max="6" width="13.6640625" style="6" customWidth="1"/>
    <col min="7" max="11" width="9.6640625" style="8" customWidth="1"/>
    <col min="12" max="27" width="9.6640625" style="6" customWidth="1"/>
    <col min="28" max="28" width="2.6640625" style="6" customWidth="1"/>
    <col min="29" max="16384" width="9.109375" style="6"/>
  </cols>
  <sheetData>
    <row r="1" spans="1:46" ht="12.75" customHeight="1" x14ac:dyDescent="0.25">
      <c r="A1" s="6">
        <v>1</v>
      </c>
      <c r="E1" s="3"/>
      <c r="F1" s="4" t="s">
        <v>11</v>
      </c>
      <c r="G1" s="2"/>
      <c r="H1" s="2"/>
      <c r="I1" s="2"/>
      <c r="J1" s="2"/>
      <c r="K1" s="2"/>
      <c r="L1" s="2"/>
      <c r="M1" s="2"/>
      <c r="N1" s="34"/>
      <c r="O1" s="2"/>
      <c r="P1" s="2"/>
      <c r="Q1" s="2"/>
      <c r="R1" s="34"/>
      <c r="S1" s="34"/>
      <c r="T1" s="34"/>
      <c r="U1" s="34"/>
      <c r="V1" s="34"/>
      <c r="W1" s="34"/>
      <c r="X1" s="34"/>
      <c r="Y1" s="34"/>
      <c r="Z1" s="34"/>
      <c r="AA1" s="2"/>
    </row>
    <row r="2" spans="1:46" ht="12.75" customHeight="1" x14ac:dyDescent="0.25">
      <c r="E2" s="3"/>
      <c r="F2" s="4" t="s">
        <v>10</v>
      </c>
      <c r="G2" s="2"/>
      <c r="H2" s="2"/>
      <c r="I2" s="2"/>
      <c r="J2" s="2"/>
      <c r="K2" s="2"/>
      <c r="L2" s="2"/>
      <c r="M2" s="2"/>
      <c r="N2" s="34"/>
      <c r="O2" s="2"/>
      <c r="P2" s="2"/>
      <c r="Q2" s="2"/>
      <c r="R2" s="34"/>
      <c r="S2" s="34"/>
      <c r="T2" s="34"/>
      <c r="U2" s="34"/>
      <c r="V2" s="34"/>
      <c r="W2" s="34"/>
      <c r="X2" s="34"/>
      <c r="Y2" s="34"/>
      <c r="Z2" s="34"/>
      <c r="AA2" s="2"/>
    </row>
    <row r="3" spans="1:46" ht="12.75" customHeight="1" x14ac:dyDescent="0.25">
      <c r="E3" s="3"/>
      <c r="F3" s="4"/>
      <c r="G3" s="2"/>
      <c r="H3" s="2"/>
      <c r="I3" s="2"/>
      <c r="J3" s="2"/>
      <c r="K3" s="2"/>
      <c r="L3" s="2"/>
      <c r="M3" s="2"/>
      <c r="N3" s="3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2"/>
    </row>
    <row r="4" spans="1:46" ht="12.75" customHeight="1" x14ac:dyDescent="0.25">
      <c r="E4" s="3"/>
      <c r="F4" s="5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2"/>
    </row>
    <row r="5" spans="1:46" ht="12.75" customHeight="1" x14ac:dyDescent="0.25">
      <c r="E5" s="3"/>
      <c r="F5" s="5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2"/>
    </row>
    <row r="6" spans="1:46" ht="12.75" customHeight="1" x14ac:dyDescent="0.25">
      <c r="E6" s="3"/>
      <c r="F6" s="5"/>
      <c r="G6" s="2"/>
      <c r="H6" s="2"/>
      <c r="I6" s="2"/>
      <c r="J6" s="2"/>
      <c r="K6" s="2"/>
      <c r="L6" s="2"/>
      <c r="M6" s="2"/>
      <c r="N6" s="3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2"/>
    </row>
    <row r="7" spans="1:46" ht="12.75" customHeight="1" x14ac:dyDescent="0.25">
      <c r="E7" s="3"/>
      <c r="F7" s="5"/>
      <c r="G7" s="2"/>
      <c r="H7" s="2"/>
      <c r="I7" s="2"/>
      <c r="J7" s="2"/>
      <c r="K7" s="2"/>
      <c r="L7" s="2"/>
      <c r="M7" s="2"/>
      <c r="N7" s="3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2"/>
    </row>
    <row r="8" spans="1:46" ht="12.75" customHeight="1" thickBot="1" x14ac:dyDescent="0.3"/>
    <row r="9" spans="1:46" ht="12.75" customHeight="1" thickBot="1" x14ac:dyDescent="0.3">
      <c r="B9" s="39" t="s">
        <v>15</v>
      </c>
      <c r="D9" s="449">
        <f>AC9</f>
        <v>0</v>
      </c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C9" s="50"/>
      <c r="AD9" s="51"/>
    </row>
    <row r="10" spans="1:46" ht="12.75" customHeight="1" thickBot="1" x14ac:dyDescent="0.3">
      <c r="B10" s="40"/>
      <c r="D10" s="9"/>
      <c r="E10" s="9"/>
      <c r="F10" s="10"/>
      <c r="G10" s="11"/>
      <c r="H10" s="38" t="s">
        <v>114</v>
      </c>
      <c r="I10" s="38" t="s">
        <v>36</v>
      </c>
      <c r="J10" s="38" t="s">
        <v>37</v>
      </c>
      <c r="K10" s="38" t="s">
        <v>87</v>
      </c>
      <c r="L10" s="38" t="s">
        <v>39</v>
      </c>
      <c r="M10" s="38" t="s">
        <v>73</v>
      </c>
      <c r="N10" s="38" t="s">
        <v>88</v>
      </c>
      <c r="O10" s="38" t="s">
        <v>89</v>
      </c>
      <c r="P10" s="38" t="s">
        <v>80</v>
      </c>
      <c r="Q10" s="38" t="s">
        <v>41</v>
      </c>
      <c r="R10" s="38" t="s">
        <v>42</v>
      </c>
      <c r="S10" s="38" t="s">
        <v>42</v>
      </c>
      <c r="T10" s="38" t="s">
        <v>56</v>
      </c>
      <c r="U10" s="38" t="s">
        <v>74</v>
      </c>
      <c r="V10" s="38" t="s">
        <v>75</v>
      </c>
      <c r="W10" s="38" t="s">
        <v>81</v>
      </c>
      <c r="X10" s="38" t="s">
        <v>83</v>
      </c>
      <c r="Y10" s="38" t="s">
        <v>122</v>
      </c>
      <c r="Z10" s="38" t="s">
        <v>77</v>
      </c>
      <c r="AA10" s="38" t="s">
        <v>116</v>
      </c>
      <c r="AC10" s="52"/>
      <c r="AD10" s="52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</row>
    <row r="11" spans="1:46" ht="12.75" customHeight="1" x14ac:dyDescent="0.25">
      <c r="D11" s="9"/>
      <c r="E11" s="9"/>
      <c r="F11" s="10"/>
      <c r="G11" s="59"/>
      <c r="H11" s="59"/>
      <c r="I11" s="59"/>
      <c r="J11" s="58" t="s">
        <v>102</v>
      </c>
      <c r="K11" s="58"/>
      <c r="L11" s="58"/>
      <c r="M11" s="58"/>
      <c r="N11" s="58"/>
      <c r="O11" s="58"/>
      <c r="P11" s="58"/>
      <c r="Q11" s="58" t="s">
        <v>90</v>
      </c>
      <c r="R11" s="58" t="s">
        <v>90</v>
      </c>
      <c r="S11" s="58" t="s">
        <v>119</v>
      </c>
      <c r="T11" s="58" t="s">
        <v>79</v>
      </c>
      <c r="U11" s="58"/>
      <c r="V11" s="58"/>
      <c r="W11" s="58"/>
      <c r="X11" s="58"/>
      <c r="Y11" s="58"/>
      <c r="Z11" s="58"/>
      <c r="AA11" s="58" t="s">
        <v>115</v>
      </c>
      <c r="AC11" s="53"/>
      <c r="AD11" s="53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6" ht="12.75" customHeight="1" x14ac:dyDescent="0.25">
      <c r="D12" s="1"/>
      <c r="E12" s="10"/>
      <c r="F12" s="9"/>
      <c r="G12" s="59"/>
      <c r="H12" s="59"/>
      <c r="I12" s="59"/>
      <c r="J12" s="60">
        <v>29</v>
      </c>
      <c r="K12" s="60">
        <v>31</v>
      </c>
      <c r="L12" s="60">
        <v>2</v>
      </c>
      <c r="M12" s="60">
        <v>30</v>
      </c>
      <c r="N12" s="60">
        <v>3</v>
      </c>
      <c r="O12" s="60">
        <v>3</v>
      </c>
      <c r="P12" s="60">
        <v>3</v>
      </c>
      <c r="Q12" s="60">
        <v>4</v>
      </c>
      <c r="R12" s="60">
        <v>5</v>
      </c>
      <c r="S12" s="60">
        <v>23</v>
      </c>
      <c r="T12" s="60">
        <v>6</v>
      </c>
      <c r="U12" s="60">
        <v>7</v>
      </c>
      <c r="V12" s="60">
        <v>8</v>
      </c>
      <c r="W12" s="60">
        <v>9</v>
      </c>
      <c r="X12" s="60">
        <v>10</v>
      </c>
      <c r="Y12" s="60">
        <v>26</v>
      </c>
      <c r="Z12" s="60">
        <v>12</v>
      </c>
      <c r="AA12" s="60"/>
      <c r="AC12" s="53"/>
      <c r="AD12" s="53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</row>
    <row r="13" spans="1:46" ht="12.75" customHeight="1" thickBot="1" x14ac:dyDescent="0.3">
      <c r="D13" s="1"/>
      <c r="E13" s="10"/>
      <c r="F13" s="9"/>
      <c r="G13" s="59"/>
      <c r="H13" s="59" t="s">
        <v>117</v>
      </c>
      <c r="I13" s="59"/>
      <c r="J13" s="59"/>
      <c r="K13" s="59"/>
      <c r="L13" s="61"/>
      <c r="M13" s="61"/>
      <c r="N13" s="61"/>
      <c r="O13" s="61"/>
      <c r="P13" s="61"/>
      <c r="Q13" s="61"/>
      <c r="R13" s="61" t="s">
        <v>43</v>
      </c>
      <c r="S13" s="61" t="s">
        <v>118</v>
      </c>
      <c r="T13" s="61"/>
      <c r="U13" s="61" t="s">
        <v>66</v>
      </c>
      <c r="V13" s="61" t="s">
        <v>55</v>
      </c>
      <c r="W13" s="61" t="s">
        <v>66</v>
      </c>
      <c r="X13" s="61" t="s">
        <v>82</v>
      </c>
      <c r="Y13" s="61" t="s">
        <v>123</v>
      </c>
      <c r="Z13" s="61"/>
      <c r="AA13" s="61"/>
      <c r="AC13" s="53"/>
      <c r="AD13" s="53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</row>
    <row r="14" spans="1:46" ht="12.75" customHeight="1" x14ac:dyDescent="0.25">
      <c r="B14" s="450" t="s">
        <v>16</v>
      </c>
      <c r="D14" s="487" t="s">
        <v>85</v>
      </c>
      <c r="E14" s="488"/>
      <c r="F14" s="488"/>
      <c r="G14" s="62" t="str">
        <f t="shared" ref="G14:N14" si="0">IF(OR(TRIM(G10)=0,TRIM(G10)=""),"",IF(IFERROR(TRIM(INDEX(QryItemNamed,MATCH(TRIM(G10),ITEM,0),2)),"")="Y","SPECIAL",LEFT(IFERROR(TRIM(INDEX(ITEM,MATCH(TRIM(G10),ITEM,0))),""),3)))</f>
        <v/>
      </c>
      <c r="H14" s="62" t="str">
        <f t="shared" si="0"/>
        <v>203</v>
      </c>
      <c r="I14" s="62" t="str">
        <f t="shared" si="0"/>
        <v>204</v>
      </c>
      <c r="J14" s="62" t="str">
        <f t="shared" si="0"/>
        <v>204</v>
      </c>
      <c r="K14" s="62" t="str">
        <f t="shared" si="0"/>
        <v>204</v>
      </c>
      <c r="L14" s="62" t="str">
        <f t="shared" si="0"/>
        <v>204</v>
      </c>
      <c r="M14" s="62" t="str">
        <f t="shared" si="0"/>
        <v>204</v>
      </c>
      <c r="N14" s="62" t="str">
        <f t="shared" si="0"/>
        <v>206</v>
      </c>
      <c r="O14" s="62" t="str">
        <f t="shared" ref="O14:AA14" si="1">IF(OR(TRIM(O10)=0,TRIM(O10)=""),"",IF(IFERROR(TRIM(INDEX(QryItemNamed,MATCH(TRIM(O10),ITEM,0),2)),"")="Y","SPECIAL",LEFT(IFERROR(TRIM(INDEX(ITEM,MATCH(TRIM(O10),ITEM,0))),""),3)))</f>
        <v>206</v>
      </c>
      <c r="P14" s="62" t="str">
        <f t="shared" si="1"/>
        <v>206</v>
      </c>
      <c r="Q14" s="62" t="str">
        <f t="shared" si="1"/>
        <v>301</v>
      </c>
      <c r="R14" s="62" t="str">
        <f t="shared" si="1"/>
        <v>304</v>
      </c>
      <c r="S14" s="62" t="str">
        <f t="shared" si="1"/>
        <v>304</v>
      </c>
      <c r="T14" s="62" t="str">
        <f t="shared" si="1"/>
        <v>407</v>
      </c>
      <c r="U14" s="62" t="str">
        <f t="shared" si="1"/>
        <v>442</v>
      </c>
      <c r="V14" s="62" t="str">
        <f t="shared" si="1"/>
        <v>442</v>
      </c>
      <c r="W14" s="62" t="str">
        <f>IF(OR(TRIM(W10)=0,TRIM(W10)=""),"",IF(IFERROR(TRIM(INDEX(QryItemNamed,MATCH(TRIM(W10),ITEM,0),2)),"")="Y","SPECIAL",LEFT(IFERROR(TRIM(INDEX(ITEM,MATCH(TRIM(W10),ITEM,0))),""),3)))</f>
        <v>442</v>
      </c>
      <c r="X14" s="62" t="str">
        <f>IF(OR(TRIM(X10)=0,TRIM(X10)=""),"",IF(IFERROR(TRIM(INDEX(QryItemNamed,MATCH(TRIM(X10),ITEM,0),2)),"")="Y","SPECIAL",LEFT(IFERROR(TRIM(INDEX(ITEM,MATCH(TRIM(X10),ITEM,0))),""),3)))</f>
        <v>442</v>
      </c>
      <c r="Y14" s="62" t="str">
        <f>IF(OR(TRIM(Y10)=0,TRIM(Y10)=""),"",IF(IFERROR(TRIM(INDEX(QryItemNamed,MATCH(TRIM(Y10),ITEM,0),2)),"")="Y","SPECIAL",LEFT(IFERROR(TRIM(INDEX(ITEM,MATCH(TRIM(Y10),ITEM,0))),""),3)))</f>
        <v>451</v>
      </c>
      <c r="Z14" s="62" t="str">
        <f t="shared" si="1"/>
        <v>452</v>
      </c>
      <c r="AA14" s="62" t="str">
        <f t="shared" si="1"/>
        <v>SPECIAL</v>
      </c>
    </row>
    <row r="15" spans="1:46" ht="12.75" customHeight="1" x14ac:dyDescent="0.25">
      <c r="B15" s="451"/>
      <c r="D15" s="489"/>
      <c r="E15" s="490"/>
      <c r="F15" s="490"/>
      <c r="G15" s="448" t="str">
        <f t="shared" ref="G15:H15" si="2">IF(OR(TRIM(G10)=0,TRIM(G10)=""),IF(G11="","",G11),IF(IFERROR(TRIM(INDEX(QryItemNamed,MATCH(TRIM(G10),ITEM,0),2)),"")="Y",TRIM(RIGHT(IFERROR(TRIM(INDEX(QryItemNamed,MATCH(TRIM(G10),ITEM,0),4)),"123456789012"),LEN(IFERROR(TRIM(INDEX(QryItemNamed,MATCH(TRIM(G10),ITEM,0),4)),"123456789012"))-9))&amp;G11,IFERROR(TRIM(INDEX(QryItemNamed,MATCH(TRIM(G10),ITEM,0),4))&amp;G11,"ITEM CODE DOES NOT EXIST IN ITEM MASTER")))</f>
        <v/>
      </c>
      <c r="H15" s="448" t="str">
        <f t="shared" si="2"/>
        <v>EMBANKMENT</v>
      </c>
      <c r="I15" s="448" t="str">
        <f t="shared" ref="I15:K15" si="3">IF(OR(TRIM(I10)=0,TRIM(I10)=""),IF(I11="","",I11),IF(IFERROR(TRIM(INDEX(QryItemNamed,MATCH(TRIM(I10),ITEM,0),2)),"")="Y",TRIM(RIGHT(IFERROR(TRIM(INDEX(QryItemNamed,MATCH(TRIM(I10),ITEM,0),4)),"123456789012"),LEN(IFERROR(TRIM(INDEX(QryItemNamed,MATCH(TRIM(I10),ITEM,0),4)),"123456789012"))-9))&amp;I11,IFERROR(TRIM(INDEX(QryItemNamed,MATCH(TRIM(I10),ITEM,0),4))&amp;I11,"ITEM CODE DOES NOT EXIST IN ITEM MASTER")))</f>
        <v>SUBGRADE COMPACTION</v>
      </c>
      <c r="J15" s="448" t="str">
        <f t="shared" si="3"/>
        <v>EXCAVATION OF SUBGRADE (14" DEEP)</v>
      </c>
      <c r="K15" s="448" t="str">
        <f t="shared" si="3"/>
        <v>GRANULAR MATERIAL, TYPE B</v>
      </c>
      <c r="L15" s="448" t="str">
        <f t="shared" ref="L15:N15" si="4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PROOF ROLLING</v>
      </c>
      <c r="M15" s="448" t="str">
        <f t="shared" ref="M15" si="5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GEOGRID</v>
      </c>
      <c r="N15" s="448" t="str">
        <f t="shared" si="4"/>
        <v>CEMENT</v>
      </c>
      <c r="O15" s="448" t="str">
        <f t="shared" ref="O15:AA15" si="6">IF(OR(TRIM(O10)=0,TRIM(O10)=""),IF(O11="","",O11),IF(IFERROR(TRIM(INDEX(QryItemNamed,MATCH(TRIM(O10),ITEM,0),2)),"")="Y",TRIM(RIGHT(IFERROR(TRIM(INDEX(QryItemNamed,MATCH(TRIM(O10),ITEM,0),4)),"123456789012"),LEN(IFERROR(TRIM(INDEX(QryItemNamed,MATCH(TRIM(O10),ITEM,0),4)),"123456789012"))-9))&amp;O11,IFERROR(TRIM(INDEX(QryItemNamed,MATCH(TRIM(O10),ITEM,0),4))&amp;O11,"ITEM CODE DOES NOT EXIST IN ITEM MASTER")))</f>
        <v>CURING COAT</v>
      </c>
      <c r="P15" s="448" t="str">
        <f t="shared" si="6"/>
        <v>CEMENT STABILIZED SUBGRADE, 14 INCHES DEEP</v>
      </c>
      <c r="Q15" s="448" t="str">
        <f t="shared" si="6"/>
        <v>ASPHALT CONCRETE BASE, PG64-22, (449) (6")</v>
      </c>
      <c r="R15" s="448" t="str">
        <f t="shared" si="6"/>
        <v>AGGREGATE BASE (6")</v>
      </c>
      <c r="S15" s="448" t="str">
        <f t="shared" si="6"/>
        <v>AGGREGATE BASE (15.25")</v>
      </c>
      <c r="T15" s="448" t="str">
        <f t="shared" si="6"/>
        <v>NON-TRACKING TACK COAT (@0.09 GAL/SY)</v>
      </c>
      <c r="U15" s="448" t="str">
        <f t="shared" si="6"/>
        <v>ASPHALT CONCRETE SURFACE COURSE, 12.5 MM, TYPE A (446), AS PER PLAN</v>
      </c>
      <c r="V15" s="448" t="str">
        <f t="shared" si="6"/>
        <v>ASPHALT CONCRETE INTERMEDIATE COURSE, 12.5 MM, TYPE A (448), AS PER PLAN</v>
      </c>
      <c r="W15" s="448" t="str">
        <f>IF(OR(TRIM(W10)=0,TRIM(W10)=""),IF(W11="","",W11),IF(IFERROR(TRIM(INDEX(QryItemNamed,MATCH(TRIM(W10),ITEM,0),2)),"")="Y",TRIM(RIGHT(IFERROR(TRIM(INDEX(QryItemNamed,MATCH(TRIM(W10),ITEM,0),4)),"123456789012"),LEN(IFERROR(TRIM(INDEX(QryItemNamed,MATCH(TRIM(W10),ITEM,0),4)),"123456789012"))-9))&amp;W11,IFERROR(TRIM(INDEX(QryItemNamed,MATCH(TRIM(W10),ITEM,0),4))&amp;W11,"ITEM CODE DOES NOT EXIST IN ITEM MASTER")))</f>
        <v>ASPHALT CONCRETE SURFACE COURSE, 9.5 MM, TYPE A (449), AS PER PLAN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ASPHALT CONCRETE INTERMEDIATE COURSE, 19 MM, TYPE A (449), AS PER PLAN</v>
      </c>
      <c r="Y15" s="448" t="str">
        <f>IF(OR(TRIM(Y10)=0,TRIM(Y10)=""),IF(Y11="","",Y11),IF(IFERROR(TRIM(INDEX(QryItemNamed,MATCH(TRIM(Y10),ITEM,0),2)),"")="Y",TRIM(RIGHT(IFERROR(TRIM(INDEX(QryItemNamed,MATCH(TRIM(Y10),ITEM,0),4)),"123456789012"),LEN(IFERROR(TRIM(INDEX(QryItemNamed,MATCH(TRIM(Y10),ITEM,0),4)),"123456789012"))-9))&amp;Y11,IFERROR(TRIM(INDEX(QryItemNamed,MATCH(TRIM(Y10),ITEM,0),4))&amp;Y11,"ITEM CODE DOES NOT EXIST IN ITEM MASTER")))</f>
        <v>8" REINFORCED CONCRETE PAVEMENT, CLASS QC 1P, AS PER PLAN</v>
      </c>
      <c r="Z15" s="448" t="str">
        <f t="shared" si="6"/>
        <v>6" NON-REINFORCED CONCRETE PAVEMENT, CLASS QC 1P, AS PER PLAN</v>
      </c>
      <c r="AA15" s="448" t="str">
        <f t="shared" si="6"/>
        <v>GRASS PAVERS</v>
      </c>
    </row>
    <row r="16" spans="1:46" ht="12.75" customHeight="1" x14ac:dyDescent="0.25">
      <c r="B16" s="451"/>
      <c r="D16" s="489"/>
      <c r="E16" s="490"/>
      <c r="F16" s="490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</row>
    <row r="17" spans="2:27" ht="12.75" customHeight="1" x14ac:dyDescent="0.25">
      <c r="B17" s="451"/>
      <c r="D17" s="489"/>
      <c r="E17" s="490"/>
      <c r="F17" s="490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</row>
    <row r="18" spans="2:27" ht="12.75" customHeight="1" x14ac:dyDescent="0.25">
      <c r="B18" s="451"/>
      <c r="D18" s="489"/>
      <c r="E18" s="490"/>
      <c r="F18" s="490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</row>
    <row r="19" spans="2:27" ht="12.75" customHeight="1" x14ac:dyDescent="0.25">
      <c r="B19" s="451"/>
      <c r="D19" s="489"/>
      <c r="E19" s="490"/>
      <c r="F19" s="490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</row>
    <row r="20" spans="2:27" ht="12.75" customHeight="1" x14ac:dyDescent="0.25">
      <c r="B20" s="451"/>
      <c r="D20" s="489"/>
      <c r="E20" s="490"/>
      <c r="F20" s="490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</row>
    <row r="21" spans="2:27" ht="12.75" customHeight="1" x14ac:dyDescent="0.25">
      <c r="B21" s="451"/>
      <c r="D21" s="489"/>
      <c r="E21" s="490"/>
      <c r="F21" s="490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</row>
    <row r="22" spans="2:27" ht="12.75" customHeight="1" x14ac:dyDescent="0.25">
      <c r="B22" s="451"/>
      <c r="D22" s="489"/>
      <c r="E22" s="490"/>
      <c r="F22" s="490"/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</row>
    <row r="23" spans="2:27" ht="12.75" customHeight="1" x14ac:dyDescent="0.25">
      <c r="B23" s="451"/>
      <c r="D23" s="489"/>
      <c r="E23" s="490"/>
      <c r="F23" s="490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</row>
    <row r="24" spans="2:27" ht="12.75" customHeight="1" x14ac:dyDescent="0.25">
      <c r="B24" s="451"/>
      <c r="D24" s="489"/>
      <c r="E24" s="490"/>
      <c r="F24" s="490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</row>
    <row r="25" spans="2:27" ht="12.75" customHeight="1" x14ac:dyDescent="0.25">
      <c r="B25" s="451"/>
      <c r="D25" s="489"/>
      <c r="E25" s="490"/>
      <c r="F25" s="490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</row>
    <row r="26" spans="2:27" ht="12.75" customHeight="1" x14ac:dyDescent="0.25">
      <c r="B26" s="451"/>
      <c r="D26" s="489"/>
      <c r="E26" s="490"/>
      <c r="F26" s="490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</row>
    <row r="27" spans="2:27" ht="12.75" customHeight="1" thickBot="1" x14ac:dyDescent="0.3">
      <c r="B27" s="452"/>
      <c r="D27" s="491"/>
      <c r="E27" s="492"/>
      <c r="F27" s="492"/>
      <c r="G27" s="63" t="str">
        <f t="shared" ref="G27:N27" si="7">IF(OR(TRIM(G10)=0,TRIM(G10)=""),"",IF(IFERROR(TRIM(INDEX(QryItemNamed,MATCH(TRIM(G10),ITEM,0),3)),"")="LS","",IFERROR(TRIM(INDEX(QryItemNamed,MATCH(TRIM(G10),ITEM,0),3)),"")))</f>
        <v/>
      </c>
      <c r="H27" s="63" t="str">
        <f t="shared" si="7"/>
        <v>CY</v>
      </c>
      <c r="I27" s="63" t="str">
        <f t="shared" si="7"/>
        <v>SY</v>
      </c>
      <c r="J27" s="63" t="str">
        <f t="shared" si="7"/>
        <v>CY</v>
      </c>
      <c r="K27" s="63" t="str">
        <f t="shared" si="7"/>
        <v>CY</v>
      </c>
      <c r="L27" s="63" t="str">
        <f t="shared" si="7"/>
        <v>HOUR</v>
      </c>
      <c r="M27" s="63" t="str">
        <f t="shared" si="7"/>
        <v>SY</v>
      </c>
      <c r="N27" s="63" t="str">
        <f t="shared" si="7"/>
        <v>TON</v>
      </c>
      <c r="O27" s="63" t="str">
        <f t="shared" ref="O27:AA27" si="8">IF(OR(TRIM(O10)=0,TRIM(O10)=""),"",IF(IFERROR(TRIM(INDEX(QryItemNamed,MATCH(TRIM(O10),ITEM,0),3)),"")="LS","",IFERROR(TRIM(INDEX(QryItemNamed,MATCH(TRIM(O10),ITEM,0),3)),"")))</f>
        <v>SY</v>
      </c>
      <c r="P27" s="63" t="str">
        <f t="shared" si="8"/>
        <v>SY</v>
      </c>
      <c r="Q27" s="63" t="str">
        <f t="shared" si="8"/>
        <v>CY</v>
      </c>
      <c r="R27" s="63" t="str">
        <f t="shared" si="8"/>
        <v>CY</v>
      </c>
      <c r="S27" s="63" t="str">
        <f t="shared" si="8"/>
        <v>CY</v>
      </c>
      <c r="T27" s="63" t="str">
        <f t="shared" si="8"/>
        <v>GAL</v>
      </c>
      <c r="U27" s="63" t="str">
        <f t="shared" si="8"/>
        <v>CY</v>
      </c>
      <c r="V27" s="63" t="str">
        <f t="shared" si="8"/>
        <v>CY</v>
      </c>
      <c r="W27" s="63" t="str">
        <f t="shared" si="8"/>
        <v>CY</v>
      </c>
      <c r="X27" s="63" t="str">
        <f t="shared" si="8"/>
        <v>CY</v>
      </c>
      <c r="Y27" s="63" t="str">
        <f t="shared" si="8"/>
        <v>SY</v>
      </c>
      <c r="Z27" s="63" t="str">
        <f t="shared" si="8"/>
        <v>SY</v>
      </c>
      <c r="AA27" s="63" t="str">
        <f t="shared" si="8"/>
        <v>SY</v>
      </c>
    </row>
    <row r="28" spans="2:27" ht="12.75" customHeight="1" x14ac:dyDescent="0.25">
      <c r="B28" s="41"/>
      <c r="D28" s="485" t="str">
        <f>IF(E28&lt;&gt;"",F28-E28,"")</f>
        <v/>
      </c>
      <c r="E28" s="486"/>
      <c r="F28" s="486"/>
      <c r="G28" s="64"/>
      <c r="H28" s="65"/>
      <c r="I28" s="65"/>
      <c r="J28" s="65"/>
      <c r="K28" s="65"/>
      <c r="L28" s="66"/>
      <c r="M28" s="66"/>
      <c r="N28" s="66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pans="2:27" ht="12.75" customHeight="1" x14ac:dyDescent="0.25">
      <c r="B29" s="42"/>
      <c r="D29" s="482" t="s">
        <v>142</v>
      </c>
      <c r="E29" s="483"/>
      <c r="F29" s="483"/>
      <c r="G29" s="69"/>
      <c r="H29" s="70">
        <v>0</v>
      </c>
      <c r="I29" s="71">
        <f>'SUP Pavement Part 1'!L89</f>
        <v>1834.6288888888889</v>
      </c>
      <c r="J29" s="71">
        <f>'SUP Pavement Part 1'!M89</f>
        <v>713.4667901234568</v>
      </c>
      <c r="K29" s="71">
        <f>'SUP Pavement Part 1'!N89</f>
        <v>713.4667901234568</v>
      </c>
      <c r="L29" s="66">
        <f>'SUP Pavement Part 1'!O89</f>
        <v>0.8</v>
      </c>
      <c r="M29" s="64">
        <f>'SUP Pavement Part 1'!P89</f>
        <v>1834.6288888888889</v>
      </c>
      <c r="N29" s="66">
        <f>'SUP Pavement Part 1'!Q89</f>
        <v>225.3399436458333</v>
      </c>
      <c r="O29" s="64">
        <f>'SUP Pavement Part 1'!R89</f>
        <v>7464.6772222222216</v>
      </c>
      <c r="P29" s="64">
        <f>'SUP Pavement Part 1'!S89</f>
        <v>7464.6772222222216</v>
      </c>
      <c r="Q29" s="64">
        <f>'SUP Pavement Part 1'!T89</f>
        <v>305.77148148148149</v>
      </c>
      <c r="R29" s="64">
        <f>'SUP Pavement Part 1'!U89</f>
        <v>1381.7174999999997</v>
      </c>
      <c r="S29" s="64">
        <f>'SUP Pavement Part 1'!V89</f>
        <v>0</v>
      </c>
      <c r="T29" s="64">
        <f>'SUP Pavement Part 1'!W89</f>
        <v>330.23320000000001</v>
      </c>
      <c r="U29" s="64">
        <f>'SUP Pavement Part 1'!X89</f>
        <v>76.442870370370372</v>
      </c>
      <c r="V29" s="64">
        <f>'SUP Pavement Part 1'!Y89</f>
        <v>89.1833487654321</v>
      </c>
      <c r="W29" s="64">
        <f>'SUP Pavement Part 1'!Z89</f>
        <v>247.9656481481482</v>
      </c>
      <c r="X29" s="64">
        <f>'SUP Pavement Part 1'!AA89</f>
        <v>413.27608024691358</v>
      </c>
      <c r="Y29" s="64">
        <v>0</v>
      </c>
      <c r="Z29" s="64">
        <f>'SUP Pavement Part 1'!AB89</f>
        <v>0</v>
      </c>
      <c r="AA29" s="64">
        <f>'SUP Pavement Part 1'!AC89</f>
        <v>0</v>
      </c>
    </row>
    <row r="30" spans="2:27" ht="12.75" customHeight="1" x14ac:dyDescent="0.25">
      <c r="B30" s="42"/>
      <c r="D30" s="480"/>
      <c r="E30" s="481"/>
      <c r="F30" s="481"/>
      <c r="G30" s="74"/>
      <c r="H30" s="74"/>
      <c r="I30" s="75"/>
      <c r="J30" s="75"/>
      <c r="K30" s="75"/>
      <c r="L30" s="76"/>
      <c r="M30" s="74"/>
      <c r="N30" s="77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8"/>
      <c r="AA30" s="78"/>
    </row>
    <row r="31" spans="2:27" ht="12.75" customHeight="1" x14ac:dyDescent="0.25">
      <c r="B31" s="42"/>
      <c r="D31" s="482" t="s">
        <v>143</v>
      </c>
      <c r="E31" s="483"/>
      <c r="F31" s="495"/>
      <c r="G31" s="69"/>
      <c r="H31" s="79">
        <f>'SUP Pavement Part 2'!K89</f>
        <v>0</v>
      </c>
      <c r="I31" s="79">
        <f>'SUP Pavement Part 2'!L89</f>
        <v>1305.4777777777776</v>
      </c>
      <c r="J31" s="79">
        <f>'SUP Pavement Part 2'!M89</f>
        <v>507.68580246913575</v>
      </c>
      <c r="K31" s="79">
        <f>'SUP Pavement Part 2'!N89</f>
        <v>507.68580246913575</v>
      </c>
      <c r="L31" s="88">
        <f>'SUP Pavement Part 2'!O89</f>
        <v>0.65273888888888887</v>
      </c>
      <c r="M31" s="79">
        <f>'SUP Pavement Part 2'!P89</f>
        <v>1305.4777777777776</v>
      </c>
      <c r="N31" s="79">
        <f>'SUP Pavement Part 2'!Q89</f>
        <v>170.60903343750007</v>
      </c>
      <c r="O31" s="79">
        <f>'SUP Pavement Part 2'!R89</f>
        <v>5651.6450000000013</v>
      </c>
      <c r="P31" s="79">
        <f>'SUP Pavement Part 2'!S89</f>
        <v>5651.6450000000013</v>
      </c>
      <c r="Q31" s="79">
        <f>'SUP Pavement Part 2'!T89</f>
        <v>217.57962962962961</v>
      </c>
      <c r="R31" s="79">
        <f>'SUP Pavement Part 2'!U89</f>
        <v>1064.6896296296297</v>
      </c>
      <c r="S31" s="79">
        <f>'SUP Pavement Part 2'!V89</f>
        <v>0</v>
      </c>
      <c r="T31" s="79">
        <f>'SUP Pavement Part 2'!W89</f>
        <v>234.98599999999999</v>
      </c>
      <c r="U31" s="79">
        <f>'SUP Pavement Part 2'!X89</f>
        <v>54.394907407407402</v>
      </c>
      <c r="V31" s="79">
        <f>'SUP Pavement Part 2'!Y89</f>
        <v>63.460725308641969</v>
      </c>
      <c r="W31" s="79">
        <f>'SUP Pavement Part 2'!Z89</f>
        <v>196.76638888888888</v>
      </c>
      <c r="X31" s="79">
        <f>'SUP Pavement Part 2'!AA89</f>
        <v>327.94398148148156</v>
      </c>
      <c r="Y31" s="79">
        <f>'SUP Pavement Part 2'!AB89</f>
        <v>0</v>
      </c>
      <c r="Z31" s="79">
        <f>'SUP Pavement Part 2'!AC89</f>
        <v>0</v>
      </c>
      <c r="AA31" s="79">
        <f>'SUP Pavement Part 2'!AD89</f>
        <v>0</v>
      </c>
    </row>
    <row r="32" spans="2:27" ht="12.75" customHeight="1" x14ac:dyDescent="0.25">
      <c r="B32" s="42"/>
      <c r="D32" s="480"/>
      <c r="E32" s="481"/>
      <c r="F32" s="481"/>
      <c r="G32" s="74"/>
      <c r="H32" s="75"/>
      <c r="I32" s="75"/>
      <c r="J32" s="75"/>
      <c r="K32" s="75"/>
      <c r="L32" s="90"/>
      <c r="M32" s="91"/>
      <c r="N32" s="92"/>
      <c r="O32" s="91"/>
      <c r="P32" s="91"/>
      <c r="Q32" s="91"/>
      <c r="R32" s="91"/>
      <c r="S32" s="91"/>
      <c r="T32" s="91"/>
      <c r="U32" s="91"/>
      <c r="V32" s="91"/>
      <c r="W32" s="93"/>
      <c r="X32" s="93"/>
      <c r="Y32" s="93"/>
      <c r="Z32" s="93"/>
      <c r="AA32" s="93"/>
    </row>
    <row r="33" spans="2:27" ht="12.75" customHeight="1" x14ac:dyDescent="0.25">
      <c r="B33" s="42"/>
      <c r="D33" s="482" t="s">
        <v>144</v>
      </c>
      <c r="E33" s="483"/>
      <c r="F33" s="483"/>
      <c r="G33" s="69"/>
      <c r="H33" s="80">
        <f>'US 6-Perkins Pavement 1'!L89</f>
        <v>0</v>
      </c>
      <c r="I33" s="80">
        <v>0</v>
      </c>
      <c r="J33" s="80">
        <v>0</v>
      </c>
      <c r="K33" s="80">
        <v>0</v>
      </c>
      <c r="L33" s="81">
        <f>'US 6-Perkins Pavement 1'!M89</f>
        <v>7.175721666666667</v>
      </c>
      <c r="M33" s="82">
        <v>0</v>
      </c>
      <c r="N33" s="83">
        <f>'US 6-Perkins Pavement 1'!N89</f>
        <v>584.59158697916689</v>
      </c>
      <c r="O33" s="82">
        <f>'US 6-Perkins Pavement 1'!O89</f>
        <v>19365.352777777796</v>
      </c>
      <c r="P33" s="82">
        <f>'US 6-Perkins Pavement 1'!P89</f>
        <v>19365.352777777796</v>
      </c>
      <c r="Q33" s="82">
        <f>'US 6-Perkins Pavement 1'!Q89</f>
        <v>2163.8903518518514</v>
      </c>
      <c r="R33" s="82">
        <f>'US 6-Perkins Pavement 1'!R89</f>
        <v>2941.1267037037046</v>
      </c>
      <c r="S33" s="82">
        <f>'US 6-Perkins Pavement 1'!S89</f>
        <v>176.01719907407406</v>
      </c>
      <c r="T33" s="82">
        <f>'US 6-Perkins Pavement 1'!T89</f>
        <v>2316.3711000000003</v>
      </c>
      <c r="U33" s="82">
        <f>'US 6-Perkins Pavement 1'!U89</f>
        <v>534.28777777777782</v>
      </c>
      <c r="V33" s="82">
        <f>'US 6-Perkins Pavement 1'!V89</f>
        <v>623.33574074074079</v>
      </c>
      <c r="W33" s="82">
        <f>'US 6-Perkins Pavement 1'!W89</f>
        <v>149.72615740740741</v>
      </c>
      <c r="X33" s="82">
        <f>'US 6-Perkins Pavement 1'!X89</f>
        <v>249.54359567901236</v>
      </c>
      <c r="Y33" s="82">
        <v>0</v>
      </c>
      <c r="Z33" s="82">
        <f>'US 6-Perkins Pavement 1'!Y89</f>
        <v>411.67444444444442</v>
      </c>
      <c r="AA33" s="82">
        <f>'US 6-Perkins Pavement 1'!Z89</f>
        <v>0</v>
      </c>
    </row>
    <row r="34" spans="2:27" ht="12.75" customHeight="1" x14ac:dyDescent="0.25">
      <c r="B34" s="42"/>
      <c r="D34" s="480"/>
      <c r="E34" s="481"/>
      <c r="F34" s="481"/>
      <c r="G34" s="74"/>
      <c r="H34" s="75"/>
      <c r="I34" s="75"/>
      <c r="J34" s="75"/>
      <c r="K34" s="75"/>
      <c r="L34" s="84"/>
      <c r="M34" s="85"/>
      <c r="N34" s="86"/>
      <c r="O34" s="85"/>
      <c r="P34" s="85"/>
      <c r="Q34" s="85"/>
      <c r="R34" s="85"/>
      <c r="S34" s="85"/>
      <c r="T34" s="85"/>
      <c r="U34" s="85"/>
      <c r="V34" s="85"/>
      <c r="W34" s="87"/>
      <c r="X34" s="87"/>
      <c r="Y34" s="87"/>
      <c r="Z34" s="87"/>
      <c r="AA34" s="87"/>
    </row>
    <row r="35" spans="2:27" ht="12.75" customHeight="1" x14ac:dyDescent="0.25">
      <c r="B35" s="42"/>
      <c r="D35" s="482" t="s">
        <v>145</v>
      </c>
      <c r="E35" s="483"/>
      <c r="F35" s="483"/>
      <c r="G35" s="69"/>
      <c r="H35" s="80">
        <f>'US 6-Perkins Pavement 2'!L89</f>
        <v>3158.05</v>
      </c>
      <c r="I35" s="80">
        <v>0</v>
      </c>
      <c r="J35" s="80">
        <v>0</v>
      </c>
      <c r="K35" s="80">
        <v>0</v>
      </c>
      <c r="L35" s="88">
        <f>'US 6-Perkins Pavement 2'!M89</f>
        <v>1.5425738888888889</v>
      </c>
      <c r="M35" s="79">
        <v>0</v>
      </c>
      <c r="N35" s="89">
        <f>'US 6-Perkins Pavement 2'!N89</f>
        <v>111.36427020833329</v>
      </c>
      <c r="O35" s="79">
        <f>'US 6-Perkins Pavement 2'!O89</f>
        <v>3689.0855555555554</v>
      </c>
      <c r="P35" s="79">
        <f>'US 6-Perkins Pavement 2'!P89</f>
        <v>3689.0855555555554</v>
      </c>
      <c r="Q35" s="79">
        <f>'US 6-Perkins Pavement 2'!Q89</f>
        <v>360.64388888888885</v>
      </c>
      <c r="R35" s="79">
        <f>'US 6-Perkins Pavement 2'!R89</f>
        <v>571.05425925925942</v>
      </c>
      <c r="S35" s="79">
        <f>'US 6-Perkins Pavement 2'!S89</f>
        <v>32.054652777777775</v>
      </c>
      <c r="T35" s="79">
        <f>'US 6-Perkins Pavement 2'!T89</f>
        <v>386.71940000000001</v>
      </c>
      <c r="U35" s="79">
        <f>'US 6-Perkins Pavement 2'!U89</f>
        <v>89.518379629629621</v>
      </c>
      <c r="V35" s="79">
        <f>'US 6-Perkins Pavement 2'!V89</f>
        <v>104.43810956790124</v>
      </c>
      <c r="W35" s="79">
        <f>'US 6-Perkins Pavement 2'!W89</f>
        <v>20.438287037037036</v>
      </c>
      <c r="X35" s="79">
        <f>'US 6-Perkins Pavement 2'!X89</f>
        <v>34.063811728395066</v>
      </c>
      <c r="Y35" s="79">
        <f>'US 6-Perkins Pavement 2'!Y89</f>
        <v>430.04888888888888</v>
      </c>
      <c r="Z35" s="79">
        <f>'US 6-Perkins Pavement 2'!Z89</f>
        <v>75.67</v>
      </c>
      <c r="AA35" s="79">
        <f>'US 6-Perkins Pavement 2'!AA89</f>
        <v>6316.0999999999995</v>
      </c>
    </row>
    <row r="36" spans="2:27" ht="12.75" customHeight="1" x14ac:dyDescent="0.25">
      <c r="B36" s="42"/>
      <c r="D36" s="67"/>
      <c r="E36" s="68"/>
      <c r="F36" s="68"/>
      <c r="G36" s="74"/>
      <c r="H36" s="80"/>
      <c r="I36" s="80"/>
      <c r="J36" s="80"/>
      <c r="K36" s="80"/>
      <c r="L36" s="88"/>
      <c r="M36" s="79"/>
      <c r="N36" s="8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2:27" ht="12.75" customHeight="1" x14ac:dyDescent="0.25">
      <c r="B37" s="42"/>
      <c r="D37" s="482" t="s">
        <v>146</v>
      </c>
      <c r="E37" s="483"/>
      <c r="F37" s="483"/>
      <c r="G37" s="69"/>
      <c r="H37" s="80">
        <f>'US 6-Camp Pavement 1'!L89</f>
        <v>0</v>
      </c>
      <c r="I37" s="80">
        <v>0</v>
      </c>
      <c r="J37" s="80">
        <v>0</v>
      </c>
      <c r="K37" s="80">
        <v>0</v>
      </c>
      <c r="L37" s="81">
        <f>'US 6-Camp Pavement 1'!M89</f>
        <v>3.5782641666666679</v>
      </c>
      <c r="M37" s="82">
        <v>0</v>
      </c>
      <c r="N37" s="83">
        <f>'US 6-Camp Pavement 1'!N89</f>
        <v>273.19898812500037</v>
      </c>
      <c r="O37" s="82">
        <f>'US 6-Camp Pavement 1'!O89</f>
        <v>9050.0700000000124</v>
      </c>
      <c r="P37" s="82">
        <f>'US 6-Camp Pavement 1'!P89</f>
        <v>9050.0700000000124</v>
      </c>
      <c r="Q37" s="82">
        <f>'US 6-Camp Pavement 1'!Q89</f>
        <v>979.29672839506156</v>
      </c>
      <c r="R37" s="82">
        <f>'US 6-Camp Pavement 1'!R89</f>
        <v>1346.54163580247</v>
      </c>
      <c r="S37" s="82">
        <f>'US 6-Camp Pavement 1'!S89</f>
        <v>245.31648919753087</v>
      </c>
      <c r="T37" s="82">
        <f>'US 6-Camp Pavement 1'!T89</f>
        <v>1050.5104000000001</v>
      </c>
      <c r="U37" s="82">
        <f>'US 6-Camp Pavement 1'!U89</f>
        <v>243.17370370370367</v>
      </c>
      <c r="V37" s="82">
        <f>'US 6-Camp Pavement 1'!V89</f>
        <v>283.70265432098768</v>
      </c>
      <c r="W37" s="82">
        <f>'US 6-Camp Pavement 1'!W89</f>
        <v>59.686250000000008</v>
      </c>
      <c r="X37" s="82">
        <f>'US 6-Camp Pavement 1'!X89</f>
        <v>99.47708333333334</v>
      </c>
      <c r="Y37" s="82">
        <f>'US 6-Camp Pavement 2'!Y89</f>
        <v>445.10999999999996</v>
      </c>
      <c r="Z37" s="82">
        <f>'US 6-Camp Pavement 1'!Y89</f>
        <v>579.10777777777776</v>
      </c>
      <c r="AA37" s="82">
        <f>'US 6-Camp Pavement 1'!Z89</f>
        <v>0</v>
      </c>
    </row>
    <row r="38" spans="2:27" ht="12.75" customHeight="1" x14ac:dyDescent="0.25">
      <c r="B38" s="42"/>
      <c r="D38" s="480"/>
      <c r="E38" s="481"/>
      <c r="F38" s="481"/>
      <c r="G38" s="74"/>
      <c r="H38" s="75"/>
      <c r="I38" s="75"/>
      <c r="J38" s="75"/>
      <c r="K38" s="75"/>
      <c r="L38" s="84"/>
      <c r="M38" s="85"/>
      <c r="N38" s="86"/>
      <c r="O38" s="85"/>
      <c r="P38" s="85"/>
      <c r="Q38" s="85"/>
      <c r="R38" s="85"/>
      <c r="S38" s="85"/>
      <c r="T38" s="85"/>
      <c r="U38" s="85"/>
      <c r="V38" s="85"/>
      <c r="W38" s="87"/>
      <c r="X38" s="87"/>
      <c r="Y38" s="87"/>
      <c r="Z38" s="87"/>
      <c r="AA38" s="87"/>
    </row>
    <row r="39" spans="2:27" ht="12.75" customHeight="1" x14ac:dyDescent="0.25">
      <c r="B39" s="42"/>
      <c r="D39" s="482" t="s">
        <v>147</v>
      </c>
      <c r="E39" s="483"/>
      <c r="F39" s="483"/>
      <c r="G39" s="69"/>
      <c r="H39" s="80">
        <f>'US 6-Camp Pavement 2'!L89</f>
        <v>0</v>
      </c>
      <c r="I39" s="80">
        <v>0</v>
      </c>
      <c r="J39" s="80">
        <v>0</v>
      </c>
      <c r="K39" s="80">
        <v>0</v>
      </c>
      <c r="L39" s="88">
        <f>'US 6-Camp Pavement 2'!M89</f>
        <v>2.5213586111111104</v>
      </c>
      <c r="M39" s="79">
        <v>0</v>
      </c>
      <c r="N39" s="89">
        <f>'US 6-Camp Pavement 2'!N89</f>
        <v>164.22830156249992</v>
      </c>
      <c r="O39" s="79">
        <f>'US 6-Camp Pavement 2'!O89</f>
        <v>5440.2749999999924</v>
      </c>
      <c r="P39" s="79">
        <f>'US 6-Camp Pavement 2'!P89</f>
        <v>5440.2749999999924</v>
      </c>
      <c r="Q39" s="79">
        <f>'US 6-Camp Pavement 2'!Q89</f>
        <v>662.55246913580243</v>
      </c>
      <c r="R39" s="79">
        <f>'US 6-Camp Pavement 2'!R89</f>
        <v>847.59256172839457</v>
      </c>
      <c r="S39" s="79">
        <f>'US 6-Camp Pavement 2'!S89</f>
        <v>64.625918209876531</v>
      </c>
      <c r="T39" s="79">
        <f>'US 6-Camp Pavement 2'!T89</f>
        <v>709.91179999999986</v>
      </c>
      <c r="U39" s="79">
        <f>'US 6-Camp Pavement 2'!U89</f>
        <v>164.3314351851852</v>
      </c>
      <c r="V39" s="79">
        <f>'US 6-Camp Pavement 2'!V89</f>
        <v>191.72000771604939</v>
      </c>
      <c r="W39" s="79">
        <f>'US 6-Camp Pavement 2'!W89</f>
        <v>11.94449074074074</v>
      </c>
      <c r="X39" s="79">
        <f>'US 6-Camp Pavement 2'!X89</f>
        <v>19.907484567901236</v>
      </c>
      <c r="Y39" s="79">
        <v>0</v>
      </c>
      <c r="Z39" s="79">
        <f>'US 6-Camp Pavement 2'!Z89</f>
        <v>162.75888888888889</v>
      </c>
      <c r="AA39" s="79">
        <f>'US 6-Camp Pavement 2'!AA89</f>
        <v>0</v>
      </c>
    </row>
    <row r="40" spans="2:27" ht="12.75" customHeight="1" x14ac:dyDescent="0.25">
      <c r="B40" s="42"/>
      <c r="D40" s="480"/>
      <c r="E40" s="481"/>
      <c r="F40" s="481"/>
      <c r="G40" s="74"/>
      <c r="H40" s="75"/>
      <c r="I40" s="75"/>
      <c r="J40" s="75"/>
      <c r="K40" s="75"/>
      <c r="L40" s="90"/>
      <c r="M40" s="91"/>
      <c r="N40" s="92"/>
      <c r="O40" s="91"/>
      <c r="P40" s="91"/>
      <c r="Q40" s="91"/>
      <c r="R40" s="91"/>
      <c r="S40" s="91"/>
      <c r="T40" s="91"/>
      <c r="U40" s="91"/>
      <c r="V40" s="91"/>
      <c r="W40" s="93"/>
      <c r="X40" s="93"/>
      <c r="Y40" s="93"/>
      <c r="Z40" s="93"/>
      <c r="AA40" s="93"/>
    </row>
    <row r="41" spans="2:27" ht="12.75" customHeight="1" x14ac:dyDescent="0.25">
      <c r="B41" s="42"/>
      <c r="D41" s="482"/>
      <c r="E41" s="483"/>
      <c r="F41" s="483"/>
      <c r="G41" s="79"/>
      <c r="H41" s="80"/>
      <c r="I41" s="80"/>
      <c r="J41" s="80"/>
      <c r="K41" s="80"/>
      <c r="L41" s="81"/>
      <c r="M41" s="82"/>
      <c r="N41" s="94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95"/>
      <c r="AA41" s="95"/>
    </row>
    <row r="42" spans="2:27" ht="12.75" customHeight="1" x14ac:dyDescent="0.25">
      <c r="B42" s="42"/>
      <c r="D42" s="480"/>
      <c r="E42" s="481"/>
      <c r="F42" s="481"/>
      <c r="G42" s="74"/>
      <c r="H42" s="75"/>
      <c r="I42" s="75"/>
      <c r="J42" s="75"/>
      <c r="K42" s="75"/>
      <c r="L42" s="84"/>
      <c r="M42" s="85"/>
      <c r="N42" s="86"/>
      <c r="O42" s="85"/>
      <c r="P42" s="85"/>
      <c r="Q42" s="85"/>
      <c r="R42" s="85"/>
      <c r="S42" s="85"/>
      <c r="T42" s="85"/>
      <c r="U42" s="85"/>
      <c r="V42" s="85"/>
      <c r="W42" s="96"/>
      <c r="X42" s="96"/>
      <c r="Y42" s="96"/>
      <c r="Z42" s="85"/>
      <c r="AA42" s="85"/>
    </row>
    <row r="43" spans="2:27" ht="12.75" customHeight="1" x14ac:dyDescent="0.25">
      <c r="B43" s="42"/>
      <c r="D43" s="482"/>
      <c r="E43" s="483"/>
      <c r="F43" s="483"/>
      <c r="G43" s="79"/>
      <c r="H43" s="80"/>
      <c r="I43" s="80"/>
      <c r="J43" s="80"/>
      <c r="K43" s="80"/>
      <c r="L43" s="90"/>
      <c r="M43" s="91"/>
      <c r="N43" s="92"/>
      <c r="O43" s="91"/>
      <c r="P43" s="91"/>
      <c r="Q43" s="91"/>
      <c r="R43" s="91"/>
      <c r="S43" s="91"/>
      <c r="T43" s="91"/>
      <c r="U43" s="91"/>
      <c r="V43" s="91"/>
      <c r="W43" s="93"/>
      <c r="X43" s="93"/>
      <c r="Y43" s="93"/>
      <c r="Z43" s="93"/>
      <c r="AA43" s="93"/>
    </row>
    <row r="44" spans="2:27" ht="12.75" customHeight="1" x14ac:dyDescent="0.25">
      <c r="B44" s="42"/>
      <c r="D44" s="480"/>
      <c r="E44" s="481"/>
      <c r="F44" s="481"/>
      <c r="G44" s="74"/>
      <c r="H44" s="75"/>
      <c r="I44" s="75"/>
      <c r="J44" s="75"/>
      <c r="K44" s="75"/>
      <c r="L44" s="81"/>
      <c r="M44" s="82"/>
      <c r="N44" s="94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95"/>
      <c r="AA44" s="95"/>
    </row>
    <row r="45" spans="2:27" ht="12.75" customHeight="1" x14ac:dyDescent="0.25">
      <c r="B45" s="42"/>
      <c r="D45" s="482"/>
      <c r="E45" s="483"/>
      <c r="F45" s="483"/>
      <c r="G45" s="79"/>
      <c r="H45" s="80"/>
      <c r="I45" s="80"/>
      <c r="J45" s="80"/>
      <c r="K45" s="80"/>
      <c r="L45" s="90"/>
      <c r="M45" s="91"/>
      <c r="N45" s="97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2:27" ht="12.75" customHeight="1" x14ac:dyDescent="0.25">
      <c r="B46" s="42"/>
      <c r="D46" s="480"/>
      <c r="E46" s="481"/>
      <c r="F46" s="481"/>
      <c r="G46" s="74"/>
      <c r="H46" s="75"/>
      <c r="I46" s="75"/>
      <c r="J46" s="75"/>
      <c r="K46" s="75"/>
      <c r="L46" s="98"/>
      <c r="M46" s="99"/>
      <c r="N46" s="100"/>
      <c r="O46" s="99"/>
      <c r="P46" s="99"/>
      <c r="Q46" s="99"/>
      <c r="R46" s="99"/>
      <c r="S46" s="99"/>
      <c r="T46" s="99"/>
      <c r="U46" s="99"/>
      <c r="V46" s="99"/>
      <c r="W46" s="101"/>
      <c r="X46" s="101"/>
      <c r="Y46" s="101"/>
      <c r="Z46" s="99"/>
      <c r="AA46" s="99"/>
    </row>
    <row r="47" spans="2:27" ht="12.75" customHeight="1" x14ac:dyDescent="0.25">
      <c r="B47" s="42"/>
      <c r="D47" s="482"/>
      <c r="E47" s="483"/>
      <c r="F47" s="483"/>
      <c r="G47" s="79"/>
      <c r="H47" s="80"/>
      <c r="I47" s="80"/>
      <c r="J47" s="80"/>
      <c r="K47" s="80"/>
      <c r="L47" s="102"/>
      <c r="M47" s="103"/>
      <c r="N47" s="104"/>
      <c r="O47" s="103"/>
      <c r="P47" s="103"/>
      <c r="Q47" s="103"/>
      <c r="R47" s="103"/>
      <c r="S47" s="103"/>
      <c r="T47" s="103"/>
      <c r="U47" s="103"/>
      <c r="V47" s="103"/>
      <c r="W47" s="105"/>
      <c r="X47" s="105"/>
      <c r="Y47" s="105"/>
      <c r="Z47" s="103"/>
      <c r="AA47" s="103"/>
    </row>
    <row r="48" spans="2:27" ht="12.75" customHeight="1" x14ac:dyDescent="0.25">
      <c r="B48" s="42"/>
      <c r="D48" s="480"/>
      <c r="E48" s="481"/>
      <c r="F48" s="481"/>
      <c r="G48" s="74"/>
      <c r="H48" s="75"/>
      <c r="I48" s="75"/>
      <c r="J48" s="75"/>
      <c r="K48" s="75"/>
      <c r="L48" s="98"/>
      <c r="M48" s="99"/>
      <c r="N48" s="100"/>
      <c r="O48" s="99"/>
      <c r="P48" s="99"/>
      <c r="Q48" s="99"/>
      <c r="R48" s="99"/>
      <c r="S48" s="99"/>
      <c r="T48" s="99"/>
      <c r="U48" s="99"/>
      <c r="V48" s="99"/>
      <c r="W48" s="96"/>
      <c r="X48" s="96"/>
      <c r="Y48" s="96"/>
      <c r="Z48" s="99"/>
      <c r="AA48" s="99"/>
    </row>
    <row r="49" spans="2:27" ht="12.75" customHeight="1" x14ac:dyDescent="0.25">
      <c r="B49" s="42"/>
      <c r="D49" s="482"/>
      <c r="E49" s="483"/>
      <c r="F49" s="483"/>
      <c r="G49" s="79"/>
      <c r="H49" s="80"/>
      <c r="I49" s="80"/>
      <c r="J49" s="80"/>
      <c r="K49" s="80"/>
      <c r="L49" s="106"/>
      <c r="M49" s="107"/>
      <c r="N49" s="108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96"/>
      <c r="AA49" s="96"/>
    </row>
    <row r="50" spans="2:27" ht="12.75" customHeight="1" x14ac:dyDescent="0.25">
      <c r="B50" s="42"/>
      <c r="D50" s="480"/>
      <c r="E50" s="481"/>
      <c r="F50" s="481"/>
      <c r="G50" s="74"/>
      <c r="H50" s="75"/>
      <c r="I50" s="75"/>
      <c r="J50" s="75"/>
      <c r="K50" s="75"/>
      <c r="L50" s="90"/>
      <c r="M50" s="91"/>
      <c r="N50" s="97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2:27" ht="12.75" customHeight="1" x14ac:dyDescent="0.25">
      <c r="B51" s="42"/>
      <c r="D51" s="482"/>
      <c r="E51" s="483"/>
      <c r="F51" s="483"/>
      <c r="G51" s="79"/>
      <c r="H51" s="80"/>
      <c r="I51" s="80"/>
      <c r="J51" s="80"/>
      <c r="K51" s="80"/>
      <c r="L51" s="90"/>
      <c r="M51" s="91"/>
      <c r="N51" s="92"/>
      <c r="O51" s="91"/>
      <c r="P51" s="91"/>
      <c r="Q51" s="91"/>
      <c r="R51" s="91"/>
      <c r="S51" s="91"/>
      <c r="T51" s="91"/>
      <c r="U51" s="91"/>
      <c r="V51" s="91"/>
      <c r="W51" s="93"/>
      <c r="X51" s="93"/>
      <c r="Y51" s="93"/>
      <c r="Z51" s="93"/>
      <c r="AA51" s="93"/>
    </row>
    <row r="52" spans="2:27" ht="12.75" customHeight="1" x14ac:dyDescent="0.25">
      <c r="B52" s="42"/>
      <c r="D52" s="480"/>
      <c r="E52" s="481"/>
      <c r="F52" s="481"/>
      <c r="G52" s="74"/>
      <c r="H52" s="75"/>
      <c r="I52" s="75"/>
      <c r="J52" s="75"/>
      <c r="K52" s="75"/>
      <c r="L52" s="81"/>
      <c r="M52" s="82"/>
      <c r="N52" s="94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95"/>
      <c r="AA52" s="95"/>
    </row>
    <row r="53" spans="2:27" ht="12.75" customHeight="1" x14ac:dyDescent="0.25">
      <c r="B53" s="42"/>
      <c r="D53" s="482"/>
      <c r="E53" s="483"/>
      <c r="F53" s="483"/>
      <c r="G53" s="79"/>
      <c r="H53" s="80"/>
      <c r="I53" s="80"/>
      <c r="J53" s="80"/>
      <c r="K53" s="80"/>
      <c r="L53" s="84"/>
      <c r="M53" s="85"/>
      <c r="N53" s="86"/>
      <c r="O53" s="85"/>
      <c r="P53" s="85"/>
      <c r="Q53" s="85"/>
      <c r="R53" s="85"/>
      <c r="S53" s="85"/>
      <c r="T53" s="85"/>
      <c r="U53" s="85"/>
      <c r="V53" s="85"/>
      <c r="W53" s="96"/>
      <c r="X53" s="96"/>
      <c r="Y53" s="96"/>
      <c r="Z53" s="85"/>
      <c r="AA53" s="85"/>
    </row>
    <row r="54" spans="2:27" ht="12.75" customHeight="1" x14ac:dyDescent="0.25">
      <c r="B54" s="42"/>
      <c r="D54" s="480"/>
      <c r="E54" s="481"/>
      <c r="F54" s="481"/>
      <c r="G54" s="74"/>
      <c r="H54" s="75"/>
      <c r="I54" s="75"/>
      <c r="J54" s="75"/>
      <c r="K54" s="75"/>
      <c r="L54" s="90"/>
      <c r="M54" s="91"/>
      <c r="N54" s="92"/>
      <c r="O54" s="91"/>
      <c r="P54" s="91"/>
      <c r="Q54" s="91"/>
      <c r="R54" s="91"/>
      <c r="S54" s="91"/>
      <c r="T54" s="91"/>
      <c r="U54" s="91"/>
      <c r="V54" s="91"/>
      <c r="W54" s="93"/>
      <c r="X54" s="93"/>
      <c r="Y54" s="93"/>
      <c r="Z54" s="93"/>
      <c r="AA54" s="93"/>
    </row>
    <row r="55" spans="2:27" ht="12.75" customHeight="1" x14ac:dyDescent="0.25">
      <c r="B55" s="42"/>
      <c r="D55" s="482"/>
      <c r="E55" s="483"/>
      <c r="F55" s="483"/>
      <c r="G55" s="79"/>
      <c r="H55" s="80"/>
      <c r="I55" s="80"/>
      <c r="J55" s="80"/>
      <c r="K55" s="80"/>
      <c r="L55" s="81"/>
      <c r="M55" s="82"/>
      <c r="N55" s="94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95"/>
      <c r="AA55" s="95"/>
    </row>
    <row r="56" spans="2:27" ht="12.75" customHeight="1" x14ac:dyDescent="0.25">
      <c r="B56" s="42"/>
      <c r="D56" s="480"/>
      <c r="E56" s="481"/>
      <c r="F56" s="481"/>
      <c r="G56" s="74"/>
      <c r="H56" s="75"/>
      <c r="I56" s="75"/>
      <c r="J56" s="75"/>
      <c r="K56" s="75"/>
      <c r="L56" s="109"/>
      <c r="M56" s="110"/>
      <c r="N56" s="111"/>
      <c r="O56" s="110"/>
      <c r="P56" s="110"/>
      <c r="Q56" s="110"/>
      <c r="R56" s="110"/>
      <c r="S56" s="110"/>
      <c r="T56" s="110"/>
      <c r="U56" s="110"/>
      <c r="V56" s="110"/>
      <c r="W56" s="112"/>
      <c r="X56" s="112"/>
      <c r="Y56" s="112"/>
      <c r="Z56" s="110"/>
      <c r="AA56" s="110"/>
    </row>
    <row r="57" spans="2:27" ht="12.75" customHeight="1" x14ac:dyDescent="0.25">
      <c r="B57" s="42"/>
      <c r="D57" s="482"/>
      <c r="E57" s="483"/>
      <c r="F57" s="483"/>
      <c r="G57" s="79"/>
      <c r="H57" s="80"/>
      <c r="I57" s="80"/>
      <c r="J57" s="80"/>
      <c r="K57" s="80"/>
      <c r="L57" s="84"/>
      <c r="M57" s="85"/>
      <c r="N57" s="86"/>
      <c r="O57" s="85"/>
      <c r="P57" s="85"/>
      <c r="Q57" s="85"/>
      <c r="R57" s="85"/>
      <c r="S57" s="85"/>
      <c r="T57" s="85"/>
      <c r="U57" s="85"/>
      <c r="V57" s="85"/>
      <c r="W57" s="87"/>
      <c r="X57" s="87"/>
      <c r="Y57" s="87"/>
      <c r="Z57" s="87"/>
      <c r="AA57" s="87"/>
    </row>
    <row r="58" spans="2:27" ht="12.75" customHeight="1" x14ac:dyDescent="0.25">
      <c r="B58" s="42"/>
      <c r="D58" s="480"/>
      <c r="E58" s="481"/>
      <c r="F58" s="481"/>
      <c r="G58" s="74"/>
      <c r="H58" s="75"/>
      <c r="I58" s="75"/>
      <c r="J58" s="75"/>
      <c r="K58" s="75"/>
      <c r="L58" s="113"/>
      <c r="M58" s="114"/>
      <c r="N58" s="115"/>
      <c r="O58" s="114"/>
      <c r="P58" s="114"/>
      <c r="Q58" s="114"/>
      <c r="R58" s="114"/>
      <c r="S58" s="114"/>
      <c r="T58" s="114"/>
      <c r="U58" s="114"/>
      <c r="V58" s="114"/>
      <c r="W58" s="96"/>
      <c r="X58" s="96"/>
      <c r="Y58" s="96"/>
      <c r="Z58" s="114"/>
      <c r="AA58" s="114"/>
    </row>
    <row r="59" spans="2:27" ht="12.75" customHeight="1" x14ac:dyDescent="0.25">
      <c r="B59" s="42"/>
      <c r="D59" s="482"/>
      <c r="E59" s="483"/>
      <c r="F59" s="483"/>
      <c r="G59" s="79"/>
      <c r="H59" s="80"/>
      <c r="I59" s="80"/>
      <c r="J59" s="80"/>
      <c r="K59" s="80"/>
      <c r="L59" s="98"/>
      <c r="M59" s="99"/>
      <c r="N59" s="100"/>
      <c r="O59" s="99"/>
      <c r="P59" s="99"/>
      <c r="Q59" s="99"/>
      <c r="R59" s="99"/>
      <c r="S59" s="99"/>
      <c r="T59" s="99"/>
      <c r="U59" s="99"/>
      <c r="V59" s="99"/>
      <c r="W59" s="101"/>
      <c r="X59" s="101"/>
      <c r="Y59" s="101"/>
      <c r="Z59" s="99"/>
      <c r="AA59" s="99"/>
    </row>
    <row r="60" spans="2:27" ht="12.75" customHeight="1" x14ac:dyDescent="0.25">
      <c r="B60" s="42"/>
      <c r="D60" s="480"/>
      <c r="E60" s="481"/>
      <c r="F60" s="481"/>
      <c r="G60" s="74"/>
      <c r="H60" s="75"/>
      <c r="I60" s="75"/>
      <c r="J60" s="75"/>
      <c r="K60" s="75"/>
      <c r="L60" s="102"/>
      <c r="M60" s="103"/>
      <c r="N60" s="104"/>
      <c r="O60" s="103"/>
      <c r="P60" s="103"/>
      <c r="Q60" s="103"/>
      <c r="R60" s="103"/>
      <c r="S60" s="103"/>
      <c r="T60" s="103"/>
      <c r="U60" s="103"/>
      <c r="V60" s="103"/>
      <c r="W60" s="105"/>
      <c r="X60" s="105"/>
      <c r="Y60" s="105"/>
      <c r="Z60" s="103"/>
      <c r="AA60" s="103"/>
    </row>
    <row r="61" spans="2:27" ht="12.75" customHeight="1" x14ac:dyDescent="0.25">
      <c r="B61" s="42"/>
      <c r="D61" s="482"/>
      <c r="E61" s="483"/>
      <c r="F61" s="483"/>
      <c r="G61" s="79"/>
      <c r="H61" s="80"/>
      <c r="I61" s="80"/>
      <c r="J61" s="80"/>
      <c r="K61" s="80"/>
      <c r="L61" s="116"/>
      <c r="M61" s="117"/>
      <c r="N61" s="118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85"/>
      <c r="AA61" s="85"/>
    </row>
    <row r="62" spans="2:27" ht="12.75" customHeight="1" x14ac:dyDescent="0.25">
      <c r="B62" s="42"/>
      <c r="D62" s="480"/>
      <c r="E62" s="481"/>
      <c r="F62" s="481"/>
      <c r="G62" s="74"/>
      <c r="H62" s="75"/>
      <c r="I62" s="75"/>
      <c r="J62" s="75"/>
      <c r="K62" s="75"/>
      <c r="L62" s="90"/>
      <c r="M62" s="91"/>
      <c r="N62" s="92"/>
      <c r="O62" s="91"/>
      <c r="P62" s="91"/>
      <c r="Q62" s="91"/>
      <c r="R62" s="91"/>
      <c r="S62" s="91"/>
      <c r="T62" s="91"/>
      <c r="U62" s="91"/>
      <c r="V62" s="91"/>
      <c r="W62" s="93"/>
      <c r="X62" s="93"/>
      <c r="Y62" s="93"/>
      <c r="Z62" s="93"/>
      <c r="AA62" s="93"/>
    </row>
    <row r="63" spans="2:27" ht="12.75" customHeight="1" x14ac:dyDescent="0.25">
      <c r="B63" s="42"/>
      <c r="D63" s="482"/>
      <c r="E63" s="483"/>
      <c r="F63" s="483"/>
      <c r="G63" s="79"/>
      <c r="H63" s="80"/>
      <c r="I63" s="80"/>
      <c r="J63" s="80"/>
      <c r="K63" s="80"/>
      <c r="L63" s="84"/>
      <c r="M63" s="85"/>
      <c r="N63" s="86"/>
      <c r="O63" s="85"/>
      <c r="P63" s="85"/>
      <c r="Q63" s="85"/>
      <c r="R63" s="85"/>
      <c r="S63" s="85"/>
      <c r="T63" s="85"/>
      <c r="U63" s="85"/>
      <c r="V63" s="85"/>
      <c r="W63" s="87"/>
      <c r="X63" s="87"/>
      <c r="Y63" s="87"/>
      <c r="Z63" s="85"/>
      <c r="AA63" s="85"/>
    </row>
    <row r="64" spans="2:27" ht="12.75" customHeight="1" x14ac:dyDescent="0.25">
      <c r="B64" s="42"/>
      <c r="D64" s="480"/>
      <c r="E64" s="481"/>
      <c r="F64" s="481"/>
      <c r="G64" s="74"/>
      <c r="H64" s="75"/>
      <c r="I64" s="75"/>
      <c r="J64" s="75"/>
      <c r="K64" s="75"/>
      <c r="L64" s="90"/>
      <c r="M64" s="91"/>
      <c r="N64" s="97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</row>
    <row r="65" spans="2:27" ht="12.75" customHeight="1" x14ac:dyDescent="0.25">
      <c r="B65" s="42"/>
      <c r="D65" s="482"/>
      <c r="E65" s="483"/>
      <c r="F65" s="483"/>
      <c r="G65" s="79"/>
      <c r="H65" s="80"/>
      <c r="I65" s="80"/>
      <c r="J65" s="80"/>
      <c r="K65" s="80"/>
      <c r="L65" s="90"/>
      <c r="M65" s="91"/>
      <c r="N65" s="92"/>
      <c r="O65" s="91"/>
      <c r="P65" s="91"/>
      <c r="Q65" s="91"/>
      <c r="R65" s="91"/>
      <c r="S65" s="91"/>
      <c r="T65" s="91"/>
      <c r="U65" s="91"/>
      <c r="V65" s="91"/>
      <c r="W65" s="93"/>
      <c r="X65" s="93"/>
      <c r="Y65" s="93"/>
      <c r="Z65" s="93"/>
      <c r="AA65" s="93"/>
    </row>
    <row r="66" spans="2:27" ht="12.75" customHeight="1" x14ac:dyDescent="0.25">
      <c r="B66" s="42"/>
      <c r="D66" s="480"/>
      <c r="E66" s="481"/>
      <c r="F66" s="481"/>
      <c r="G66" s="74"/>
      <c r="H66" s="75"/>
      <c r="I66" s="75"/>
      <c r="J66" s="75"/>
      <c r="K66" s="75"/>
      <c r="L66" s="81"/>
      <c r="M66" s="82"/>
      <c r="N66" s="94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95"/>
      <c r="AA66" s="95"/>
    </row>
    <row r="67" spans="2:27" ht="12.75" customHeight="1" x14ac:dyDescent="0.25">
      <c r="B67" s="42"/>
      <c r="D67" s="482"/>
      <c r="E67" s="483"/>
      <c r="F67" s="483"/>
      <c r="G67" s="79"/>
      <c r="H67" s="80"/>
      <c r="I67" s="80"/>
      <c r="J67" s="80"/>
      <c r="K67" s="80"/>
      <c r="L67" s="109"/>
      <c r="M67" s="110"/>
      <c r="N67" s="111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2:27" ht="12.75" customHeight="1" x14ac:dyDescent="0.25">
      <c r="B68" s="42"/>
      <c r="D68" s="480"/>
      <c r="E68" s="481"/>
      <c r="F68" s="481"/>
      <c r="G68" s="74"/>
      <c r="H68" s="75"/>
      <c r="I68" s="75"/>
      <c r="J68" s="75"/>
      <c r="K68" s="75"/>
      <c r="L68" s="84"/>
      <c r="M68" s="85"/>
      <c r="N68" s="86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7"/>
      <c r="AA68" s="87"/>
    </row>
    <row r="69" spans="2:27" ht="12.75" customHeight="1" x14ac:dyDescent="0.25">
      <c r="B69" s="42"/>
      <c r="D69" s="482"/>
      <c r="E69" s="483"/>
      <c r="F69" s="483"/>
      <c r="G69" s="79"/>
      <c r="H69" s="80"/>
      <c r="I69" s="80"/>
      <c r="J69" s="80"/>
      <c r="K69" s="80"/>
      <c r="L69" s="90"/>
      <c r="M69" s="91"/>
      <c r="N69" s="97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6"/>
      <c r="AA69" s="96"/>
    </row>
    <row r="70" spans="2:27" ht="12.75" customHeight="1" x14ac:dyDescent="0.25">
      <c r="B70" s="42"/>
      <c r="D70" s="480"/>
      <c r="E70" s="481"/>
      <c r="F70" s="481"/>
      <c r="G70" s="74"/>
      <c r="H70" s="75"/>
      <c r="I70" s="75"/>
      <c r="J70" s="75"/>
      <c r="K70" s="75"/>
      <c r="L70" s="119"/>
      <c r="M70" s="120"/>
      <c r="N70" s="121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2"/>
      <c r="AA70" s="122"/>
    </row>
    <row r="71" spans="2:27" ht="12.75" customHeight="1" x14ac:dyDescent="0.25">
      <c r="B71" s="42"/>
      <c r="D71" s="482"/>
      <c r="E71" s="483"/>
      <c r="F71" s="483"/>
      <c r="G71" s="79"/>
      <c r="H71" s="80"/>
      <c r="I71" s="80"/>
      <c r="J71" s="80"/>
      <c r="K71" s="80"/>
      <c r="L71" s="116"/>
      <c r="M71" s="117"/>
      <c r="N71" s="118"/>
      <c r="O71" s="117"/>
      <c r="P71" s="117"/>
      <c r="Q71" s="117"/>
      <c r="R71" s="91"/>
      <c r="S71" s="117"/>
      <c r="T71" s="117"/>
      <c r="U71" s="117"/>
      <c r="V71" s="117"/>
      <c r="W71" s="117"/>
      <c r="X71" s="117"/>
      <c r="Y71" s="117"/>
      <c r="Z71" s="96"/>
      <c r="AA71" s="96"/>
    </row>
    <row r="72" spans="2:27" ht="12.75" customHeight="1" x14ac:dyDescent="0.25">
      <c r="B72" s="42"/>
      <c r="D72" s="480"/>
      <c r="E72" s="481"/>
      <c r="F72" s="481"/>
      <c r="G72" s="74"/>
      <c r="H72" s="75"/>
      <c r="I72" s="75"/>
      <c r="J72" s="75"/>
      <c r="K72" s="75"/>
      <c r="L72" s="119"/>
      <c r="M72" s="120"/>
      <c r="N72" s="121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2"/>
      <c r="AA72" s="122"/>
    </row>
    <row r="73" spans="2:27" ht="12.75" customHeight="1" x14ac:dyDescent="0.25">
      <c r="B73" s="42"/>
      <c r="D73" s="482"/>
      <c r="E73" s="483"/>
      <c r="F73" s="483"/>
      <c r="G73" s="79"/>
      <c r="H73" s="80"/>
      <c r="I73" s="80"/>
      <c r="J73" s="80"/>
      <c r="K73" s="80"/>
      <c r="L73" s="116"/>
      <c r="M73" s="117"/>
      <c r="N73" s="118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96"/>
      <c r="AA73" s="96"/>
    </row>
    <row r="74" spans="2:27" ht="12.75" customHeight="1" x14ac:dyDescent="0.25">
      <c r="B74" s="42"/>
      <c r="D74" s="480"/>
      <c r="E74" s="481"/>
      <c r="F74" s="481"/>
      <c r="G74" s="74"/>
      <c r="H74" s="75"/>
      <c r="I74" s="75"/>
      <c r="J74" s="75"/>
      <c r="K74" s="75"/>
      <c r="L74" s="90"/>
      <c r="M74" s="91"/>
      <c r="N74" s="92"/>
      <c r="O74" s="91"/>
      <c r="P74" s="91"/>
      <c r="Q74" s="91"/>
      <c r="R74" s="91"/>
      <c r="S74" s="91"/>
      <c r="T74" s="91"/>
      <c r="U74" s="91"/>
      <c r="V74" s="91"/>
      <c r="W74" s="93"/>
      <c r="X74" s="93"/>
      <c r="Y74" s="93"/>
      <c r="Z74" s="93"/>
      <c r="AA74" s="93"/>
    </row>
    <row r="75" spans="2:27" ht="12.75" customHeight="1" x14ac:dyDescent="0.25">
      <c r="B75" s="42"/>
      <c r="D75" s="482"/>
      <c r="E75" s="483"/>
      <c r="F75" s="483"/>
      <c r="G75" s="79"/>
      <c r="H75" s="80"/>
      <c r="I75" s="80"/>
      <c r="J75" s="80"/>
      <c r="K75" s="80"/>
      <c r="L75" s="84"/>
      <c r="M75" s="85"/>
      <c r="N75" s="86"/>
      <c r="O75" s="85"/>
      <c r="P75" s="85"/>
      <c r="Q75" s="85"/>
      <c r="R75" s="85"/>
      <c r="S75" s="85"/>
      <c r="T75" s="85"/>
      <c r="U75" s="85"/>
      <c r="V75" s="85"/>
      <c r="W75" s="87"/>
      <c r="X75" s="87"/>
      <c r="Y75" s="87"/>
      <c r="Z75" s="85"/>
      <c r="AA75" s="85"/>
    </row>
    <row r="76" spans="2:27" ht="12.75" customHeight="1" x14ac:dyDescent="0.25">
      <c r="B76" s="42"/>
      <c r="D76" s="480"/>
      <c r="E76" s="481"/>
      <c r="F76" s="481"/>
      <c r="G76" s="74"/>
      <c r="H76" s="75"/>
      <c r="I76" s="75"/>
      <c r="J76" s="75"/>
      <c r="K76" s="75"/>
      <c r="L76" s="81"/>
      <c r="M76" s="82"/>
      <c r="N76" s="94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95"/>
      <c r="AA76" s="95"/>
    </row>
    <row r="77" spans="2:27" ht="12.75" customHeight="1" x14ac:dyDescent="0.25">
      <c r="B77" s="42"/>
      <c r="D77" s="482"/>
      <c r="E77" s="483"/>
      <c r="F77" s="483"/>
      <c r="G77" s="79"/>
      <c r="H77" s="80"/>
      <c r="I77" s="80"/>
      <c r="J77" s="80"/>
      <c r="K77" s="80"/>
      <c r="L77" s="123"/>
      <c r="M77" s="96"/>
      <c r="N77" s="123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</row>
    <row r="78" spans="2:27" ht="12.75" customHeight="1" x14ac:dyDescent="0.25">
      <c r="B78" s="42"/>
      <c r="D78" s="480"/>
      <c r="E78" s="481"/>
      <c r="F78" s="481"/>
      <c r="G78" s="74"/>
      <c r="H78" s="75"/>
      <c r="I78" s="75"/>
      <c r="J78" s="75"/>
      <c r="K78" s="75"/>
      <c r="L78" s="90"/>
      <c r="M78" s="91"/>
      <c r="N78" s="92"/>
      <c r="O78" s="91"/>
      <c r="P78" s="91"/>
      <c r="Q78" s="91"/>
      <c r="R78" s="91"/>
      <c r="S78" s="91"/>
      <c r="T78" s="91"/>
      <c r="U78" s="91"/>
      <c r="V78" s="91"/>
      <c r="W78" s="93"/>
      <c r="X78" s="93"/>
      <c r="Y78" s="93"/>
      <c r="Z78" s="93"/>
      <c r="AA78" s="93"/>
    </row>
    <row r="79" spans="2:27" ht="12.75" customHeight="1" x14ac:dyDescent="0.25">
      <c r="B79" s="42"/>
      <c r="D79" s="72"/>
      <c r="E79" s="73"/>
      <c r="F79" s="73"/>
      <c r="G79" s="74"/>
      <c r="H79" s="75"/>
      <c r="I79" s="75"/>
      <c r="J79" s="75"/>
      <c r="K79" s="75"/>
      <c r="L79" s="90"/>
      <c r="M79" s="91"/>
      <c r="N79" s="92"/>
      <c r="O79" s="91"/>
      <c r="P79" s="91"/>
      <c r="Q79" s="91"/>
      <c r="R79" s="91"/>
      <c r="S79" s="91"/>
      <c r="T79" s="91"/>
      <c r="U79" s="91"/>
      <c r="V79" s="91"/>
      <c r="W79" s="93"/>
      <c r="X79" s="93"/>
      <c r="Y79" s="93"/>
      <c r="Z79" s="93"/>
      <c r="AA79" s="93"/>
    </row>
    <row r="80" spans="2:27" ht="12.75" customHeight="1" x14ac:dyDescent="0.25">
      <c r="B80" s="42"/>
      <c r="D80" s="482"/>
      <c r="E80" s="483"/>
      <c r="F80" s="483"/>
      <c r="G80" s="79"/>
      <c r="H80" s="80"/>
      <c r="I80" s="80"/>
      <c r="J80" s="80"/>
      <c r="K80" s="80"/>
      <c r="L80" s="84"/>
      <c r="M80" s="85"/>
      <c r="N80" s="86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7"/>
      <c r="AA80" s="87"/>
    </row>
    <row r="81" spans="2:27" ht="12.75" customHeight="1" x14ac:dyDescent="0.25">
      <c r="B81" s="42"/>
      <c r="D81" s="482"/>
      <c r="E81" s="483"/>
      <c r="F81" s="483"/>
      <c r="G81" s="79"/>
      <c r="H81" s="80"/>
      <c r="I81" s="80"/>
      <c r="J81" s="80"/>
      <c r="K81" s="80"/>
      <c r="L81" s="124"/>
      <c r="M81" s="125"/>
      <c r="N81" s="124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</row>
    <row r="82" spans="2:27" ht="12.75" customHeight="1" x14ac:dyDescent="0.25">
      <c r="B82" s="42"/>
      <c r="D82" s="67"/>
      <c r="E82" s="68"/>
      <c r="F82" s="68"/>
      <c r="G82" s="79"/>
      <c r="H82" s="80"/>
      <c r="I82" s="80"/>
      <c r="J82" s="80"/>
      <c r="K82" s="80"/>
      <c r="L82" s="124"/>
      <c r="M82" s="125"/>
      <c r="N82" s="124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</row>
    <row r="83" spans="2:27" ht="12.75" customHeight="1" x14ac:dyDescent="0.25">
      <c r="B83" s="42"/>
      <c r="D83" s="480"/>
      <c r="E83" s="481"/>
      <c r="F83" s="481"/>
      <c r="G83" s="74"/>
      <c r="H83" s="75"/>
      <c r="I83" s="75"/>
      <c r="J83" s="75"/>
      <c r="K83" s="75"/>
      <c r="L83" s="123"/>
      <c r="M83" s="96"/>
      <c r="N83" s="123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</row>
    <row r="84" spans="2:27" ht="12.75" customHeight="1" x14ac:dyDescent="0.25">
      <c r="B84" s="42"/>
      <c r="D84" s="482"/>
      <c r="E84" s="483"/>
      <c r="F84" s="483"/>
      <c r="G84" s="79"/>
      <c r="H84" s="80"/>
      <c r="I84" s="80"/>
      <c r="J84" s="80"/>
      <c r="K84" s="80"/>
      <c r="L84" s="123"/>
      <c r="M84" s="96"/>
      <c r="N84" s="123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</row>
    <row r="85" spans="2:27" ht="12.75" customHeight="1" x14ac:dyDescent="0.25">
      <c r="B85" s="42"/>
      <c r="D85" s="480"/>
      <c r="E85" s="481"/>
      <c r="F85" s="481"/>
      <c r="G85" s="74"/>
      <c r="H85" s="75"/>
      <c r="I85" s="75"/>
      <c r="J85" s="75"/>
      <c r="K85" s="75"/>
      <c r="L85" s="123"/>
      <c r="M85" s="96"/>
      <c r="N85" s="123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</row>
    <row r="86" spans="2:27" ht="12.75" customHeight="1" x14ac:dyDescent="0.25">
      <c r="B86" s="42"/>
      <c r="D86" s="480"/>
      <c r="E86" s="481"/>
      <c r="F86" s="481"/>
      <c r="G86" s="74"/>
      <c r="H86" s="75"/>
      <c r="I86" s="75"/>
      <c r="J86" s="75"/>
      <c r="K86" s="75"/>
      <c r="L86" s="123"/>
      <c r="M86" s="96"/>
      <c r="N86" s="123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</row>
    <row r="87" spans="2:27" ht="12.75" customHeight="1" thickBot="1" x14ac:dyDescent="0.3">
      <c r="B87" s="43"/>
      <c r="D87" s="482"/>
      <c r="E87" s="483"/>
      <c r="F87" s="483"/>
      <c r="G87" s="126"/>
      <c r="H87" s="127"/>
      <c r="I87" s="127"/>
      <c r="J87" s="127"/>
      <c r="K87" s="127"/>
      <c r="L87" s="128"/>
      <c r="M87" s="129"/>
      <c r="N87" s="128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</row>
    <row r="88" spans="2:27" ht="12.75" customHeight="1" thickBot="1" x14ac:dyDescent="0.3">
      <c r="D88" s="130" t="str">
        <f>IF(E88&lt;&gt;"",F88-E88,"")</f>
        <v/>
      </c>
      <c r="E88" s="131"/>
      <c r="F88" s="131"/>
      <c r="G88" s="132"/>
      <c r="H88" s="133"/>
      <c r="I88" s="133"/>
      <c r="J88" s="133"/>
      <c r="K88" s="133"/>
      <c r="L88" s="128"/>
      <c r="M88" s="129"/>
      <c r="N88" s="128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</row>
    <row r="89" spans="2:27" ht="37.950000000000003" customHeight="1" thickBot="1" x14ac:dyDescent="0.3">
      <c r="B89" s="6" t="s">
        <v>17</v>
      </c>
      <c r="D89" s="484" t="s">
        <v>128</v>
      </c>
      <c r="E89" s="445"/>
      <c r="F89" s="445"/>
      <c r="G89" s="134"/>
      <c r="H89" s="134">
        <f t="shared" ref="H89:M89" si="9">SUM(H29:H88)</f>
        <v>3158.05</v>
      </c>
      <c r="I89" s="134">
        <f t="shared" si="9"/>
        <v>3140.1066666666666</v>
      </c>
      <c r="J89" s="134">
        <f t="shared" si="9"/>
        <v>1221.1525925925926</v>
      </c>
      <c r="K89" s="134">
        <f t="shared" si="9"/>
        <v>1221.1525925925926</v>
      </c>
      <c r="L89" s="135">
        <f t="shared" si="9"/>
        <v>16.270657222222223</v>
      </c>
      <c r="M89" s="134">
        <f t="shared" si="9"/>
        <v>3140.1066666666666</v>
      </c>
      <c r="N89" s="136">
        <f t="shared" ref="N89:AA89" si="10">SUM(N28:N88)</f>
        <v>1529.3321239583338</v>
      </c>
      <c r="O89" s="134">
        <f t="shared" si="10"/>
        <v>50661.105555555579</v>
      </c>
      <c r="P89" s="134">
        <f t="shared" si="10"/>
        <v>50661.105555555579</v>
      </c>
      <c r="Q89" s="134">
        <f t="shared" si="10"/>
        <v>4689.7345493827152</v>
      </c>
      <c r="R89" s="134">
        <f t="shared" si="10"/>
        <v>8152.7222901234591</v>
      </c>
      <c r="S89" s="134">
        <f t="shared" si="10"/>
        <v>518.01425925925923</v>
      </c>
      <c r="T89" s="134">
        <f t="shared" si="10"/>
        <v>5028.7319000000007</v>
      </c>
      <c r="U89" s="134">
        <f t="shared" si="10"/>
        <v>1162.1490740740742</v>
      </c>
      <c r="V89" s="134">
        <f t="shared" si="10"/>
        <v>1355.8405864197532</v>
      </c>
      <c r="W89" s="134">
        <f t="shared" si="10"/>
        <v>686.52722222222235</v>
      </c>
      <c r="X89" s="134">
        <f t="shared" si="10"/>
        <v>1144.2120370370374</v>
      </c>
      <c r="Y89" s="134">
        <f t="shared" si="10"/>
        <v>875.1588888888889</v>
      </c>
      <c r="Z89" s="134">
        <f t="shared" si="10"/>
        <v>1229.211111111111</v>
      </c>
      <c r="AA89" s="134">
        <f t="shared" si="10"/>
        <v>6316.0999999999995</v>
      </c>
    </row>
    <row r="90" spans="2:27" ht="45" customHeight="1" thickBot="1" x14ac:dyDescent="0.3">
      <c r="D90" s="493" t="s">
        <v>129</v>
      </c>
      <c r="E90" s="494"/>
      <c r="F90" s="494"/>
      <c r="G90" s="134"/>
      <c r="H90" s="134">
        <f>H99</f>
        <v>3158.05</v>
      </c>
      <c r="I90" s="134">
        <f t="shared" ref="I90:AA90" si="11">I99</f>
        <v>0</v>
      </c>
      <c r="J90" s="134">
        <f t="shared" si="11"/>
        <v>0</v>
      </c>
      <c r="K90" s="134">
        <f t="shared" si="11"/>
        <v>0</v>
      </c>
      <c r="L90" s="134">
        <f t="shared" si="11"/>
        <v>14.817918333333335</v>
      </c>
      <c r="M90" s="134">
        <f t="shared" si="11"/>
        <v>0</v>
      </c>
      <c r="N90" s="134">
        <f t="shared" si="11"/>
        <v>907.13112145833361</v>
      </c>
      <c r="O90" s="134">
        <f t="shared" si="11"/>
        <v>30049.892222222228</v>
      </c>
      <c r="P90" s="134">
        <f t="shared" si="11"/>
        <v>30049.892222222228</v>
      </c>
      <c r="Q90" s="134">
        <f t="shared" si="11"/>
        <v>4166.3834382716041</v>
      </c>
      <c r="R90" s="134">
        <f t="shared" si="11"/>
        <v>4647.7659938271609</v>
      </c>
      <c r="S90" s="134">
        <f t="shared" si="11"/>
        <v>518.01425925925923</v>
      </c>
      <c r="T90" s="134">
        <f t="shared" si="11"/>
        <v>4463.5127000000002</v>
      </c>
      <c r="U90" s="134">
        <f t="shared" si="11"/>
        <v>1031.3112962962964</v>
      </c>
      <c r="V90" s="134">
        <f t="shared" si="11"/>
        <v>1203.1965123456791</v>
      </c>
      <c r="W90" s="134">
        <f t="shared" si="11"/>
        <v>0</v>
      </c>
      <c r="X90" s="134">
        <f t="shared" si="11"/>
        <v>0</v>
      </c>
      <c r="Y90" s="134">
        <f t="shared" si="11"/>
        <v>875.1588888888889</v>
      </c>
      <c r="Z90" s="134">
        <f t="shared" si="11"/>
        <v>1229.211111111111</v>
      </c>
      <c r="AA90" s="134">
        <f t="shared" si="11"/>
        <v>6316.0999999999995</v>
      </c>
    </row>
    <row r="91" spans="2:27" ht="45" customHeight="1" thickBot="1" x14ac:dyDescent="0.3">
      <c r="D91" s="493" t="s">
        <v>130</v>
      </c>
      <c r="E91" s="494"/>
      <c r="F91" s="494"/>
      <c r="G91" s="134"/>
      <c r="H91" s="134">
        <f>H100</f>
        <v>0</v>
      </c>
      <c r="I91" s="134">
        <f t="shared" ref="I91:AA91" si="12">I100</f>
        <v>3140.1066666666666</v>
      </c>
      <c r="J91" s="134">
        <f t="shared" si="12"/>
        <v>1221.1525925925926</v>
      </c>
      <c r="K91" s="134">
        <f t="shared" si="12"/>
        <v>1221.1525925925926</v>
      </c>
      <c r="L91" s="134">
        <f t="shared" si="12"/>
        <v>1.4527388888888888</v>
      </c>
      <c r="M91" s="134">
        <f t="shared" si="12"/>
        <v>3140.1066666666666</v>
      </c>
      <c r="N91" s="134">
        <f t="shared" si="12"/>
        <v>622.20100250000053</v>
      </c>
      <c r="O91" s="134">
        <f t="shared" si="12"/>
        <v>20611.213333333351</v>
      </c>
      <c r="P91" s="134">
        <f t="shared" si="12"/>
        <v>20611.213333333351</v>
      </c>
      <c r="Q91" s="134">
        <f t="shared" si="12"/>
        <v>523.35111111111109</v>
      </c>
      <c r="R91" s="134">
        <f t="shared" si="12"/>
        <v>3504.9562962962964</v>
      </c>
      <c r="S91" s="134">
        <f t="shared" si="12"/>
        <v>0</v>
      </c>
      <c r="T91" s="134">
        <f t="shared" si="12"/>
        <v>565.2192</v>
      </c>
      <c r="U91" s="134">
        <f t="shared" si="12"/>
        <v>130.83777777777777</v>
      </c>
      <c r="V91" s="134">
        <f t="shared" si="12"/>
        <v>152.64407407407407</v>
      </c>
      <c r="W91" s="134">
        <f t="shared" si="12"/>
        <v>686.52722222222235</v>
      </c>
      <c r="X91" s="134">
        <f t="shared" si="12"/>
        <v>1144.2120370370374</v>
      </c>
      <c r="Y91" s="134">
        <f t="shared" si="12"/>
        <v>0</v>
      </c>
      <c r="Z91" s="134">
        <f t="shared" si="12"/>
        <v>0</v>
      </c>
      <c r="AA91" s="134">
        <f t="shared" si="12"/>
        <v>0</v>
      </c>
    </row>
    <row r="98" spans="4:30" ht="12.75" customHeight="1" x14ac:dyDescent="0.25"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4:30" ht="12.75" customHeight="1" x14ac:dyDescent="0.25">
      <c r="F99" s="6" t="s">
        <v>131</v>
      </c>
      <c r="H99" s="438">
        <f t="shared" ref="H99:AA99" si="13">SUMIF($F112:$F133, "Split 1", H112:H133)</f>
        <v>3158.05</v>
      </c>
      <c r="I99" s="438">
        <f t="shared" si="13"/>
        <v>0</v>
      </c>
      <c r="J99" s="438">
        <f t="shared" si="13"/>
        <v>0</v>
      </c>
      <c r="K99" s="438">
        <f t="shared" si="13"/>
        <v>0</v>
      </c>
      <c r="L99" s="439">
        <f t="shared" si="13"/>
        <v>14.817918333333335</v>
      </c>
      <c r="M99" s="438">
        <f t="shared" si="13"/>
        <v>0</v>
      </c>
      <c r="N99" s="438">
        <f t="shared" si="13"/>
        <v>907.13112145833361</v>
      </c>
      <c r="O99" s="438">
        <f t="shared" si="13"/>
        <v>30049.892222222228</v>
      </c>
      <c r="P99" s="438">
        <f t="shared" si="13"/>
        <v>30049.892222222228</v>
      </c>
      <c r="Q99" s="438">
        <f t="shared" si="13"/>
        <v>4166.3834382716041</v>
      </c>
      <c r="R99" s="438">
        <f t="shared" si="13"/>
        <v>4647.7659938271609</v>
      </c>
      <c r="S99" s="438">
        <f t="shared" si="13"/>
        <v>518.01425925925923</v>
      </c>
      <c r="T99" s="438">
        <f t="shared" si="13"/>
        <v>4463.5127000000002</v>
      </c>
      <c r="U99" s="438">
        <f t="shared" si="13"/>
        <v>1031.3112962962964</v>
      </c>
      <c r="V99" s="438">
        <f t="shared" si="13"/>
        <v>1203.1965123456791</v>
      </c>
      <c r="W99" s="438">
        <f t="shared" si="13"/>
        <v>0</v>
      </c>
      <c r="X99" s="438">
        <f t="shared" si="13"/>
        <v>0</v>
      </c>
      <c r="Y99" s="438">
        <f t="shared" si="13"/>
        <v>875.1588888888889</v>
      </c>
      <c r="Z99" s="438">
        <f t="shared" si="13"/>
        <v>1229.211111111111</v>
      </c>
      <c r="AA99" s="438">
        <f t="shared" si="13"/>
        <v>6316.0999999999995</v>
      </c>
    </row>
    <row r="100" spans="4:30" ht="12.75" customHeight="1" x14ac:dyDescent="0.25">
      <c r="F100" s="6" t="s">
        <v>132</v>
      </c>
      <c r="H100" s="438">
        <f t="shared" ref="H100:AA100" si="14">SUMIF($F112:$F133, "Split 4", H112:H133)</f>
        <v>0</v>
      </c>
      <c r="I100" s="438">
        <f t="shared" si="14"/>
        <v>3140.1066666666666</v>
      </c>
      <c r="J100" s="438">
        <f t="shared" si="14"/>
        <v>1221.1525925925926</v>
      </c>
      <c r="K100" s="438">
        <f t="shared" si="14"/>
        <v>1221.1525925925926</v>
      </c>
      <c r="L100" s="439">
        <f t="shared" si="14"/>
        <v>1.4527388888888888</v>
      </c>
      <c r="M100" s="438">
        <f t="shared" si="14"/>
        <v>3140.1066666666666</v>
      </c>
      <c r="N100" s="438">
        <f t="shared" si="14"/>
        <v>622.20100250000053</v>
      </c>
      <c r="O100" s="438">
        <f t="shared" si="14"/>
        <v>20611.213333333351</v>
      </c>
      <c r="P100" s="438">
        <f t="shared" si="14"/>
        <v>20611.213333333351</v>
      </c>
      <c r="Q100" s="438">
        <f t="shared" si="14"/>
        <v>523.35111111111109</v>
      </c>
      <c r="R100" s="438">
        <f t="shared" si="14"/>
        <v>3504.9562962962964</v>
      </c>
      <c r="S100" s="438">
        <f t="shared" si="14"/>
        <v>0</v>
      </c>
      <c r="T100" s="438">
        <f t="shared" si="14"/>
        <v>565.2192</v>
      </c>
      <c r="U100" s="438">
        <f t="shared" si="14"/>
        <v>130.83777777777777</v>
      </c>
      <c r="V100" s="438">
        <f t="shared" si="14"/>
        <v>152.64407407407407</v>
      </c>
      <c r="W100" s="438">
        <f t="shared" si="14"/>
        <v>686.52722222222235</v>
      </c>
      <c r="X100" s="438">
        <f t="shared" si="14"/>
        <v>1144.2120370370374</v>
      </c>
      <c r="Y100" s="438">
        <f t="shared" si="14"/>
        <v>0</v>
      </c>
      <c r="Z100" s="438">
        <f t="shared" si="14"/>
        <v>0</v>
      </c>
      <c r="AA100" s="438">
        <f t="shared" si="14"/>
        <v>0</v>
      </c>
    </row>
    <row r="101" spans="4:30" ht="12.75" customHeight="1" x14ac:dyDescent="0.25">
      <c r="G101" s="6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4:30" ht="12.75" customHeight="1" x14ac:dyDescent="0.25">
      <c r="F102" s="440" t="s">
        <v>133</v>
      </c>
      <c r="G102" s="440"/>
      <c r="H102" s="441">
        <f>SUM(H99:H100)</f>
        <v>3158.05</v>
      </c>
      <c r="I102" s="441">
        <f t="shared" ref="I102:AA102" si="15">SUM(I99:I100)</f>
        <v>3140.1066666666666</v>
      </c>
      <c r="J102" s="441">
        <f t="shared" si="15"/>
        <v>1221.1525925925926</v>
      </c>
      <c r="K102" s="441">
        <f t="shared" si="15"/>
        <v>1221.1525925925926</v>
      </c>
      <c r="L102" s="441">
        <f t="shared" si="15"/>
        <v>16.270657222222223</v>
      </c>
      <c r="M102" s="441">
        <f t="shared" si="15"/>
        <v>3140.1066666666666</v>
      </c>
      <c r="N102" s="441">
        <f t="shared" si="15"/>
        <v>1529.3321239583343</v>
      </c>
      <c r="O102" s="441">
        <f t="shared" si="15"/>
        <v>50661.105555555579</v>
      </c>
      <c r="P102" s="441">
        <f t="shared" si="15"/>
        <v>50661.105555555579</v>
      </c>
      <c r="Q102" s="441">
        <f t="shared" si="15"/>
        <v>4689.7345493827152</v>
      </c>
      <c r="R102" s="441">
        <f t="shared" si="15"/>
        <v>8152.7222901234572</v>
      </c>
      <c r="S102" s="441">
        <f t="shared" si="15"/>
        <v>518.01425925925923</v>
      </c>
      <c r="T102" s="441">
        <f t="shared" si="15"/>
        <v>5028.7319000000007</v>
      </c>
      <c r="U102" s="441">
        <f t="shared" si="15"/>
        <v>1162.1490740740742</v>
      </c>
      <c r="V102" s="441">
        <f t="shared" si="15"/>
        <v>1355.8405864197532</v>
      </c>
      <c r="W102" s="441">
        <f t="shared" si="15"/>
        <v>686.52722222222235</v>
      </c>
      <c r="X102" s="441">
        <f t="shared" si="15"/>
        <v>1144.2120370370374</v>
      </c>
      <c r="Y102" s="441">
        <f t="shared" si="15"/>
        <v>875.1588888888889</v>
      </c>
      <c r="Z102" s="441">
        <f t="shared" si="15"/>
        <v>1229.211111111111</v>
      </c>
      <c r="AA102" s="441">
        <f t="shared" si="15"/>
        <v>6316.0999999999995</v>
      </c>
    </row>
    <row r="103" spans="4:30" ht="12.75" customHeight="1" x14ac:dyDescent="0.25">
      <c r="G103" s="6"/>
      <c r="H103" s="438"/>
      <c r="I103" s="438"/>
      <c r="J103" s="438"/>
      <c r="K103" s="438"/>
      <c r="L103" s="438"/>
      <c r="M103" s="438"/>
      <c r="N103" s="438"/>
      <c r="O103" s="438"/>
      <c r="P103" s="438"/>
      <c r="Q103" s="438"/>
      <c r="R103" s="438"/>
      <c r="S103" s="438"/>
      <c r="T103" s="438"/>
      <c r="U103" s="438"/>
      <c r="V103" s="438"/>
      <c r="W103" s="438"/>
      <c r="X103" s="438"/>
      <c r="Y103" s="438"/>
      <c r="Z103" s="438"/>
      <c r="AA103" s="438"/>
    </row>
    <row r="104" spans="4:30" ht="12.75" customHeight="1" x14ac:dyDescent="0.25">
      <c r="F104" s="479" t="s">
        <v>140</v>
      </c>
      <c r="G104" s="479"/>
      <c r="H104" s="53" t="str">
        <f>IF(H89=H102, "GOOD", "REVIEW")</f>
        <v>GOOD</v>
      </c>
      <c r="I104" s="53" t="str">
        <f t="shared" ref="I104:AA104" si="16">IF(I89=I102, "GOOD", "REVIEW")</f>
        <v>GOOD</v>
      </c>
      <c r="J104" s="53" t="str">
        <f t="shared" si="16"/>
        <v>GOOD</v>
      </c>
      <c r="K104" s="53" t="str">
        <f t="shared" si="16"/>
        <v>GOOD</v>
      </c>
      <c r="L104" s="53" t="str">
        <f t="shared" si="16"/>
        <v>GOOD</v>
      </c>
      <c r="M104" s="53" t="str">
        <f t="shared" si="16"/>
        <v>GOOD</v>
      </c>
      <c r="N104" s="53" t="str">
        <f t="shared" si="16"/>
        <v>GOOD</v>
      </c>
      <c r="O104" s="53" t="str">
        <f t="shared" si="16"/>
        <v>GOOD</v>
      </c>
      <c r="P104" s="53" t="str">
        <f t="shared" si="16"/>
        <v>GOOD</v>
      </c>
      <c r="Q104" s="53" t="str">
        <f t="shared" si="16"/>
        <v>GOOD</v>
      </c>
      <c r="R104" s="53" t="str">
        <f t="shared" si="16"/>
        <v>GOOD</v>
      </c>
      <c r="S104" s="53" t="str">
        <f t="shared" si="16"/>
        <v>GOOD</v>
      </c>
      <c r="T104" s="53" t="str">
        <f t="shared" si="16"/>
        <v>GOOD</v>
      </c>
      <c r="U104" s="53" t="str">
        <f t="shared" si="16"/>
        <v>GOOD</v>
      </c>
      <c r="V104" s="53" t="str">
        <f t="shared" si="16"/>
        <v>GOOD</v>
      </c>
      <c r="W104" s="53" t="str">
        <f t="shared" si="16"/>
        <v>GOOD</v>
      </c>
      <c r="X104" s="53" t="str">
        <f t="shared" si="16"/>
        <v>GOOD</v>
      </c>
      <c r="Y104" s="53" t="str">
        <f t="shared" si="16"/>
        <v>GOOD</v>
      </c>
      <c r="Z104" s="53" t="str">
        <f t="shared" si="16"/>
        <v>GOOD</v>
      </c>
      <c r="AA104" s="53" t="str">
        <f t="shared" si="16"/>
        <v>GOOD</v>
      </c>
    </row>
    <row r="105" spans="4:30" ht="12.75" customHeight="1" x14ac:dyDescent="0.25">
      <c r="F105" s="479"/>
      <c r="G105" s="479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4:30" ht="12.75" customHeight="1" x14ac:dyDescent="0.25">
      <c r="G106" s="6"/>
      <c r="H106" s="6"/>
      <c r="I106" s="6"/>
      <c r="J106" s="6"/>
      <c r="K106" s="6"/>
      <c r="AD106" s="435"/>
    </row>
    <row r="107" spans="4:30" ht="12.75" customHeight="1" x14ac:dyDescent="0.25">
      <c r="G107" s="6"/>
      <c r="H107" s="6"/>
      <c r="I107" s="6"/>
      <c r="J107" s="6"/>
      <c r="K107" s="6"/>
      <c r="AD107" s="435"/>
    </row>
    <row r="110" spans="4:30" ht="12.75" customHeight="1" x14ac:dyDescent="0.25">
      <c r="G110" s="6"/>
      <c r="H110" s="6"/>
      <c r="I110" s="6"/>
      <c r="J110" s="6"/>
      <c r="K110" s="6"/>
      <c r="AB110" s="435"/>
      <c r="AC110" s="435"/>
    </row>
    <row r="111" spans="4:30" ht="12.75" customHeight="1" x14ac:dyDescent="0.25">
      <c r="G111" s="6"/>
      <c r="H111" s="6"/>
      <c r="I111" s="6"/>
      <c r="J111" s="6"/>
      <c r="K111" s="6"/>
      <c r="AB111" s="435"/>
      <c r="AC111" s="435"/>
    </row>
    <row r="112" spans="4:30" ht="12.75" customHeight="1" x14ac:dyDescent="0.25">
      <c r="D112" s="478" t="s">
        <v>134</v>
      </c>
      <c r="E112" s="476"/>
      <c r="F112" s="6" t="str">
        <f>'SUP Pavement Part 1'!D96</f>
        <v>Split 1</v>
      </c>
      <c r="G112" s="6"/>
      <c r="H112" s="6"/>
      <c r="I112" s="435">
        <f>'SUP Pavement Part 1'!L96</f>
        <v>0</v>
      </c>
      <c r="J112" s="435">
        <f>'SUP Pavement Part 1'!M96</f>
        <v>0</v>
      </c>
      <c r="K112" s="435">
        <f>'SUP Pavement Part 1'!N96</f>
        <v>0</v>
      </c>
      <c r="L112" s="435">
        <f>'SUP Pavement Part 1'!O96</f>
        <v>0</v>
      </c>
      <c r="M112" s="435">
        <f>'SUP Pavement Part 1'!P96</f>
        <v>0</v>
      </c>
      <c r="N112" s="435">
        <f>'SUP Pavement Part 1'!Q96</f>
        <v>0</v>
      </c>
      <c r="O112" s="435">
        <f>'SUP Pavement Part 1'!R96</f>
        <v>0</v>
      </c>
      <c r="P112" s="435">
        <f>'SUP Pavement Part 1'!S96</f>
        <v>0</v>
      </c>
      <c r="Q112" s="435">
        <f>'SUP Pavement Part 1'!T96</f>
        <v>0</v>
      </c>
      <c r="R112" s="435">
        <f>'SUP Pavement Part 1'!U96</f>
        <v>0</v>
      </c>
      <c r="S112" s="435">
        <f>'SUP Pavement Part 1'!V96</f>
        <v>0</v>
      </c>
      <c r="T112" s="435">
        <f>'SUP Pavement Part 1'!W96</f>
        <v>0</v>
      </c>
      <c r="U112" s="435">
        <f>'SUP Pavement Part 1'!X96</f>
        <v>0</v>
      </c>
      <c r="V112" s="435">
        <f>'SUP Pavement Part 1'!Y96</f>
        <v>0</v>
      </c>
      <c r="W112" s="435">
        <f>'SUP Pavement Part 1'!Z96</f>
        <v>0</v>
      </c>
      <c r="X112" s="435">
        <f>'SUP Pavement Part 1'!AA96</f>
        <v>0</v>
      </c>
      <c r="Y112" s="435">
        <v>0</v>
      </c>
      <c r="Z112" s="435">
        <f>'SUP Pavement Part 1'!AC96</f>
        <v>0</v>
      </c>
      <c r="AA112" s="435">
        <f>'SUP Pavement Part 1'!AD96</f>
        <v>0</v>
      </c>
    </row>
    <row r="113" spans="4:33" ht="12.75" customHeight="1" x14ac:dyDescent="0.25">
      <c r="D113" s="476"/>
      <c r="E113" s="476"/>
      <c r="F113" s="6" t="str">
        <f>'SUP Pavement Part 1'!D97</f>
        <v>Split 4</v>
      </c>
      <c r="G113" s="6"/>
      <c r="H113" s="6"/>
      <c r="I113" s="435">
        <f>'SUP Pavement Part 1'!L97</f>
        <v>1834.6288888888889</v>
      </c>
      <c r="J113" s="435">
        <f>'SUP Pavement Part 1'!M97</f>
        <v>713.4667901234568</v>
      </c>
      <c r="K113" s="435">
        <f>'SUP Pavement Part 1'!N97</f>
        <v>713.4667901234568</v>
      </c>
      <c r="L113" s="435">
        <f>'SUP Pavement Part 1'!O97</f>
        <v>0.8</v>
      </c>
      <c r="M113" s="435">
        <f>'SUP Pavement Part 1'!P97</f>
        <v>1834.6288888888889</v>
      </c>
      <c r="N113" s="435">
        <f>'SUP Pavement Part 1'!Q97</f>
        <v>225.3399436458333</v>
      </c>
      <c r="O113" s="435">
        <f>'SUP Pavement Part 1'!R97</f>
        <v>7464.6772222222216</v>
      </c>
      <c r="P113" s="435">
        <f>'SUP Pavement Part 1'!S97</f>
        <v>7464.6772222222216</v>
      </c>
      <c r="Q113" s="435">
        <f>'SUP Pavement Part 1'!T97</f>
        <v>305.77148148148149</v>
      </c>
      <c r="R113" s="435">
        <f>'SUP Pavement Part 1'!U97</f>
        <v>1381.7174999999997</v>
      </c>
      <c r="S113" s="435">
        <f>'SUP Pavement Part 1'!V97</f>
        <v>0</v>
      </c>
      <c r="T113" s="435">
        <f>'SUP Pavement Part 1'!W97</f>
        <v>330.23320000000001</v>
      </c>
      <c r="U113" s="435">
        <f>'SUP Pavement Part 1'!X97</f>
        <v>76.442870370370372</v>
      </c>
      <c r="V113" s="435">
        <f>'SUP Pavement Part 1'!Y97</f>
        <v>89.1833487654321</v>
      </c>
      <c r="W113" s="435">
        <f>'SUP Pavement Part 1'!Z97</f>
        <v>247.9656481481482</v>
      </c>
      <c r="X113" s="435">
        <f>'SUP Pavement Part 1'!AA97</f>
        <v>413.27608024691358</v>
      </c>
      <c r="Y113" s="435">
        <v>0</v>
      </c>
      <c r="Z113" s="435">
        <f>'SUP Pavement Part 1'!AC97</f>
        <v>0</v>
      </c>
      <c r="AA113" s="435">
        <f>'SUP Pavement Part 1'!AD97</f>
        <v>0</v>
      </c>
    </row>
    <row r="114" spans="4:33" ht="12.75" customHeight="1" x14ac:dyDescent="0.25">
      <c r="D114" s="476"/>
      <c r="H114" s="435"/>
      <c r="AB114" s="436"/>
      <c r="AC114" s="436"/>
      <c r="AD114" s="435"/>
      <c r="AE114" s="435"/>
      <c r="AG114" s="435"/>
    </row>
    <row r="115" spans="4:33" ht="12.75" customHeight="1" x14ac:dyDescent="0.25">
      <c r="D115" s="476"/>
      <c r="H115" s="435"/>
      <c r="AB115" s="436"/>
      <c r="AC115" s="436"/>
      <c r="AD115" s="435"/>
      <c r="AE115" s="435"/>
      <c r="AG115" s="435"/>
    </row>
    <row r="116" spans="4:33" ht="12.75" customHeight="1" x14ac:dyDescent="0.25">
      <c r="D116" s="478" t="s">
        <v>135</v>
      </c>
      <c r="E116" s="476"/>
      <c r="F116" s="6" t="str">
        <f>'SUP Pavement Part 2'!D93</f>
        <v>Split 1</v>
      </c>
      <c r="H116" s="435"/>
      <c r="I116" s="435">
        <f>'SUP Pavement Part 2'!L93</f>
        <v>0</v>
      </c>
      <c r="J116" s="435">
        <f>'SUP Pavement Part 2'!M93</f>
        <v>0</v>
      </c>
      <c r="K116" s="435">
        <f>'SUP Pavement Part 2'!N93</f>
        <v>0</v>
      </c>
      <c r="L116" s="435">
        <f>'SUP Pavement Part 2'!O93</f>
        <v>0</v>
      </c>
      <c r="M116" s="435">
        <f>'SUP Pavement Part 2'!P93</f>
        <v>0</v>
      </c>
      <c r="N116" s="435">
        <f>'SUP Pavement Part 2'!Q93</f>
        <v>0</v>
      </c>
      <c r="O116" s="435">
        <f>'SUP Pavement Part 2'!R93</f>
        <v>0</v>
      </c>
      <c r="P116" s="435">
        <f>'SUP Pavement Part 2'!S93</f>
        <v>0</v>
      </c>
      <c r="Q116" s="435">
        <f>'SUP Pavement Part 2'!T93</f>
        <v>0</v>
      </c>
      <c r="R116" s="435">
        <f>'SUP Pavement Part 2'!U93</f>
        <v>0</v>
      </c>
      <c r="S116" s="435">
        <f>'SUP Pavement Part 2'!V93</f>
        <v>0</v>
      </c>
      <c r="T116" s="435">
        <f>'SUP Pavement Part 2'!W93</f>
        <v>0</v>
      </c>
      <c r="U116" s="435">
        <f>'SUP Pavement Part 2'!X93</f>
        <v>0</v>
      </c>
      <c r="V116" s="435">
        <f>'SUP Pavement Part 2'!Y93</f>
        <v>0</v>
      </c>
      <c r="W116" s="435">
        <f>'SUP Pavement Part 2'!Z93</f>
        <v>0</v>
      </c>
      <c r="X116" s="6">
        <f>'SUP Pavement Part 2'!AA93</f>
        <v>0</v>
      </c>
      <c r="Y116" s="6">
        <v>0</v>
      </c>
      <c r="Z116" s="435">
        <f>'SUP Pavement Part 2'!AC93</f>
        <v>0</v>
      </c>
      <c r="AA116" s="435">
        <f>'SUP Pavement Part 2'!AD93</f>
        <v>0</v>
      </c>
    </row>
    <row r="117" spans="4:33" ht="12.75" customHeight="1" x14ac:dyDescent="0.25">
      <c r="D117" s="476"/>
      <c r="E117" s="476"/>
      <c r="F117" s="6" t="str">
        <f>'SUP Pavement Part 2'!D94</f>
        <v>Split 4</v>
      </c>
      <c r="H117" s="435"/>
      <c r="I117" s="435">
        <f>'SUP Pavement Part 2'!L94</f>
        <v>1305.4777777777776</v>
      </c>
      <c r="J117" s="435">
        <f>'SUP Pavement Part 2'!M94</f>
        <v>507.68580246913575</v>
      </c>
      <c r="K117" s="435">
        <f>'SUP Pavement Part 2'!N94</f>
        <v>507.68580246913575</v>
      </c>
      <c r="L117" s="435">
        <f>'SUP Pavement Part 2'!O94</f>
        <v>0.65273888888888887</v>
      </c>
      <c r="M117" s="435">
        <f>'SUP Pavement Part 2'!P94</f>
        <v>1305.4777777777776</v>
      </c>
      <c r="N117" s="435">
        <f>'SUP Pavement Part 2'!Q94</f>
        <v>170.60903343750007</v>
      </c>
      <c r="O117" s="435">
        <f>'SUP Pavement Part 2'!R94</f>
        <v>5651.6450000000013</v>
      </c>
      <c r="P117" s="435">
        <f>'SUP Pavement Part 2'!S94</f>
        <v>5651.6450000000013</v>
      </c>
      <c r="Q117" s="435">
        <f>'SUP Pavement Part 2'!T94</f>
        <v>217.57962962962961</v>
      </c>
      <c r="R117" s="435">
        <f>'SUP Pavement Part 2'!U94</f>
        <v>1064.6896296296297</v>
      </c>
      <c r="S117" s="435">
        <f>'SUP Pavement Part 2'!V94</f>
        <v>0</v>
      </c>
      <c r="T117" s="435">
        <f>'SUP Pavement Part 2'!W94</f>
        <v>234.98599999999999</v>
      </c>
      <c r="U117" s="435">
        <f>'SUP Pavement Part 2'!X94</f>
        <v>54.394907407407402</v>
      </c>
      <c r="V117" s="435">
        <f>'SUP Pavement Part 2'!Y94</f>
        <v>63.460725308641969</v>
      </c>
      <c r="W117" s="435">
        <f>'SUP Pavement Part 2'!Z94</f>
        <v>196.76638888888888</v>
      </c>
      <c r="X117" s="435">
        <f>'SUP Pavement Part 2'!AA94</f>
        <v>327.94398148148156</v>
      </c>
      <c r="Y117" s="6">
        <v>0</v>
      </c>
      <c r="Z117" s="435">
        <f>'SUP Pavement Part 2'!AC94</f>
        <v>0</v>
      </c>
      <c r="AA117" s="435">
        <f>'SUP Pavement Part 2'!AD94</f>
        <v>0</v>
      </c>
    </row>
    <row r="118" spans="4:33" ht="12.75" customHeight="1" x14ac:dyDescent="0.25">
      <c r="AB118" s="435"/>
      <c r="AC118" s="435"/>
      <c r="AD118" s="435"/>
      <c r="AE118" s="435"/>
      <c r="AF118" s="435"/>
    </row>
    <row r="119" spans="4:33" ht="12.75" customHeight="1" x14ac:dyDescent="0.25">
      <c r="AB119" s="435"/>
      <c r="AC119" s="435"/>
      <c r="AD119" s="435"/>
      <c r="AE119" s="435"/>
      <c r="AF119" s="435"/>
    </row>
    <row r="120" spans="4:33" ht="12.75" customHeight="1" x14ac:dyDescent="0.25">
      <c r="D120" s="478" t="s">
        <v>136</v>
      </c>
      <c r="E120" s="476"/>
      <c r="F120" s="6" t="str">
        <f>'US 6-Perkins Pavement 1'!D93</f>
        <v>Split 1</v>
      </c>
      <c r="G120" s="436"/>
      <c r="H120" s="438">
        <f>'US 6-Perkins Pavement 1'!H93</f>
        <v>0</v>
      </c>
      <c r="I120" s="436"/>
      <c r="J120" s="436"/>
      <c r="K120" s="436"/>
      <c r="L120" s="437">
        <f>'US 6-Perkins Pavement 1'!M93</f>
        <v>7.175721666666667</v>
      </c>
      <c r="N120" s="435">
        <f>'US 6-Perkins Pavement 1'!N93</f>
        <v>445.27770000000015</v>
      </c>
      <c r="O120" s="435">
        <f>'US 6-Perkins Pavement 1'!O93</f>
        <v>14750.400000000009</v>
      </c>
      <c r="P120" s="435">
        <f>'US 6-Perkins Pavement 1'!P93</f>
        <v>14750.400000000009</v>
      </c>
      <c r="Q120" s="435">
        <f>'US 6-Perkins Pavement 1'!Q93</f>
        <v>2163.8903518518514</v>
      </c>
      <c r="R120" s="435">
        <f>'US 6-Perkins Pavement 1'!R93</f>
        <v>2285.4706851851852</v>
      </c>
      <c r="S120" s="435">
        <f>'US 6-Perkins Pavement 1'!S93</f>
        <v>176.01719907407406</v>
      </c>
      <c r="T120" s="435">
        <f>'US 6-Perkins Pavement 1'!T93</f>
        <v>2316.3711000000003</v>
      </c>
      <c r="U120" s="435">
        <f>'US 6-Perkins Pavement 1'!U93</f>
        <v>534.28777777777782</v>
      </c>
      <c r="V120" s="435">
        <f>'US 6-Perkins Pavement 1'!V93</f>
        <v>623.33574074074079</v>
      </c>
      <c r="W120" s="435">
        <f>'US 6-Perkins Pavement 1'!W93</f>
        <v>0</v>
      </c>
      <c r="X120" s="435">
        <f>'US 6-Perkins Pavement 1'!X93</f>
        <v>0</v>
      </c>
      <c r="Z120" s="435">
        <f>'US 6-Perkins Pavement 1'!Y93</f>
        <v>411.67444444444442</v>
      </c>
      <c r="AA120" s="435">
        <v>0</v>
      </c>
    </row>
    <row r="121" spans="4:33" ht="12.75" customHeight="1" x14ac:dyDescent="0.25">
      <c r="D121" s="476"/>
      <c r="E121" s="476"/>
      <c r="F121" s="6" t="str">
        <f>'US 6-Perkins Pavement 1'!D94</f>
        <v>Split 4</v>
      </c>
      <c r="G121" s="436"/>
      <c r="H121" s="438">
        <f>'US 6-Perkins Pavement 1'!H94</f>
        <v>0</v>
      </c>
      <c r="I121" s="436"/>
      <c r="J121" s="436"/>
      <c r="K121" s="436"/>
      <c r="L121" s="435">
        <f>'US 6-Perkins Pavement 1'!M94</f>
        <v>0</v>
      </c>
      <c r="N121" s="435">
        <f>'US 6-Perkins Pavement 1'!N94</f>
        <v>139.31388697916688</v>
      </c>
      <c r="O121" s="435">
        <f>'US 6-Perkins Pavement 1'!O94</f>
        <v>4614.9527777777848</v>
      </c>
      <c r="P121" s="435">
        <f>'US 6-Perkins Pavement 1'!P94</f>
        <v>4614.9527777777848</v>
      </c>
      <c r="Q121" s="435">
        <f>'US 6-Perkins Pavement 1'!Q94</f>
        <v>0</v>
      </c>
      <c r="R121" s="435">
        <f>'US 6-Perkins Pavement 1'!R94</f>
        <v>655.65601851851864</v>
      </c>
      <c r="S121" s="435">
        <f>'US 6-Perkins Pavement 1'!S94</f>
        <v>0</v>
      </c>
      <c r="T121" s="435">
        <f>'US 6-Perkins Pavement 1'!T94</f>
        <v>0</v>
      </c>
      <c r="U121" s="435">
        <f>'US 6-Perkins Pavement 1'!U94</f>
        <v>0</v>
      </c>
      <c r="V121" s="435">
        <f>'US 6-Perkins Pavement 1'!V94</f>
        <v>0</v>
      </c>
      <c r="W121" s="435">
        <f>'US 6-Perkins Pavement 1'!W94</f>
        <v>149.72615740740741</v>
      </c>
      <c r="X121" s="435">
        <f>'US 6-Perkins Pavement 1'!X94</f>
        <v>249.54359567901236</v>
      </c>
      <c r="Z121" s="435">
        <f>'US 6-Perkins Pavement 1'!Y94</f>
        <v>0</v>
      </c>
      <c r="AA121" s="435">
        <v>0</v>
      </c>
    </row>
    <row r="122" spans="4:33" ht="12.75" customHeight="1" x14ac:dyDescent="0.25">
      <c r="AB122" s="435"/>
      <c r="AC122" s="435"/>
    </row>
    <row r="123" spans="4:33" ht="12.75" customHeight="1" x14ac:dyDescent="0.25">
      <c r="AB123" s="435"/>
      <c r="AC123" s="435"/>
    </row>
    <row r="124" spans="4:33" ht="12.75" customHeight="1" x14ac:dyDescent="0.25">
      <c r="D124" s="478" t="s">
        <v>137</v>
      </c>
      <c r="E124" s="476"/>
      <c r="F124" s="6" t="str">
        <f>'US 6-Perkins Pavement 2'!D94</f>
        <v>Split 1</v>
      </c>
      <c r="H124" s="435">
        <f>'US 6-Perkins Pavement 2'!L94</f>
        <v>3158.05</v>
      </c>
      <c r="L124" s="437">
        <f>'US 6-Perkins Pavement 2'!M94</f>
        <v>1.5425738888888889</v>
      </c>
      <c r="N124" s="435">
        <f>'US 6-Perkins Pavement 2'!N94</f>
        <v>91.942370624999981</v>
      </c>
      <c r="O124" s="435">
        <f>'US 6-Perkins Pavement 2'!O94</f>
        <v>3045.71</v>
      </c>
      <c r="P124" s="435">
        <f>'US 6-Perkins Pavement 2'!P94</f>
        <v>3045.71</v>
      </c>
      <c r="Q124" s="435">
        <f>'US 6-Perkins Pavement 2'!Q94</f>
        <v>360.64388888888885</v>
      </c>
      <c r="R124" s="435">
        <f>'US 6-Perkins Pavement 2'!R94</f>
        <v>481.78148148148142</v>
      </c>
      <c r="S124" s="435">
        <f>'US 6-Perkins Pavement 2'!S94</f>
        <v>32.054652777777775</v>
      </c>
      <c r="T124" s="435">
        <f>'US 6-Perkins Pavement 2'!T94</f>
        <v>386.71940000000001</v>
      </c>
      <c r="U124" s="435">
        <f>'US 6-Perkins Pavement 2'!U94</f>
        <v>89.518379629629621</v>
      </c>
      <c r="V124" s="435">
        <f>'US 6-Perkins Pavement 2'!V94</f>
        <v>104.43810956790124</v>
      </c>
      <c r="W124" s="435">
        <f>'US 6-Perkins Pavement 2'!W94</f>
        <v>0</v>
      </c>
      <c r="X124" s="435">
        <f>'US 6-Perkins Pavement 2'!X94</f>
        <v>0</v>
      </c>
      <c r="Y124" s="435">
        <f>'US 6-Perkins Pavement 2'!Y94</f>
        <v>430.04888888888888</v>
      </c>
      <c r="Z124" s="435">
        <f>'US 6-Perkins Pavement 2'!Z94</f>
        <v>75.67</v>
      </c>
      <c r="AA124" s="435">
        <f>'US 6-Perkins Pavement 2'!AA94</f>
        <v>6316.0999999999995</v>
      </c>
    </row>
    <row r="125" spans="4:33" ht="12.75" customHeight="1" x14ac:dyDescent="0.25">
      <c r="D125" s="476"/>
      <c r="E125" s="476"/>
      <c r="F125" s="6" t="str">
        <f>'US 6-Perkins Pavement 2'!D95</f>
        <v>Split 4</v>
      </c>
      <c r="H125" s="435">
        <f>'US 6-Perkins Pavement 2'!L95</f>
        <v>0</v>
      </c>
      <c r="L125" s="435">
        <f>'US 6-Perkins Pavement 2'!M95</f>
        <v>0</v>
      </c>
      <c r="N125" s="435">
        <f>'US 6-Perkins Pavement 2'!N95</f>
        <v>19.421899583333332</v>
      </c>
      <c r="O125" s="435">
        <f>'US 6-Perkins Pavement 2'!O95</f>
        <v>643.37555555555548</v>
      </c>
      <c r="P125" s="435">
        <f>'US 6-Perkins Pavement 2'!P95</f>
        <v>643.37555555555548</v>
      </c>
      <c r="Q125" s="435">
        <f>'US 6-Perkins Pavement 2'!Q95</f>
        <v>0</v>
      </c>
      <c r="R125" s="435">
        <f>'US 6-Perkins Pavement 2'!R95</f>
        <v>89.272777777777776</v>
      </c>
      <c r="S125" s="435">
        <f>'US 6-Perkins Pavement 2'!S95</f>
        <v>0</v>
      </c>
      <c r="T125" s="435">
        <f>'US 6-Perkins Pavement 2'!T95</f>
        <v>0</v>
      </c>
      <c r="U125" s="435">
        <f>'US 6-Perkins Pavement 2'!U95</f>
        <v>0</v>
      </c>
      <c r="V125" s="435">
        <f>'US 6-Perkins Pavement 2'!V95</f>
        <v>0</v>
      </c>
      <c r="W125" s="435">
        <f>'US 6-Perkins Pavement 2'!W95</f>
        <v>20.438287037037036</v>
      </c>
      <c r="X125" s="435">
        <f>'US 6-Perkins Pavement 2'!X95</f>
        <v>34.063811728395066</v>
      </c>
      <c r="Y125" s="435">
        <f>'US 6-Perkins Pavement 2'!Y95</f>
        <v>0</v>
      </c>
      <c r="Z125" s="435">
        <f>'US 6-Perkins Pavement 2'!Z95</f>
        <v>0</v>
      </c>
      <c r="AA125" s="435">
        <f>'US 6-Perkins Pavement 2'!AA95</f>
        <v>0</v>
      </c>
    </row>
    <row r="126" spans="4:33" ht="12.75" customHeight="1" x14ac:dyDescent="0.25">
      <c r="H126" s="435"/>
      <c r="L126" s="8"/>
      <c r="M126" s="8"/>
      <c r="N126" s="8"/>
    </row>
    <row r="127" spans="4:33" ht="12.75" customHeight="1" x14ac:dyDescent="0.25">
      <c r="H127" s="435"/>
    </row>
    <row r="128" spans="4:33" ht="12.75" customHeight="1" x14ac:dyDescent="0.25">
      <c r="D128" s="478" t="s">
        <v>138</v>
      </c>
      <c r="E128" s="476"/>
      <c r="F128" s="6" t="str">
        <f>'US 6-Camp Pavement 1'!D95</f>
        <v>Split 1</v>
      </c>
      <c r="H128" s="435">
        <f>'US 6-Camp Pavement 1'!I95</f>
        <v>0</v>
      </c>
      <c r="I128" s="437"/>
      <c r="J128" s="437"/>
      <c r="K128" s="437"/>
      <c r="L128" s="437">
        <f>'US 6-Camp Pavement 1'!M95</f>
        <v>3.5782641666666679</v>
      </c>
      <c r="N128" s="435">
        <f>'US 6-Camp Pavement 1'!N95</f>
        <v>217.50078656250008</v>
      </c>
      <c r="O128" s="435">
        <f>'US 6-Camp Pavement 1'!O95</f>
        <v>7204.9950000000026</v>
      </c>
      <c r="P128" s="435">
        <f>'US 6-Camp Pavement 1'!P95</f>
        <v>7204.9950000000026</v>
      </c>
      <c r="Q128" s="435">
        <f>'US 6-Camp Pavement 1'!Q95</f>
        <v>979.29672839506156</v>
      </c>
      <c r="R128" s="435">
        <f>'US 6-Camp Pavement 1'!R95</f>
        <v>1086.5225617283954</v>
      </c>
      <c r="S128" s="435">
        <f>'US 6-Camp Pavement 1'!S95</f>
        <v>245.31648919753087</v>
      </c>
      <c r="T128" s="435">
        <f>'US 6-Camp Pavement 1'!T95</f>
        <v>1050.5104000000001</v>
      </c>
      <c r="U128" s="435">
        <f>'US 6-Camp Pavement 1'!U95</f>
        <v>243.17370370370367</v>
      </c>
      <c r="V128" s="435">
        <f>'US 6-Camp Pavement 1'!V95</f>
        <v>283.70265432098768</v>
      </c>
      <c r="W128" s="435">
        <f>'US 6-Camp Pavement 1'!W95</f>
        <v>0</v>
      </c>
      <c r="X128" s="435">
        <f>'US 6-Camp Pavement 1'!X95</f>
        <v>0</v>
      </c>
      <c r="Z128" s="435">
        <f>'US 6-Camp Pavement 1'!Y95</f>
        <v>579.10777777777776</v>
      </c>
      <c r="AA128" s="435">
        <f>'US 6-Camp Pavement 1'!AA95</f>
        <v>0</v>
      </c>
    </row>
    <row r="129" spans="4:27" ht="12.75" customHeight="1" x14ac:dyDescent="0.25">
      <c r="D129" s="476"/>
      <c r="E129" s="476"/>
      <c r="F129" s="6" t="str">
        <f>'US 6-Camp Pavement 1'!D96</f>
        <v>Split 4</v>
      </c>
      <c r="H129" s="435">
        <f>'US 6-Camp Pavement 1'!I96</f>
        <v>0</v>
      </c>
      <c r="I129" s="435"/>
      <c r="J129" s="435"/>
      <c r="K129" s="435"/>
      <c r="L129" s="435">
        <f>'US 6-Camp Pavement 1'!M96</f>
        <v>0</v>
      </c>
      <c r="N129" s="435">
        <f>'US 6-Camp Pavement 1'!N96</f>
        <v>55.698201562500316</v>
      </c>
      <c r="O129" s="435">
        <f>'US 6-Camp Pavement 1'!O96</f>
        <v>1845.0750000000105</v>
      </c>
      <c r="P129" s="435">
        <f>'US 6-Camp Pavement 1'!P96</f>
        <v>1845.0750000000105</v>
      </c>
      <c r="Q129" s="435">
        <f>'US 6-Camp Pavement 1'!Q96</f>
        <v>0</v>
      </c>
      <c r="R129" s="435">
        <f>'US 6-Camp Pavement 1'!R96</f>
        <v>260.01907407407469</v>
      </c>
      <c r="S129" s="435">
        <f>'US 6-Camp Pavement 1'!S96</f>
        <v>0</v>
      </c>
      <c r="T129" s="435">
        <f>'US 6-Camp Pavement 1'!T96</f>
        <v>0</v>
      </c>
      <c r="U129" s="435">
        <f>'US 6-Camp Pavement 1'!U96</f>
        <v>0</v>
      </c>
      <c r="V129" s="435">
        <f>'US 6-Camp Pavement 1'!V96</f>
        <v>0</v>
      </c>
      <c r="W129" s="435">
        <f>'US 6-Camp Pavement 1'!W96</f>
        <v>59.686250000000008</v>
      </c>
      <c r="X129" s="435">
        <f>'US 6-Camp Pavement 1'!X96</f>
        <v>99.47708333333334</v>
      </c>
      <c r="Z129" s="435">
        <f>'US 6-Camp Pavement 1'!Y96</f>
        <v>0</v>
      </c>
      <c r="AA129" s="435">
        <f>'US 6-Camp Pavement 1'!AA96</f>
        <v>0</v>
      </c>
    </row>
    <row r="132" spans="4:27" ht="12.75" customHeight="1" x14ac:dyDescent="0.25">
      <c r="D132" s="478" t="s">
        <v>139</v>
      </c>
      <c r="E132" s="476"/>
      <c r="F132" s="6" t="str">
        <f>'US 6-Camp Pavement 2'!D97</f>
        <v>Split 1</v>
      </c>
      <c r="H132" s="435">
        <f>'US 6-Camp Pavement 2'!I97</f>
        <v>0</v>
      </c>
      <c r="I132" s="437"/>
      <c r="J132" s="437"/>
      <c r="K132" s="437"/>
      <c r="L132" s="437">
        <f>'US 6-Camp Pavement 2'!M97</f>
        <v>2.5213586111111104</v>
      </c>
      <c r="N132" s="435">
        <f>'US 6-Camp Pavement 2'!N97</f>
        <v>152.4102642708333</v>
      </c>
      <c r="O132" s="435">
        <f>'US 6-Camp Pavement 2'!O97</f>
        <v>5048.7872222222186</v>
      </c>
      <c r="P132" s="435">
        <f>'US 6-Camp Pavement 2'!P97</f>
        <v>5048.7872222222186</v>
      </c>
      <c r="Q132" s="435">
        <f>'US 6-Camp Pavement 2'!Q97</f>
        <v>662.55246913580243</v>
      </c>
      <c r="R132" s="435">
        <f>'US 6-Camp Pavement 2'!R97</f>
        <v>793.99126543209843</v>
      </c>
      <c r="S132" s="435">
        <f>'US 6-Camp Pavement 2'!S97</f>
        <v>64.625918209876531</v>
      </c>
      <c r="T132" s="435">
        <f>'US 6-Camp Pavement 2'!T97</f>
        <v>709.91179999999986</v>
      </c>
      <c r="U132" s="435">
        <f>'US 6-Camp Pavement 2'!U97</f>
        <v>164.3314351851852</v>
      </c>
      <c r="V132" s="435">
        <f>'US 6-Camp Pavement 2'!V97</f>
        <v>191.72000771604939</v>
      </c>
      <c r="W132" s="435">
        <f>'US 6-Camp Pavement 2'!W97</f>
        <v>0</v>
      </c>
      <c r="X132" s="435">
        <f>'US 6-Camp Pavement 2'!X97</f>
        <v>0</v>
      </c>
      <c r="Y132" s="435">
        <f>'US 6-Camp Pavement 2'!Y97</f>
        <v>445.10999999999996</v>
      </c>
      <c r="Z132" s="435">
        <f>'US 6-Camp Pavement 2'!Z97</f>
        <v>162.75888888888889</v>
      </c>
      <c r="AA132" s="435">
        <f>'US 6-Camp Pavement 2'!AA97</f>
        <v>0</v>
      </c>
    </row>
    <row r="133" spans="4:27" ht="12.75" customHeight="1" x14ac:dyDescent="0.25">
      <c r="D133" s="476"/>
      <c r="E133" s="476"/>
      <c r="F133" s="6" t="str">
        <f>'US 6-Camp Pavement 2'!D98</f>
        <v>Split 4</v>
      </c>
      <c r="H133" s="435">
        <f>'US 6-Camp Pavement 2'!I98</f>
        <v>0</v>
      </c>
      <c r="I133" s="435"/>
      <c r="J133" s="435"/>
      <c r="K133" s="435"/>
      <c r="L133" s="435">
        <f>'US 6-Camp Pavement 2'!M98</f>
        <v>0</v>
      </c>
      <c r="N133" s="435">
        <f>'US 6-Camp Pavement 2'!N98</f>
        <v>11.818037291666583</v>
      </c>
      <c r="O133" s="435">
        <f>'US 6-Camp Pavement 2'!O98</f>
        <v>391.48777777777502</v>
      </c>
      <c r="P133" s="435">
        <f>'US 6-Camp Pavement 2'!P98</f>
        <v>391.48777777777502</v>
      </c>
      <c r="Q133" s="435">
        <f>'US 6-Camp Pavement 2'!Q98</f>
        <v>0</v>
      </c>
      <c r="R133" s="435">
        <f>'US 6-Camp Pavement 2'!R98</f>
        <v>53.601296296296141</v>
      </c>
      <c r="S133" s="435">
        <f>'US 6-Camp Pavement 2'!S98</f>
        <v>0</v>
      </c>
      <c r="T133" s="435">
        <f>'US 6-Camp Pavement 2'!T98</f>
        <v>0</v>
      </c>
      <c r="U133" s="435">
        <f>'US 6-Camp Pavement 2'!U98</f>
        <v>0</v>
      </c>
      <c r="V133" s="435">
        <f>'US 6-Camp Pavement 2'!V98</f>
        <v>0</v>
      </c>
      <c r="W133" s="435">
        <f>'US 6-Camp Pavement 2'!W98</f>
        <v>11.94449074074074</v>
      </c>
      <c r="X133" s="435">
        <f>'US 6-Camp Pavement 2'!X98</f>
        <v>19.907484567901236</v>
      </c>
      <c r="Y133" s="435">
        <f>'US 6-Camp Pavement 2'!Y98</f>
        <v>0</v>
      </c>
      <c r="Z133" s="435">
        <f>'US 6-Camp Pavement 2'!Z98</f>
        <v>0</v>
      </c>
      <c r="AA133" s="435">
        <f>'US 6-Camp Pavement 2'!AA98</f>
        <v>0</v>
      </c>
    </row>
  </sheetData>
  <mergeCells count="92">
    <mergeCell ref="D90:F90"/>
    <mergeCell ref="D91:F91"/>
    <mergeCell ref="D31:F31"/>
    <mergeCell ref="D32:F32"/>
    <mergeCell ref="B14:B27"/>
    <mergeCell ref="D42:F42"/>
    <mergeCell ref="D33:F33"/>
    <mergeCell ref="D34:F34"/>
    <mergeCell ref="D35:F35"/>
    <mergeCell ref="D37:F37"/>
    <mergeCell ref="D38:F38"/>
    <mergeCell ref="D39:F39"/>
    <mergeCell ref="D40:F40"/>
    <mergeCell ref="D41:F41"/>
    <mergeCell ref="D54:F54"/>
    <mergeCell ref="D43:F43"/>
    <mergeCell ref="O15:O26"/>
    <mergeCell ref="P15:P26"/>
    <mergeCell ref="Q15:Q26"/>
    <mergeCell ref="R15:R26"/>
    <mergeCell ref="G15:G26"/>
    <mergeCell ref="H15:H26"/>
    <mergeCell ref="I15:I26"/>
    <mergeCell ref="J15:J26"/>
    <mergeCell ref="K15:K26"/>
    <mergeCell ref="M15:M26"/>
    <mergeCell ref="D9:AA9"/>
    <mergeCell ref="D28:F28"/>
    <mergeCell ref="D29:F29"/>
    <mergeCell ref="D30:F30"/>
    <mergeCell ref="D14:F27"/>
    <mergeCell ref="L15:L26"/>
    <mergeCell ref="N15:N26"/>
    <mergeCell ref="W15:W26"/>
    <mergeCell ref="Z15:Z26"/>
    <mergeCell ref="AA15:AA26"/>
    <mergeCell ref="X15:X26"/>
    <mergeCell ref="V15:V26"/>
    <mergeCell ref="S15:S26"/>
    <mergeCell ref="T15:T26"/>
    <mergeCell ref="U15:U26"/>
    <mergeCell ref="Y15:Y26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66:F66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87:F87"/>
    <mergeCell ref="D89:F89"/>
    <mergeCell ref="D80:F80"/>
    <mergeCell ref="D81:F81"/>
    <mergeCell ref="D83:F83"/>
    <mergeCell ref="D84:F84"/>
    <mergeCell ref="D85:F85"/>
    <mergeCell ref="D128:E129"/>
    <mergeCell ref="D132:E133"/>
    <mergeCell ref="F104:G105"/>
    <mergeCell ref="D78:F78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86:F86"/>
    <mergeCell ref="D114:D115"/>
    <mergeCell ref="D112:E113"/>
    <mergeCell ref="D116:E117"/>
    <mergeCell ref="D120:E121"/>
    <mergeCell ref="D124:E125"/>
  </mergeCells>
  <phoneticPr fontId="1" type="noConversion"/>
  <conditionalFormatting sqref="H104:AA104">
    <cfRule type="cellIs" dxfId="1" priority="1" operator="equal">
      <formula>"REVIEW"</formula>
    </cfRule>
    <cfRule type="cellIs" dxfId="0" priority="2" operator="equal">
      <formula>"GOOD"</formula>
    </cfRule>
  </conditionalFormatting>
  <printOptions verticalCentered="1"/>
  <pageMargins left="0.25" right="0.25" top="0.75" bottom="0.75" header="0.3" footer="0.3"/>
  <pageSetup scale="50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16DD-7140-473C-AF81-FC9C2D62DEDD}">
  <sheetPr>
    <pageSetUpPr fitToPage="1"/>
  </sheetPr>
  <dimension ref="A1:AM131"/>
  <sheetViews>
    <sheetView showGridLines="0" topLeftCell="A16" zoomScale="80" zoomScaleNormal="80" workbookViewId="0">
      <selection activeCell="N65" sqref="N64:N65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1.33203125" style="6" customWidth="1"/>
    <col min="5" max="6" width="15.44140625" style="6" customWidth="1"/>
    <col min="7" max="7" width="8.6640625" style="6" customWidth="1"/>
    <col min="8" max="8" width="9.6640625" style="8" customWidth="1"/>
    <col min="9" max="11" width="9.109375" style="6" customWidth="1"/>
    <col min="12" max="31" width="9.6640625" style="6" customWidth="1"/>
    <col min="32" max="32" width="2.6640625" style="6" customWidth="1"/>
    <col min="33" max="16384" width="9.109375" style="6"/>
  </cols>
  <sheetData>
    <row r="1" spans="1:39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34"/>
      <c r="L1" s="2"/>
      <c r="M1" s="2"/>
      <c r="N1" s="2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"/>
      <c r="AA1" s="2"/>
      <c r="AB1" s="2"/>
      <c r="AC1" s="2"/>
      <c r="AD1" s="2"/>
      <c r="AE1" s="35"/>
    </row>
    <row r="2" spans="1:39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34"/>
      <c r="L2" s="2"/>
      <c r="M2" s="2"/>
      <c r="N2" s="2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2"/>
      <c r="AA2" s="2"/>
      <c r="AB2" s="2"/>
      <c r="AC2" s="2"/>
      <c r="AD2" s="2"/>
      <c r="AE2" s="35"/>
    </row>
    <row r="3" spans="1:39" ht="12.75" customHeight="1" x14ac:dyDescent="0.25">
      <c r="E3" s="3"/>
      <c r="F3" s="4"/>
      <c r="G3" s="3" t="s">
        <v>20</v>
      </c>
      <c r="H3" s="2"/>
      <c r="I3" s="2"/>
      <c r="J3" s="3"/>
      <c r="K3" s="3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35"/>
    </row>
    <row r="4" spans="1:39" ht="12.75" customHeight="1" x14ac:dyDescent="0.25">
      <c r="E4" s="3"/>
      <c r="F4" s="5"/>
      <c r="G4" s="3" t="s">
        <v>21</v>
      </c>
      <c r="H4" s="2"/>
      <c r="I4" s="2"/>
      <c r="J4" s="3"/>
      <c r="K4" s="3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35"/>
    </row>
    <row r="5" spans="1:39" ht="12.75" customHeight="1" x14ac:dyDescent="0.25">
      <c r="E5" s="3"/>
      <c r="F5" s="5"/>
      <c r="G5" s="3"/>
      <c r="H5" s="2"/>
      <c r="I5" s="2"/>
      <c r="J5" s="3"/>
      <c r="K5" s="3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"/>
      <c r="AA5" s="2"/>
      <c r="AB5" s="2"/>
      <c r="AC5" s="2"/>
      <c r="AD5" s="2"/>
      <c r="AE5" s="35"/>
    </row>
    <row r="6" spans="1:39" ht="12.75" customHeight="1" x14ac:dyDescent="0.25">
      <c r="E6" s="3"/>
      <c r="F6" s="5"/>
      <c r="G6" s="3"/>
      <c r="H6" s="2"/>
      <c r="I6" s="2"/>
      <c r="J6" s="3"/>
      <c r="K6" s="3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/>
      <c r="AA6" s="2"/>
      <c r="AB6" s="2"/>
      <c r="AC6" s="2"/>
      <c r="AD6" s="2"/>
      <c r="AE6" s="35"/>
    </row>
    <row r="7" spans="1:39" ht="12.75" customHeight="1" x14ac:dyDescent="0.25">
      <c r="E7" s="3"/>
      <c r="F7" s="5"/>
      <c r="G7" s="7"/>
      <c r="H7" s="2"/>
      <c r="I7" s="2"/>
      <c r="J7" s="3"/>
      <c r="K7" s="3"/>
      <c r="L7" s="2"/>
      <c r="M7" s="2"/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"/>
      <c r="AA7" s="2"/>
      <c r="AB7" s="2"/>
      <c r="AC7" s="2"/>
      <c r="AD7" s="2"/>
      <c r="AE7" s="35"/>
    </row>
    <row r="8" spans="1:39" ht="12.75" customHeight="1" thickBot="1" x14ac:dyDescent="0.3"/>
    <row r="9" spans="1:39" ht="12.75" customHeight="1" thickBot="1" x14ac:dyDescent="0.3">
      <c r="B9" s="39" t="s">
        <v>15</v>
      </c>
      <c r="E9" s="449">
        <f>AG9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G9" s="36">
        <v>1</v>
      </c>
      <c r="AH9" s="37" t="s">
        <v>12</v>
      </c>
      <c r="AI9" s="10"/>
      <c r="AJ9" s="10"/>
      <c r="AK9" s="10"/>
      <c r="AL9" s="10"/>
      <c r="AM9" s="10"/>
    </row>
    <row r="10" spans="1:39" ht="12.75" customHeight="1" thickBot="1" x14ac:dyDescent="0.3">
      <c r="B10" s="40"/>
      <c r="E10" s="9"/>
      <c r="F10" s="9"/>
      <c r="G10" s="9"/>
      <c r="H10" s="10"/>
      <c r="I10" s="10"/>
      <c r="J10" s="11" t="s">
        <v>13</v>
      </c>
      <c r="K10" s="49" t="s">
        <v>36</v>
      </c>
      <c r="L10" s="38" t="s">
        <v>37</v>
      </c>
      <c r="M10" s="38" t="s">
        <v>87</v>
      </c>
      <c r="N10" s="38" t="s">
        <v>39</v>
      </c>
      <c r="O10" s="38" t="s">
        <v>73</v>
      </c>
      <c r="P10" s="38" t="s">
        <v>88</v>
      </c>
      <c r="Q10" s="38" t="s">
        <v>89</v>
      </c>
      <c r="R10" s="38" t="s">
        <v>80</v>
      </c>
      <c r="S10" s="38" t="s">
        <v>100</v>
      </c>
      <c r="T10" s="38" t="s">
        <v>41</v>
      </c>
      <c r="U10" s="38" t="s">
        <v>42</v>
      </c>
      <c r="V10" s="38" t="s">
        <v>42</v>
      </c>
      <c r="W10" s="38" t="s">
        <v>42</v>
      </c>
      <c r="X10" s="38" t="s">
        <v>42</v>
      </c>
      <c r="Y10" s="38" t="s">
        <v>56</v>
      </c>
      <c r="Z10" s="38" t="s">
        <v>74</v>
      </c>
      <c r="AA10" s="38" t="s">
        <v>75</v>
      </c>
      <c r="AB10" s="38" t="s">
        <v>81</v>
      </c>
      <c r="AC10" s="38" t="s">
        <v>83</v>
      </c>
      <c r="AD10" s="38" t="s">
        <v>77</v>
      </c>
      <c r="AE10" s="38"/>
    </row>
    <row r="11" spans="1:39" ht="12.75" customHeight="1" x14ac:dyDescent="0.25">
      <c r="E11" s="9"/>
      <c r="F11" s="9"/>
      <c r="G11" s="9"/>
      <c r="H11" s="10"/>
      <c r="I11" s="10"/>
      <c r="J11" s="11" t="s">
        <v>14</v>
      </c>
      <c r="K11" s="59"/>
      <c r="L11" s="58" t="s">
        <v>102</v>
      </c>
      <c r="M11" s="58"/>
      <c r="N11" s="58"/>
      <c r="O11" s="58"/>
      <c r="P11" s="58"/>
      <c r="Q11" s="58"/>
      <c r="R11" s="58"/>
      <c r="S11" s="58" t="s">
        <v>101</v>
      </c>
      <c r="T11" s="58" t="s">
        <v>90</v>
      </c>
      <c r="U11" s="58" t="s">
        <v>97</v>
      </c>
      <c r="V11" s="58" t="s">
        <v>78</v>
      </c>
      <c r="W11" s="58" t="s">
        <v>90</v>
      </c>
      <c r="X11" s="58" t="s">
        <v>91</v>
      </c>
      <c r="Y11" s="58" t="s">
        <v>79</v>
      </c>
      <c r="Z11" s="58"/>
      <c r="AA11" s="58"/>
      <c r="AB11" s="58"/>
      <c r="AC11" s="58"/>
      <c r="AD11" s="58"/>
      <c r="AE11" s="58"/>
    </row>
    <row r="12" spans="1:39" ht="12.75" customHeight="1" x14ac:dyDescent="0.25">
      <c r="E12" s="10"/>
      <c r="F12" s="1"/>
      <c r="G12" s="10"/>
      <c r="H12" s="9"/>
      <c r="I12" s="10"/>
      <c r="J12" s="11" t="s">
        <v>7</v>
      </c>
      <c r="K12" s="59"/>
      <c r="L12" s="60">
        <v>29</v>
      </c>
      <c r="M12" s="60">
        <v>31</v>
      </c>
      <c r="N12" s="60">
        <v>2</v>
      </c>
      <c r="O12" s="60">
        <v>30</v>
      </c>
      <c r="P12" s="60"/>
      <c r="Q12" s="60"/>
      <c r="R12" s="60">
        <v>3</v>
      </c>
      <c r="S12" s="60">
        <v>17</v>
      </c>
      <c r="T12" s="60">
        <v>4</v>
      </c>
      <c r="U12" s="60">
        <v>32</v>
      </c>
      <c r="V12" s="60">
        <v>27</v>
      </c>
      <c r="W12" s="60">
        <v>5</v>
      </c>
      <c r="X12" s="60">
        <v>23</v>
      </c>
      <c r="Y12" s="60">
        <v>6</v>
      </c>
      <c r="Z12" s="60">
        <v>7</v>
      </c>
      <c r="AA12" s="60">
        <v>8</v>
      </c>
      <c r="AB12" s="60">
        <v>9</v>
      </c>
      <c r="AC12" s="60">
        <v>10</v>
      </c>
      <c r="AD12" s="60">
        <v>12</v>
      </c>
      <c r="AE12" s="60"/>
    </row>
    <row r="13" spans="1:39" ht="12.75" customHeight="1" thickBot="1" x14ac:dyDescent="0.3">
      <c r="E13" s="10"/>
      <c r="F13" s="1"/>
      <c r="G13" s="10"/>
      <c r="H13" s="9"/>
      <c r="I13" s="10"/>
      <c r="J13" s="11" t="s">
        <v>8</v>
      </c>
      <c r="K13" s="59"/>
      <c r="L13" s="61"/>
      <c r="M13" s="61"/>
      <c r="N13" s="61"/>
      <c r="O13" s="61"/>
      <c r="P13" s="61"/>
      <c r="Q13" s="61"/>
      <c r="R13" s="61"/>
      <c r="S13" s="61"/>
      <c r="T13" s="61"/>
      <c r="U13" s="61" t="s">
        <v>84</v>
      </c>
      <c r="V13" s="61"/>
      <c r="W13" s="61" t="s">
        <v>43</v>
      </c>
      <c r="X13" s="61" t="s">
        <v>76</v>
      </c>
      <c r="Y13" s="61"/>
      <c r="Z13" s="61" t="s">
        <v>66</v>
      </c>
      <c r="AA13" s="61" t="s">
        <v>55</v>
      </c>
      <c r="AB13" s="61" t="s">
        <v>66</v>
      </c>
      <c r="AC13" s="61" t="s">
        <v>82</v>
      </c>
      <c r="AD13" s="61"/>
      <c r="AE13" s="61"/>
    </row>
    <row r="14" spans="1:39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62" t="str">
        <f t="shared" ref="K14:AE14" si="0">IF(OR(TRIM(K10)=0,TRIM(K10)=""),"",IF(IFERROR(TRIM(INDEX(QryItemNamed,MATCH(TRIM(K10),ITEM,0),2)),"")="Y","SPECIAL",LEFT(IFERROR(TRIM(INDEX(ITEM,MATCH(TRIM(K10),ITEM,0))),""),3)))</f>
        <v>204</v>
      </c>
      <c r="L14" s="62" t="str">
        <f t="shared" si="0"/>
        <v>204</v>
      </c>
      <c r="M14" s="62" t="str">
        <f t="shared" si="0"/>
        <v>204</v>
      </c>
      <c r="N14" s="62" t="str">
        <f t="shared" si="0"/>
        <v>204</v>
      </c>
      <c r="O14" s="62" t="str">
        <f t="shared" si="0"/>
        <v>204</v>
      </c>
      <c r="P14" s="62" t="str">
        <f t="shared" si="0"/>
        <v>206</v>
      </c>
      <c r="Q14" s="62" t="str">
        <f t="shared" si="0"/>
        <v>206</v>
      </c>
      <c r="R14" s="62" t="str">
        <f t="shared" si="0"/>
        <v>206</v>
      </c>
      <c r="S14" s="62" t="str">
        <f t="shared" si="0"/>
        <v>254</v>
      </c>
      <c r="T14" s="62" t="str">
        <f t="shared" si="0"/>
        <v>301</v>
      </c>
      <c r="U14" s="62" t="str">
        <f t="shared" si="0"/>
        <v>304</v>
      </c>
      <c r="V14" s="62" t="str">
        <f t="shared" si="0"/>
        <v>304</v>
      </c>
      <c r="W14" s="62" t="str">
        <f t="shared" si="0"/>
        <v>304</v>
      </c>
      <c r="X14" s="62" t="str">
        <f>IF(OR(TRIM(X10)=0,TRIM(X10)=""),"",IF(IFERROR(TRIM(INDEX(QryItemNamed,MATCH(TRIM(X10),ITEM,0),2)),"")="Y","SPECIAL",LEFT(IFERROR(TRIM(INDEX(ITEM,MATCH(TRIM(X10),ITEM,0))),""),3)))</f>
        <v>304</v>
      </c>
      <c r="Y14" s="62" t="str">
        <f t="shared" si="0"/>
        <v>407</v>
      </c>
      <c r="Z14" s="62" t="str">
        <f t="shared" si="0"/>
        <v>442</v>
      </c>
      <c r="AA14" s="62" t="str">
        <f t="shared" si="0"/>
        <v>442</v>
      </c>
      <c r="AB14" s="62" t="str">
        <f>IF(OR(TRIM(AB10)=0,TRIM(AB10)=""),"",IF(IFERROR(TRIM(INDEX(QryItemNamed,MATCH(TRIM(AB10),ITEM,0),2)),"")="Y","SPECIAL",LEFT(IFERROR(TRIM(INDEX(ITEM,MATCH(TRIM(AB10),ITEM,0))),""),3)))</f>
        <v>442</v>
      </c>
      <c r="AC14" s="62" t="str">
        <f t="shared" si="0"/>
        <v>442</v>
      </c>
      <c r="AD14" s="62" t="str">
        <f t="shared" si="0"/>
        <v>452</v>
      </c>
      <c r="AE14" s="62" t="str">
        <f t="shared" si="0"/>
        <v/>
      </c>
    </row>
    <row r="15" spans="1:39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48" t="str">
        <f t="shared" ref="K15:AE15" si="1">IF(OR(TRIM(K10)=0,TRIM(K10)=""),IF(K11="","",K11),IF(IFERROR(TRIM(INDEX(QryItemNamed,MATCH(TRIM(K10),ITEM,0),2)),"")="Y",TRIM(RIGHT(IFERROR(TRIM(INDEX(QryItemNamed,MATCH(TRIM(K10),ITEM,0),4)),"123456789012"),LEN(IFERROR(TRIM(INDEX(QryItemNamed,MATCH(TRIM(K10),ITEM,0),4)),"123456789012"))-9))&amp;K11,IFERROR(TRIM(INDEX(QryItemNamed,MATCH(TRIM(K10),ITEM,0),4))&amp;K11,"ITEM CODE DOES NOT EXIST IN ITEM MASTER")))</f>
        <v>SUBGRADE COMPACTION</v>
      </c>
      <c r="L15" s="448" t="str">
        <f t="shared" si="1"/>
        <v>EXCAVATION OF SUBGRADE (14" DEEP)</v>
      </c>
      <c r="M15" s="448" t="str">
        <f t="shared" si="1"/>
        <v>GRANULAR MATERIAL, TYPE B</v>
      </c>
      <c r="N15" s="448" t="str">
        <f t="shared" si="1"/>
        <v>PROOF ROLLING</v>
      </c>
      <c r="O15" s="448" t="str">
        <f t="shared" si="1"/>
        <v>GEOGRID</v>
      </c>
      <c r="P15" s="496" t="str">
        <f t="shared" si="1"/>
        <v>CEMENT</v>
      </c>
      <c r="Q15" s="448" t="str">
        <f t="shared" si="1"/>
        <v>CURING COAT</v>
      </c>
      <c r="R15" s="448" t="str">
        <f t="shared" si="1"/>
        <v>CEMENT STABILIZED SUBGRADE, 14 INCHES DEEP</v>
      </c>
      <c r="S15" s="448" t="str">
        <f t="shared" si="1"/>
        <v>PAVEMENT PLANING, ASPHALT CONCRETE, AS PER PLAN (VARIABLE)</v>
      </c>
      <c r="T15" s="448" t="str">
        <f t="shared" si="1"/>
        <v>ASPHALT CONCRETE BASE, PG64-22, (449) (6")</v>
      </c>
      <c r="U15" s="448" t="str">
        <f t="shared" si="1"/>
        <v>AGGREGATE BASE (4")</v>
      </c>
      <c r="V15" s="448" t="str">
        <f t="shared" si="1"/>
        <v>AGGREGATE BASE (DEPTH VARIES 4" MIN, 6" MAX)</v>
      </c>
      <c r="W15" s="448" t="str">
        <f t="shared" si="1"/>
        <v>AGGREGATE BASE (6")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>AGGREGATE BASE (14.5")</v>
      </c>
      <c r="Y15" s="448" t="str">
        <f t="shared" si="1"/>
        <v>NON-TRACKING TACK COAT (@0.09 GAL/SY)</v>
      </c>
      <c r="Z15" s="448" t="str">
        <f t="shared" si="1"/>
        <v>ASPHALT CONCRETE SURFACE COURSE, 12.5 MM, TYPE A (446), AS PER PLAN</v>
      </c>
      <c r="AA15" s="448" t="str">
        <f t="shared" si="1"/>
        <v>ASPHALT CONCRETE INTERMEDIATE COURSE, 12.5 MM, TYPE A (448), AS PER PLAN</v>
      </c>
      <c r="AB15" s="448" t="str">
        <f>IF(OR(TRIM(AB10)=0,TRIM(AB10)=""),IF(AB11="","",AB11),IF(IFERROR(TRIM(INDEX(QryItemNamed,MATCH(TRIM(AB10),ITEM,0),2)),"")="Y",TRIM(RIGHT(IFERROR(TRIM(INDEX(QryItemNamed,MATCH(TRIM(AB10),ITEM,0),4)),"123456789012"),LEN(IFERROR(TRIM(INDEX(QryItemNamed,MATCH(TRIM(AB10),ITEM,0),4)),"123456789012"))-9))&amp;AB11,IFERROR(TRIM(INDEX(QryItemNamed,MATCH(TRIM(AB10),ITEM,0),4))&amp;AB11,"ITEM CODE DOES NOT EXIST IN ITEM MASTER")))</f>
        <v>ASPHALT CONCRETE SURFACE COURSE, 9.5 MM, TYPE A (449), AS PER PLAN</v>
      </c>
      <c r="AC15" s="448" t="str">
        <f t="shared" si="1"/>
        <v>ASPHALT CONCRETE INTERMEDIATE COURSE, 19 MM, TYPE A (449), AS PER PLAN</v>
      </c>
      <c r="AD15" s="448" t="str">
        <f t="shared" si="1"/>
        <v>6" NON-REINFORCED CONCRETE PAVEMENT, CLASS QC 1P, AS PER PLAN</v>
      </c>
      <c r="AE15" s="448" t="str">
        <f t="shared" si="1"/>
        <v/>
      </c>
    </row>
    <row r="16" spans="1:39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48"/>
      <c r="L16" s="448"/>
      <c r="M16" s="448"/>
      <c r="N16" s="448"/>
      <c r="O16" s="448"/>
      <c r="P16" s="496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</row>
    <row r="17" spans="2:31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48"/>
      <c r="L17" s="448"/>
      <c r="M17" s="448"/>
      <c r="N17" s="448"/>
      <c r="O17" s="448"/>
      <c r="P17" s="496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</row>
    <row r="18" spans="2:31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48"/>
      <c r="L18" s="448"/>
      <c r="M18" s="448"/>
      <c r="N18" s="448"/>
      <c r="O18" s="448"/>
      <c r="P18" s="496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</row>
    <row r="19" spans="2:31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48"/>
      <c r="L19" s="448"/>
      <c r="M19" s="448"/>
      <c r="N19" s="448"/>
      <c r="O19" s="448"/>
      <c r="P19" s="496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</row>
    <row r="20" spans="2:31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48"/>
      <c r="L20" s="448"/>
      <c r="M20" s="448"/>
      <c r="N20" s="448"/>
      <c r="O20" s="448"/>
      <c r="P20" s="496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</row>
    <row r="21" spans="2:31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48"/>
      <c r="L21" s="448"/>
      <c r="M21" s="448"/>
      <c r="N21" s="448"/>
      <c r="O21" s="448"/>
      <c r="P21" s="496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</row>
    <row r="22" spans="2:31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48"/>
      <c r="L22" s="448"/>
      <c r="M22" s="448"/>
      <c r="N22" s="448"/>
      <c r="O22" s="448"/>
      <c r="P22" s="496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</row>
    <row r="23" spans="2:31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48"/>
      <c r="L23" s="448"/>
      <c r="M23" s="448"/>
      <c r="N23" s="448"/>
      <c r="O23" s="448"/>
      <c r="P23" s="496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</row>
    <row r="24" spans="2:31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48"/>
      <c r="L24" s="448"/>
      <c r="M24" s="448"/>
      <c r="N24" s="448"/>
      <c r="O24" s="448"/>
      <c r="P24" s="496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</row>
    <row r="25" spans="2:31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48"/>
      <c r="L25" s="448"/>
      <c r="M25" s="448"/>
      <c r="N25" s="448"/>
      <c r="O25" s="448"/>
      <c r="P25" s="496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</row>
    <row r="26" spans="2:31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48"/>
      <c r="L26" s="448"/>
      <c r="M26" s="448"/>
      <c r="N26" s="448"/>
      <c r="O26" s="448"/>
      <c r="P26" s="496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</row>
    <row r="27" spans="2:31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63" t="str">
        <f t="shared" ref="K27:AE27" si="2">IF(OR(TRIM(K10)=0,TRIM(K10)=""),"",IF(IFERROR(TRIM(INDEX(QryItemNamed,MATCH(TRIM(K10),ITEM,0),3)),"")="LS","",IFERROR(TRIM(INDEX(QryItemNamed,MATCH(TRIM(K10),ITEM,0),3)),"")))</f>
        <v>SY</v>
      </c>
      <c r="L27" s="63" t="str">
        <f t="shared" si="2"/>
        <v>CY</v>
      </c>
      <c r="M27" s="63" t="str">
        <f t="shared" si="2"/>
        <v>CY</v>
      </c>
      <c r="N27" s="63" t="str">
        <f t="shared" si="2"/>
        <v>HOUR</v>
      </c>
      <c r="O27" s="63" t="str">
        <f t="shared" si="2"/>
        <v>SY</v>
      </c>
      <c r="P27" s="63" t="str">
        <f t="shared" si="2"/>
        <v>TON</v>
      </c>
      <c r="Q27" s="63" t="str">
        <f t="shared" si="2"/>
        <v>SY</v>
      </c>
      <c r="R27" s="63" t="str">
        <f t="shared" si="2"/>
        <v>SY</v>
      </c>
      <c r="S27" s="63" t="str">
        <f t="shared" si="2"/>
        <v>SY</v>
      </c>
      <c r="T27" s="63" t="str">
        <f t="shared" si="2"/>
        <v>CY</v>
      </c>
      <c r="U27" s="63" t="str">
        <f t="shared" si="2"/>
        <v>CY</v>
      </c>
      <c r="V27" s="63" t="str">
        <f t="shared" si="2"/>
        <v>CY</v>
      </c>
      <c r="W27" s="63" t="str">
        <f t="shared" si="2"/>
        <v>CY</v>
      </c>
      <c r="X27" s="63" t="str">
        <f t="shared" si="2"/>
        <v>CY</v>
      </c>
      <c r="Y27" s="63" t="str">
        <f t="shared" si="2"/>
        <v>GAL</v>
      </c>
      <c r="Z27" s="63" t="str">
        <f t="shared" si="2"/>
        <v>CY</v>
      </c>
      <c r="AA27" s="63" t="str">
        <f t="shared" si="2"/>
        <v>CY</v>
      </c>
      <c r="AB27" s="63" t="str">
        <f t="shared" si="2"/>
        <v>CY</v>
      </c>
      <c r="AC27" s="63" t="str">
        <f t="shared" si="2"/>
        <v>CY</v>
      </c>
      <c r="AD27" s="63" t="str">
        <f t="shared" si="2"/>
        <v>SY</v>
      </c>
      <c r="AE27" s="63" t="str">
        <f t="shared" si="2"/>
        <v/>
      </c>
    </row>
    <row r="28" spans="2:31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</row>
    <row r="29" spans="2:31" ht="12.75" customHeight="1" x14ac:dyDescent="0.25">
      <c r="B29" s="42"/>
      <c r="D29" s="242"/>
      <c r="E29" s="447" t="s">
        <v>68</v>
      </c>
      <c r="F29" s="447"/>
      <c r="G29" s="142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2:31" ht="12.75" customHeight="1" x14ac:dyDescent="0.25">
      <c r="B30" s="42"/>
      <c r="D30" s="191" t="s">
        <v>98</v>
      </c>
      <c r="E30" s="192">
        <v>174480</v>
      </c>
      <c r="F30" s="192">
        <v>177190</v>
      </c>
      <c r="G30" s="193" t="s">
        <v>34</v>
      </c>
      <c r="H30" s="194">
        <f>F30-E30</f>
        <v>2710</v>
      </c>
      <c r="I30" s="194">
        <f>J30/H30</f>
        <v>25.676847601476013</v>
      </c>
      <c r="J30" s="194">
        <v>69584.256999999998</v>
      </c>
      <c r="K30" s="288"/>
      <c r="L30" s="194"/>
      <c r="M30" s="194"/>
      <c r="N30" s="194"/>
      <c r="O30" s="289"/>
      <c r="P30" s="289"/>
      <c r="Q30" s="289"/>
      <c r="R30" s="194"/>
      <c r="S30" s="194">
        <f>J30/9</f>
        <v>7731.5841111111113</v>
      </c>
      <c r="T30" s="194"/>
      <c r="U30" s="194"/>
      <c r="V30" s="194">
        <f>(J30*(4/12))/27</f>
        <v>859.06490123456774</v>
      </c>
      <c r="W30" s="194"/>
      <c r="X30" s="194"/>
      <c r="Y30" s="290"/>
      <c r="Z30" s="290">
        <f>(J30*(1.5/12))/27</f>
        <v>322.14933796296293</v>
      </c>
      <c r="AA30" s="290">
        <f>(J30*(1.75/12))/27</f>
        <v>375.84089429012346</v>
      </c>
      <c r="AB30" s="291"/>
      <c r="AC30" s="290"/>
      <c r="AD30" s="290"/>
      <c r="AE30" s="292"/>
    </row>
    <row r="31" spans="2:31" ht="12.75" customHeight="1" x14ac:dyDescent="0.25">
      <c r="B31" s="42"/>
      <c r="D31" s="182"/>
      <c r="E31" s="293"/>
      <c r="F31" s="293"/>
      <c r="G31" s="294"/>
      <c r="H31" s="295"/>
      <c r="I31" s="295"/>
      <c r="J31" s="295"/>
      <c r="K31" s="118"/>
      <c r="L31" s="295"/>
      <c r="M31" s="295"/>
      <c r="N31" s="296"/>
      <c r="O31" s="296"/>
      <c r="P31" s="296"/>
      <c r="Q31" s="296"/>
      <c r="R31" s="295"/>
      <c r="S31" s="295"/>
      <c r="T31" s="295"/>
      <c r="U31" s="295"/>
      <c r="V31" s="295"/>
      <c r="W31" s="295"/>
      <c r="X31" s="123"/>
      <c r="Y31" s="123"/>
      <c r="Z31" s="123"/>
      <c r="AA31" s="123"/>
      <c r="AB31" s="123"/>
      <c r="AC31" s="123"/>
      <c r="AD31" s="123"/>
      <c r="AE31" s="123"/>
    </row>
    <row r="32" spans="2:31" ht="12.75" customHeight="1" x14ac:dyDescent="0.25">
      <c r="B32" s="42"/>
      <c r="D32" s="164" t="s">
        <v>27</v>
      </c>
      <c r="E32" s="165">
        <v>174480</v>
      </c>
      <c r="F32" s="165">
        <v>174886.63</v>
      </c>
      <c r="G32" s="166" t="s">
        <v>32</v>
      </c>
      <c r="H32" s="167">
        <f>F32-E32</f>
        <v>406.63000000000466</v>
      </c>
      <c r="I32" s="167">
        <f>J32/H32</f>
        <v>2.0317266310896649</v>
      </c>
      <c r="J32" s="167">
        <v>826.16099999999994</v>
      </c>
      <c r="K32" s="92">
        <f>J32/9</f>
        <v>91.795666666666662</v>
      </c>
      <c r="L32" s="168">
        <f>(J32*(14/12))/27</f>
        <v>35.698314814814815</v>
      </c>
      <c r="M32" s="168">
        <f>L32</f>
        <v>35.698314814814815</v>
      </c>
      <c r="N32" s="297">
        <f>J32/9/2000</f>
        <v>4.5897833333333332E-2</v>
      </c>
      <c r="O32" s="168">
        <f>K32</f>
        <v>91.795666666666662</v>
      </c>
      <c r="P32" s="166"/>
      <c r="Q32" s="166"/>
      <c r="R32" s="166"/>
      <c r="S32" s="166"/>
      <c r="T32" s="168">
        <f>(J32*(6/12))/27</f>
        <v>15.299277777777776</v>
      </c>
      <c r="U32" s="166"/>
      <c r="V32" s="166"/>
      <c r="W32" s="168">
        <f>T32</f>
        <v>15.299277777777776</v>
      </c>
      <c r="X32" s="298"/>
      <c r="Y32" s="298">
        <f>(J32/9)*0.09*2</f>
        <v>16.523219999999998</v>
      </c>
      <c r="Z32" s="151">
        <f>(J32*(1.5/12))/27</f>
        <v>3.8248194444444441</v>
      </c>
      <c r="AA32" s="151">
        <f>(J32*(1.75/12))/27</f>
        <v>4.4622893518518518</v>
      </c>
      <c r="AB32" s="298"/>
      <c r="AC32" s="298"/>
      <c r="AD32" s="298"/>
      <c r="AE32" s="298"/>
    </row>
    <row r="33" spans="2:31" ht="12.75" customHeight="1" x14ac:dyDescent="0.25">
      <c r="B33" s="42"/>
      <c r="D33" s="206" t="s">
        <v>28</v>
      </c>
      <c r="E33" s="207">
        <v>174480</v>
      </c>
      <c r="F33" s="207">
        <v>174687.98</v>
      </c>
      <c r="G33" s="208" t="s">
        <v>32</v>
      </c>
      <c r="H33" s="209">
        <f>F33-E33</f>
        <v>207.98000000001048</v>
      </c>
      <c r="I33" s="209"/>
      <c r="J33" s="209"/>
      <c r="K33" s="104"/>
      <c r="L33" s="209">
        <f>(H33*(14/12)*(18/12))/27</f>
        <v>13.480185185185864</v>
      </c>
      <c r="M33" s="209">
        <f>L33</f>
        <v>13.480185185185864</v>
      </c>
      <c r="N33" s="299">
        <f>(H33*1.5)/9/2000</f>
        <v>1.733166666666754E-2</v>
      </c>
      <c r="O33" s="210">
        <f>H33*1.5/9</f>
        <v>34.663333333335082</v>
      </c>
      <c r="P33" s="299"/>
      <c r="Q33" s="299"/>
      <c r="R33" s="209"/>
      <c r="S33" s="209"/>
      <c r="T33" s="209">
        <f>(H33*(6/12)*(4/12))/27</f>
        <v>1.2838271604938916</v>
      </c>
      <c r="U33" s="209"/>
      <c r="V33" s="209"/>
      <c r="W33" s="209">
        <f>(H33*(6/12)*(10/12))/27</f>
        <v>3.2095679012347298</v>
      </c>
      <c r="X33" s="209"/>
      <c r="Y33" s="300"/>
      <c r="Z33" s="300"/>
      <c r="AA33" s="300"/>
      <c r="AB33" s="301"/>
      <c r="AC33" s="302"/>
      <c r="AD33" s="302"/>
      <c r="AE33" s="302"/>
    </row>
    <row r="34" spans="2:31" ht="12.75" customHeight="1" x14ac:dyDescent="0.25">
      <c r="B34" s="42"/>
      <c r="D34" s="183" t="s">
        <v>29</v>
      </c>
      <c r="E34" s="184">
        <v>174687.98</v>
      </c>
      <c r="F34" s="184">
        <v>174886.63</v>
      </c>
      <c r="G34" s="185" t="s">
        <v>32</v>
      </c>
      <c r="H34" s="186">
        <f>F34-E34</f>
        <v>198.64999999999418</v>
      </c>
      <c r="I34" s="186">
        <v>2.5</v>
      </c>
      <c r="J34" s="186">
        <v>494.15600000000001</v>
      </c>
      <c r="K34" s="303">
        <f>J34/9</f>
        <v>54.906222222222226</v>
      </c>
      <c r="L34" s="186">
        <f>((J34*(14/12))/27)+((H34*(14/12)*(12/12))/27)</f>
        <v>29.936061728394812</v>
      </c>
      <c r="M34" s="186">
        <f>L34</f>
        <v>29.936061728394812</v>
      </c>
      <c r="N34" s="304">
        <f>J34/9/2000</f>
        <v>2.7453111111111112E-2</v>
      </c>
      <c r="O34" s="187">
        <f>(K34)+(H34*1/9)</f>
        <v>76.978444444443795</v>
      </c>
      <c r="P34" s="304"/>
      <c r="Q34" s="304"/>
      <c r="R34" s="186"/>
      <c r="S34" s="186"/>
      <c r="T34" s="186"/>
      <c r="U34" s="186"/>
      <c r="V34" s="186"/>
      <c r="W34" s="186">
        <f>((J34*(6/12))/27)+((H34*(6/12)*(12/12))/27)</f>
        <v>12.829740740740633</v>
      </c>
      <c r="X34" s="305"/>
      <c r="Y34" s="305"/>
      <c r="Z34" s="305"/>
      <c r="AA34" s="305"/>
      <c r="AB34" s="305"/>
      <c r="AC34" s="305"/>
      <c r="AD34" s="305"/>
      <c r="AE34" s="305"/>
    </row>
    <row r="35" spans="2:31" ht="12.6" customHeight="1" x14ac:dyDescent="0.25">
      <c r="B35" s="42"/>
      <c r="D35" s="144"/>
      <c r="E35" s="145"/>
      <c r="F35" s="145"/>
      <c r="G35" s="146"/>
      <c r="H35" s="147"/>
      <c r="I35" s="147"/>
      <c r="J35" s="147"/>
      <c r="K35" s="108"/>
      <c r="L35" s="147"/>
      <c r="M35" s="147"/>
      <c r="N35" s="147"/>
      <c r="O35" s="306"/>
      <c r="P35" s="306"/>
      <c r="Q35" s="306"/>
      <c r="R35" s="147"/>
      <c r="S35" s="147"/>
      <c r="T35" s="147"/>
      <c r="U35" s="147"/>
      <c r="V35" s="147"/>
      <c r="W35" s="147"/>
      <c r="X35" s="123"/>
      <c r="Y35" s="123"/>
      <c r="Z35" s="123"/>
      <c r="AA35" s="123"/>
      <c r="AB35" s="123"/>
      <c r="AC35" s="123"/>
      <c r="AD35" s="123"/>
      <c r="AE35" s="123"/>
    </row>
    <row r="36" spans="2:31" ht="12.6" customHeight="1" x14ac:dyDescent="0.25">
      <c r="B36" s="42"/>
      <c r="D36" s="153" t="s">
        <v>96</v>
      </c>
      <c r="E36" s="154">
        <v>174480</v>
      </c>
      <c r="F36" s="154">
        <v>174886.63</v>
      </c>
      <c r="G36" s="155" t="s">
        <v>32</v>
      </c>
      <c r="H36" s="156">
        <f>F36-E36</f>
        <v>406.63000000000466</v>
      </c>
      <c r="I36" s="156">
        <v>10</v>
      </c>
      <c r="J36" s="156">
        <v>3226.9609999999998</v>
      </c>
      <c r="K36" s="100"/>
      <c r="L36" s="156"/>
      <c r="M36" s="156"/>
      <c r="N36" s="156"/>
      <c r="O36" s="307"/>
      <c r="P36" s="307"/>
      <c r="Q36" s="307"/>
      <c r="R36" s="156">
        <f>J36/9</f>
        <v>358.55122222222218</v>
      </c>
      <c r="S36" s="156"/>
      <c r="T36" s="156"/>
      <c r="U36" s="156"/>
      <c r="V36" s="156"/>
      <c r="W36" s="156">
        <f>(J36*(6/12))/27</f>
        <v>59.75853703703703</v>
      </c>
      <c r="X36" s="308"/>
      <c r="Y36" s="156"/>
      <c r="Z36" s="156"/>
      <c r="AA36" s="156"/>
      <c r="AB36" s="308">
        <f>(J36*(1.5/12))/27</f>
        <v>14.939634259259257</v>
      </c>
      <c r="AC36" s="308">
        <f>(J36*(2.5/12))/27</f>
        <v>24.899390432098766</v>
      </c>
      <c r="AD36" s="123"/>
      <c r="AE36" s="123"/>
    </row>
    <row r="37" spans="2:31" ht="12.6" customHeight="1" x14ac:dyDescent="0.25">
      <c r="B37" s="42"/>
      <c r="D37" s="158" t="s">
        <v>71</v>
      </c>
      <c r="E37" s="162">
        <v>174480</v>
      </c>
      <c r="F37" s="162">
        <v>174886.63</v>
      </c>
      <c r="G37" s="163" t="s">
        <v>32</v>
      </c>
      <c r="H37" s="159">
        <f>F37-E37</f>
        <v>406.63000000000466</v>
      </c>
      <c r="I37" s="159"/>
      <c r="J37" s="159"/>
      <c r="K37" s="309"/>
      <c r="L37" s="159"/>
      <c r="M37" s="159"/>
      <c r="N37" s="159"/>
      <c r="O37" s="159"/>
      <c r="P37" s="159"/>
      <c r="Q37" s="159"/>
      <c r="R37" s="159">
        <f>(H37*1.5/9)*2</f>
        <v>135.54333333333489</v>
      </c>
      <c r="S37" s="159"/>
      <c r="T37" s="159"/>
      <c r="U37" s="159"/>
      <c r="V37" s="159"/>
      <c r="W37" s="159">
        <f>((H37*(6/12)*(6/12))/27)*2</f>
        <v>7.530185185185271</v>
      </c>
      <c r="X37" s="310"/>
      <c r="Y37" s="159"/>
      <c r="Z37" s="159"/>
      <c r="AA37" s="159"/>
      <c r="AB37" s="310"/>
      <c r="AC37" s="310"/>
      <c r="AD37" s="310"/>
      <c r="AE37" s="310"/>
    </row>
    <row r="38" spans="2:31" ht="12.6" customHeight="1" x14ac:dyDescent="0.25">
      <c r="B38" s="42"/>
      <c r="D38" s="144"/>
      <c r="E38" s="145"/>
      <c r="F38" s="145"/>
      <c r="G38" s="146"/>
      <c r="H38" s="147"/>
      <c r="I38" s="147"/>
      <c r="J38" s="147"/>
      <c r="K38" s="108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23"/>
      <c r="Y38" s="123"/>
      <c r="Z38" s="123"/>
      <c r="AA38" s="123"/>
      <c r="AB38" s="123"/>
      <c r="AC38" s="123"/>
      <c r="AD38" s="123"/>
      <c r="AE38" s="123"/>
    </row>
    <row r="39" spans="2:31" ht="12.75" customHeight="1" x14ac:dyDescent="0.25">
      <c r="B39" s="42"/>
      <c r="D39" s="212" t="s">
        <v>27</v>
      </c>
      <c r="E39" s="213">
        <v>174480</v>
      </c>
      <c r="F39" s="213">
        <v>175582.29</v>
      </c>
      <c r="G39" s="230" t="s">
        <v>33</v>
      </c>
      <c r="H39" s="214">
        <f>F39-E39</f>
        <v>1102.2900000000081</v>
      </c>
      <c r="I39" s="214">
        <f>J39/H39</f>
        <v>8.7795634542633323</v>
      </c>
      <c r="J39" s="214">
        <v>9677.625</v>
      </c>
      <c r="K39" s="311"/>
      <c r="L39" s="230"/>
      <c r="M39" s="230"/>
      <c r="N39" s="214">
        <f>J39/9/2000</f>
        <v>0.53764583333333338</v>
      </c>
      <c r="O39" s="214"/>
      <c r="P39" s="214">
        <f>R39*0.75*14*115*0.05/2000</f>
        <v>32.460367187499997</v>
      </c>
      <c r="Q39" s="214">
        <f>R39</f>
        <v>1075.2916666666667</v>
      </c>
      <c r="R39" s="214">
        <f>J39/9</f>
        <v>1075.2916666666667</v>
      </c>
      <c r="S39" s="214"/>
      <c r="T39" s="149">
        <f>(J39*(6/12))/27</f>
        <v>179.21527777777777</v>
      </c>
      <c r="U39" s="214"/>
      <c r="V39" s="214"/>
      <c r="W39" s="149">
        <f>T39</f>
        <v>179.21527777777777</v>
      </c>
      <c r="X39" s="312"/>
      <c r="Y39" s="312">
        <f>(J39/9)*0.09*2</f>
        <v>193.55250000000001</v>
      </c>
      <c r="Z39" s="205">
        <f>(J39*(1.5/12))/27</f>
        <v>44.803819444444443</v>
      </c>
      <c r="AA39" s="205">
        <f>(J39*(1.75/12))/27</f>
        <v>52.271122685185183</v>
      </c>
      <c r="AB39" s="312"/>
      <c r="AC39" s="298"/>
      <c r="AD39" s="123"/>
      <c r="AE39" s="123"/>
    </row>
    <row r="40" spans="2:31" ht="12.75" customHeight="1" x14ac:dyDescent="0.25">
      <c r="B40" s="42"/>
      <c r="D40" s="216" t="s">
        <v>28</v>
      </c>
      <c r="E40" s="217">
        <v>174480</v>
      </c>
      <c r="F40" s="217">
        <v>174998.68</v>
      </c>
      <c r="G40" s="218" t="s">
        <v>33</v>
      </c>
      <c r="H40" s="219">
        <f>F40-E40</f>
        <v>518.67999999999302</v>
      </c>
      <c r="I40" s="219"/>
      <c r="J40" s="219"/>
      <c r="K40" s="313"/>
      <c r="L40" s="219"/>
      <c r="M40" s="219"/>
      <c r="N40" s="314">
        <f>(H40*1.5)/9/2000</f>
        <v>4.3223333333332753E-2</v>
      </c>
      <c r="O40" s="219"/>
      <c r="P40" s="219">
        <f>R40*0.75*14*115*0.05/2000</f>
        <v>2.0458571875000233</v>
      </c>
      <c r="Q40" s="219">
        <f>R40</f>
        <v>67.771666666667443</v>
      </c>
      <c r="R40" s="219">
        <f>(H37*1.5/9)</f>
        <v>67.771666666667443</v>
      </c>
      <c r="S40" s="219"/>
      <c r="T40" s="219">
        <f>(H40*(6/12)*(4/12))/27</f>
        <v>3.2017283950616848</v>
      </c>
      <c r="U40" s="219"/>
      <c r="V40" s="219"/>
      <c r="W40" s="219">
        <f>(H40*(6/12)*(10/12))/27</f>
        <v>8.0043209876542143</v>
      </c>
      <c r="X40" s="219"/>
      <c r="Y40" s="315"/>
      <c r="Z40" s="315"/>
      <c r="AA40" s="315"/>
      <c r="AB40" s="315"/>
      <c r="AC40" s="290"/>
      <c r="AD40" s="290"/>
      <c r="AE40" s="123"/>
    </row>
    <row r="41" spans="2:31" ht="12.75" customHeight="1" x14ac:dyDescent="0.25">
      <c r="B41" s="42"/>
      <c r="D41" s="170" t="s">
        <v>29</v>
      </c>
      <c r="E41" s="171">
        <v>174998.68</v>
      </c>
      <c r="F41" s="171">
        <v>175582.29</v>
      </c>
      <c r="G41" s="227" t="s">
        <v>33</v>
      </c>
      <c r="H41" s="172">
        <f>F41-E41</f>
        <v>583.61000000001513</v>
      </c>
      <c r="I41" s="172">
        <v>2.5</v>
      </c>
      <c r="J41" s="172">
        <v>1457.7719999999999</v>
      </c>
      <c r="K41" s="316"/>
      <c r="L41" s="172"/>
      <c r="M41" s="172"/>
      <c r="N41" s="317">
        <f>J41/9/2000</f>
        <v>8.0987333333333328E-2</v>
      </c>
      <c r="O41" s="172"/>
      <c r="P41" s="172">
        <f>R41*0.75*14*115*0.05/2000</f>
        <v>4.8896102500000005</v>
      </c>
      <c r="Q41" s="172">
        <f>R41</f>
        <v>161.97466666666665</v>
      </c>
      <c r="R41" s="172">
        <f>J41/9</f>
        <v>161.97466666666665</v>
      </c>
      <c r="S41" s="172"/>
      <c r="T41" s="172"/>
      <c r="U41" s="172"/>
      <c r="V41" s="172"/>
      <c r="W41" s="172">
        <f>((J41*(6/12))/27)+((H41*(6/12)*(12/12))/27)</f>
        <v>37.803370370370644</v>
      </c>
      <c r="X41" s="318"/>
      <c r="Y41" s="318"/>
      <c r="Z41" s="318"/>
      <c r="AA41" s="318"/>
      <c r="AB41" s="318"/>
      <c r="AC41" s="318"/>
      <c r="AD41" s="318"/>
      <c r="AE41" s="318"/>
    </row>
    <row r="42" spans="2:31" ht="12.75" customHeight="1" x14ac:dyDescent="0.25">
      <c r="B42" s="42"/>
      <c r="D42" s="182"/>
      <c r="E42" s="165"/>
      <c r="F42" s="165"/>
      <c r="G42" s="166"/>
      <c r="H42" s="156"/>
      <c r="I42" s="156"/>
      <c r="J42" s="156"/>
      <c r="K42" s="100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67"/>
      <c r="X42" s="123"/>
      <c r="Y42" s="156"/>
      <c r="Z42" s="156"/>
      <c r="AA42" s="156"/>
      <c r="AB42" s="123"/>
      <c r="AC42" s="123"/>
      <c r="AD42" s="123"/>
      <c r="AE42" s="123"/>
    </row>
    <row r="43" spans="2:31" ht="12.75" customHeight="1" x14ac:dyDescent="0.25">
      <c r="B43" s="42"/>
      <c r="D43" s="212" t="s">
        <v>27</v>
      </c>
      <c r="E43" s="213">
        <v>174886.63</v>
      </c>
      <c r="F43" s="213">
        <v>175902.14</v>
      </c>
      <c r="G43" s="230" t="s">
        <v>32</v>
      </c>
      <c r="H43" s="214">
        <f>F43-E43</f>
        <v>1015.5100000000093</v>
      </c>
      <c r="I43" s="214">
        <f>J43/H43</f>
        <v>1.8768786127167458</v>
      </c>
      <c r="J43" s="214">
        <v>1905.989</v>
      </c>
      <c r="K43" s="311"/>
      <c r="L43" s="230"/>
      <c r="M43" s="230"/>
      <c r="N43" s="214">
        <f>J43/9/2000</f>
        <v>0.10588827777777778</v>
      </c>
      <c r="O43" s="214"/>
      <c r="P43" s="214">
        <f>R43*0.75*14*115*0.05/2000</f>
        <v>6.3930047708333335</v>
      </c>
      <c r="Q43" s="214">
        <f>R43</f>
        <v>211.77655555555555</v>
      </c>
      <c r="R43" s="214">
        <f>J43/9</f>
        <v>211.77655555555555</v>
      </c>
      <c r="S43" s="214"/>
      <c r="T43" s="149">
        <f>(J43*(6/12))/27</f>
        <v>35.296092592592593</v>
      </c>
      <c r="U43" s="214"/>
      <c r="V43" s="214"/>
      <c r="W43" s="149">
        <f>T43</f>
        <v>35.296092592592593</v>
      </c>
      <c r="X43" s="312"/>
      <c r="Y43" s="312">
        <f>(J43/9)*0.09*2</f>
        <v>38.119779999999999</v>
      </c>
      <c r="Z43" s="205">
        <f>(J43*(1.5/12))/27</f>
        <v>8.8240231481481484</v>
      </c>
      <c r="AA43" s="205">
        <f>(J43*(1.75/12))/27</f>
        <v>10.294693672839506</v>
      </c>
      <c r="AB43" s="312"/>
      <c r="AC43" s="123"/>
      <c r="AD43" s="123"/>
      <c r="AE43" s="123"/>
    </row>
    <row r="44" spans="2:31" ht="12.75" customHeight="1" x14ac:dyDescent="0.25">
      <c r="B44" s="42"/>
      <c r="D44" s="170" t="s">
        <v>94</v>
      </c>
      <c r="E44" s="171">
        <v>174886.63</v>
      </c>
      <c r="F44" s="171">
        <v>175902.14</v>
      </c>
      <c r="G44" s="227" t="s">
        <v>32</v>
      </c>
      <c r="H44" s="172">
        <f>F44-E44</f>
        <v>1015.5100000000093</v>
      </c>
      <c r="I44" s="172">
        <v>2.5</v>
      </c>
      <c r="J44" s="172">
        <v>2536.5070000000001</v>
      </c>
      <c r="K44" s="316"/>
      <c r="L44" s="172"/>
      <c r="M44" s="172"/>
      <c r="N44" s="317">
        <f>J44/9/2000</f>
        <v>0.14091705555555556</v>
      </c>
      <c r="O44" s="172"/>
      <c r="P44" s="172">
        <f>R44*0.75*14*115*0.05/2000</f>
        <v>8.507867229166667</v>
      </c>
      <c r="Q44" s="172">
        <f>R44</f>
        <v>281.8341111111111</v>
      </c>
      <c r="R44" s="172">
        <f>J44/9</f>
        <v>281.8341111111111</v>
      </c>
      <c r="S44" s="172"/>
      <c r="T44" s="172"/>
      <c r="U44" s="172"/>
      <c r="V44" s="172"/>
      <c r="W44" s="172">
        <f>((J44*(6/12))/27)+((H44*(6/12)*(12/12))/27)</f>
        <v>65.77809259259277</v>
      </c>
      <c r="X44" s="318"/>
      <c r="Y44" s="318"/>
      <c r="Z44" s="318"/>
      <c r="AA44" s="318"/>
      <c r="AB44" s="318"/>
      <c r="AC44" s="318"/>
      <c r="AD44" s="123"/>
      <c r="AE44" s="123"/>
    </row>
    <row r="45" spans="2:31" ht="12.75" customHeight="1" x14ac:dyDescent="0.25">
      <c r="B45" s="42"/>
      <c r="D45" s="153" t="s">
        <v>95</v>
      </c>
      <c r="E45" s="154">
        <v>174886.63</v>
      </c>
      <c r="F45" s="154">
        <v>175902.14</v>
      </c>
      <c r="G45" s="155" t="s">
        <v>32</v>
      </c>
      <c r="H45" s="156">
        <f>F45-E45</f>
        <v>1015.5100000000093</v>
      </c>
      <c r="I45" s="156">
        <v>10</v>
      </c>
      <c r="J45" s="156">
        <v>7256.8969999999999</v>
      </c>
      <c r="K45" s="100"/>
      <c r="L45" s="156"/>
      <c r="M45" s="156"/>
      <c r="N45" s="156"/>
      <c r="O45" s="156"/>
      <c r="P45" s="156"/>
      <c r="Q45" s="156"/>
      <c r="R45" s="156">
        <f>J45/9</f>
        <v>806.32188888888891</v>
      </c>
      <c r="S45" s="156"/>
      <c r="T45" s="156"/>
      <c r="U45" s="156"/>
      <c r="V45" s="156"/>
      <c r="W45" s="156">
        <f>(J45*(6/12))/27</f>
        <v>134.38698148148148</v>
      </c>
      <c r="X45" s="308"/>
      <c r="Y45" s="156"/>
      <c r="Z45" s="156"/>
      <c r="AA45" s="156"/>
      <c r="AB45" s="308">
        <f>(J45*(1.5/12))/27</f>
        <v>33.596745370370371</v>
      </c>
      <c r="AC45" s="308">
        <f>(J45*(2.5/12))/27</f>
        <v>55.994575617283949</v>
      </c>
      <c r="AD45" s="123"/>
      <c r="AE45" s="123"/>
    </row>
    <row r="46" spans="2:31" ht="12.75" customHeight="1" x14ac:dyDescent="0.25">
      <c r="B46" s="42"/>
      <c r="D46" s="158" t="s">
        <v>71</v>
      </c>
      <c r="E46" s="162">
        <v>174886.63</v>
      </c>
      <c r="F46" s="162">
        <v>175411.76</v>
      </c>
      <c r="G46" s="163" t="s">
        <v>32</v>
      </c>
      <c r="H46" s="159">
        <f>F46-E46</f>
        <v>525.13000000000466</v>
      </c>
      <c r="I46" s="159"/>
      <c r="J46" s="159"/>
      <c r="K46" s="309"/>
      <c r="L46" s="159"/>
      <c r="M46" s="159"/>
      <c r="N46" s="159"/>
      <c r="O46" s="159"/>
      <c r="P46" s="159"/>
      <c r="Q46" s="159"/>
      <c r="R46" s="159">
        <f>(H46*1.5/9)</f>
        <v>87.521666666667443</v>
      </c>
      <c r="S46" s="159"/>
      <c r="T46" s="159"/>
      <c r="U46" s="159"/>
      <c r="V46" s="159"/>
      <c r="W46" s="159">
        <f>((H46*(6/12)*(6/12))/27)</f>
        <v>4.8623148148148578</v>
      </c>
      <c r="X46" s="310"/>
      <c r="Y46" s="159"/>
      <c r="Z46" s="159"/>
      <c r="AA46" s="159"/>
      <c r="AB46" s="310"/>
      <c r="AC46" s="310"/>
      <c r="AD46" s="310"/>
      <c r="AE46" s="123"/>
    </row>
    <row r="47" spans="2:31" ht="12.75" customHeight="1" x14ac:dyDescent="0.25">
      <c r="B47" s="42"/>
      <c r="D47" s="176" t="s">
        <v>92</v>
      </c>
      <c r="E47" s="177">
        <v>175411.76</v>
      </c>
      <c r="F47" s="177">
        <v>175501.23</v>
      </c>
      <c r="G47" s="247" t="s">
        <v>32</v>
      </c>
      <c r="H47" s="178">
        <v>95</v>
      </c>
      <c r="I47" s="178"/>
      <c r="J47" s="178"/>
      <c r="K47" s="319"/>
      <c r="L47" s="178"/>
      <c r="M47" s="178"/>
      <c r="N47" s="178"/>
      <c r="O47" s="178"/>
      <c r="P47" s="178"/>
      <c r="Q47" s="178"/>
      <c r="R47" s="178">
        <f>(H47*(20/12)/9)</f>
        <v>17.592592592592595</v>
      </c>
      <c r="S47" s="178"/>
      <c r="T47" s="178"/>
      <c r="U47" s="178"/>
      <c r="V47" s="178"/>
      <c r="W47" s="178">
        <f>((H47*(6/12)*(20/12))/27)</f>
        <v>2.9320987654320989</v>
      </c>
      <c r="X47" s="320"/>
      <c r="Y47" s="178"/>
      <c r="Z47" s="178"/>
      <c r="AA47" s="178"/>
      <c r="AB47" s="320"/>
      <c r="AC47" s="320"/>
      <c r="AD47" s="320"/>
      <c r="AE47" s="320"/>
    </row>
    <row r="48" spans="2:31" ht="12.75" customHeight="1" x14ac:dyDescent="0.25">
      <c r="B48" s="42"/>
      <c r="D48" s="277" t="s">
        <v>93</v>
      </c>
      <c r="E48" s="321">
        <v>175411.76</v>
      </c>
      <c r="F48" s="321">
        <v>175501.23</v>
      </c>
      <c r="G48" s="322" t="s">
        <v>32</v>
      </c>
      <c r="H48" s="323">
        <v>95</v>
      </c>
      <c r="I48" s="323"/>
      <c r="J48" s="323"/>
      <c r="K48" s="111"/>
      <c r="L48" s="323"/>
      <c r="M48" s="323"/>
      <c r="N48" s="323"/>
      <c r="O48" s="323"/>
      <c r="P48" s="323"/>
      <c r="Q48" s="323"/>
      <c r="R48" s="323">
        <f>((45*1.5/9)*2)+(50*1.5/9)</f>
        <v>23.333333333333336</v>
      </c>
      <c r="S48" s="323"/>
      <c r="T48" s="323"/>
      <c r="U48" s="323"/>
      <c r="V48" s="323"/>
      <c r="W48" s="323">
        <f>(((45*(6/12)*(6/12))/27)*2)+((50*(6/12)*(6/12))/27)</f>
        <v>1.2962962962962963</v>
      </c>
      <c r="X48" s="324"/>
      <c r="Y48" s="323"/>
      <c r="Z48" s="323"/>
      <c r="AA48" s="323"/>
      <c r="AB48" s="324"/>
      <c r="AC48" s="123"/>
      <c r="AD48" s="123"/>
      <c r="AE48" s="123"/>
    </row>
    <row r="49" spans="2:31" ht="12.75" customHeight="1" x14ac:dyDescent="0.25">
      <c r="B49" s="42"/>
      <c r="D49" s="158" t="s">
        <v>71</v>
      </c>
      <c r="E49" s="162">
        <v>175501.23</v>
      </c>
      <c r="F49" s="162">
        <v>175676.77</v>
      </c>
      <c r="G49" s="163" t="s">
        <v>32</v>
      </c>
      <c r="H49" s="159">
        <f>F49-E49</f>
        <v>175.53999999997905</v>
      </c>
      <c r="I49" s="159"/>
      <c r="J49" s="159"/>
      <c r="K49" s="309"/>
      <c r="L49" s="159"/>
      <c r="M49" s="159"/>
      <c r="N49" s="159"/>
      <c r="O49" s="325"/>
      <c r="P49" s="325"/>
      <c r="Q49" s="325"/>
      <c r="R49" s="159">
        <f>(H49*1.5/9)</f>
        <v>29.256666666663175</v>
      </c>
      <c r="S49" s="159"/>
      <c r="T49" s="159"/>
      <c r="U49" s="159"/>
      <c r="V49" s="159"/>
      <c r="W49" s="159">
        <f>((H49*(6/12)*(6/12))/27)</f>
        <v>1.6253703703701763</v>
      </c>
      <c r="X49" s="310"/>
      <c r="Y49" s="159"/>
      <c r="Z49" s="159"/>
      <c r="AA49" s="159"/>
      <c r="AB49" s="310"/>
      <c r="AC49" s="123"/>
      <c r="AD49" s="123"/>
      <c r="AE49" s="123"/>
    </row>
    <row r="50" spans="2:31" ht="12.75" customHeight="1" x14ac:dyDescent="0.25">
      <c r="B50" s="42"/>
      <c r="D50" s="176" t="s">
        <v>92</v>
      </c>
      <c r="E50" s="177">
        <v>175676.77</v>
      </c>
      <c r="F50" s="177">
        <v>175801.23</v>
      </c>
      <c r="G50" s="247" t="s">
        <v>32</v>
      </c>
      <c r="H50" s="178">
        <v>130</v>
      </c>
      <c r="I50" s="178"/>
      <c r="J50" s="178"/>
      <c r="K50" s="319"/>
      <c r="L50" s="178"/>
      <c r="M50" s="178"/>
      <c r="N50" s="178"/>
      <c r="O50" s="326"/>
      <c r="P50" s="326"/>
      <c r="Q50" s="326"/>
      <c r="R50" s="178">
        <f>(H50*(20/12)/9)</f>
        <v>24.074074074074076</v>
      </c>
      <c r="S50" s="178"/>
      <c r="T50" s="178"/>
      <c r="U50" s="178"/>
      <c r="V50" s="178"/>
      <c r="W50" s="178">
        <f>((H50*(6/12)*(20/12))/27)</f>
        <v>4.0123456790123457</v>
      </c>
      <c r="X50" s="320"/>
      <c r="Y50" s="178"/>
      <c r="Z50" s="178"/>
      <c r="AA50" s="178"/>
      <c r="AB50" s="320"/>
      <c r="AC50" s="123"/>
      <c r="AD50" s="123"/>
      <c r="AE50" s="123"/>
    </row>
    <row r="51" spans="2:31" ht="12.75" customHeight="1" x14ac:dyDescent="0.25">
      <c r="B51" s="42"/>
      <c r="D51" s="277" t="s">
        <v>93</v>
      </c>
      <c r="E51" s="321">
        <v>175676.77</v>
      </c>
      <c r="F51" s="321">
        <v>175801.23</v>
      </c>
      <c r="G51" s="322" t="s">
        <v>32</v>
      </c>
      <c r="H51" s="323">
        <v>130</v>
      </c>
      <c r="I51" s="323"/>
      <c r="J51" s="323"/>
      <c r="K51" s="111"/>
      <c r="L51" s="323"/>
      <c r="M51" s="323"/>
      <c r="N51" s="323"/>
      <c r="O51" s="327"/>
      <c r="P51" s="327"/>
      <c r="Q51" s="327"/>
      <c r="R51" s="323">
        <f>((45*1.5/9)*2)+(85*1.5/9)</f>
        <v>29.166666666666664</v>
      </c>
      <c r="S51" s="323"/>
      <c r="T51" s="323"/>
      <c r="U51" s="323"/>
      <c r="V51" s="323"/>
      <c r="W51" s="323">
        <f>(((45*(6/12)*(6/12))/27)*2)+((85*(6/12)*(6/12))/27)</f>
        <v>1.6203703703703705</v>
      </c>
      <c r="X51" s="324"/>
      <c r="Y51" s="323"/>
      <c r="Z51" s="323"/>
      <c r="AA51" s="323"/>
      <c r="AB51" s="324"/>
      <c r="AC51" s="123"/>
      <c r="AD51" s="123"/>
      <c r="AE51" s="123"/>
    </row>
    <row r="52" spans="2:31" ht="12.75" customHeight="1" x14ac:dyDescent="0.25">
      <c r="B52" s="42"/>
      <c r="D52" s="158" t="s">
        <v>71</v>
      </c>
      <c r="E52" s="162">
        <v>175801.23</v>
      </c>
      <c r="F52" s="162">
        <v>175902.14</v>
      </c>
      <c r="G52" s="163" t="s">
        <v>32</v>
      </c>
      <c r="H52" s="159">
        <f>F52-E52</f>
        <v>100.91000000000349</v>
      </c>
      <c r="I52" s="159"/>
      <c r="J52" s="159"/>
      <c r="K52" s="309"/>
      <c r="L52" s="159"/>
      <c r="M52" s="159"/>
      <c r="N52" s="159"/>
      <c r="O52" s="325"/>
      <c r="P52" s="325"/>
      <c r="Q52" s="325"/>
      <c r="R52" s="159">
        <f>(H52*1.5/9)</f>
        <v>16.818333333333914</v>
      </c>
      <c r="S52" s="159"/>
      <c r="T52" s="159"/>
      <c r="U52" s="159"/>
      <c r="V52" s="159"/>
      <c r="W52" s="159">
        <f>((H52*(6/12)*(6/12))/27)</f>
        <v>0.93435185185188419</v>
      </c>
      <c r="X52" s="310"/>
      <c r="Y52" s="159"/>
      <c r="Z52" s="159"/>
      <c r="AA52" s="159"/>
      <c r="AB52" s="123"/>
      <c r="AC52" s="123"/>
      <c r="AD52" s="123"/>
      <c r="AE52" s="123"/>
    </row>
    <row r="53" spans="2:31" ht="12.75" customHeight="1" x14ac:dyDescent="0.25">
      <c r="B53" s="42"/>
      <c r="D53" s="182"/>
      <c r="E53" s="165"/>
      <c r="F53" s="165"/>
      <c r="G53" s="166"/>
      <c r="H53" s="156"/>
      <c r="I53" s="156"/>
      <c r="J53" s="156"/>
      <c r="K53" s="100"/>
      <c r="L53" s="156"/>
      <c r="M53" s="156"/>
      <c r="N53" s="156"/>
      <c r="O53" s="307"/>
      <c r="P53" s="307"/>
      <c r="Q53" s="307"/>
      <c r="R53" s="156"/>
      <c r="S53" s="156"/>
      <c r="T53" s="156"/>
      <c r="U53" s="156"/>
      <c r="V53" s="156"/>
      <c r="W53" s="167"/>
      <c r="X53" s="123"/>
      <c r="Y53" s="156"/>
      <c r="Z53" s="156"/>
      <c r="AA53" s="156"/>
      <c r="AB53" s="123"/>
      <c r="AC53" s="123"/>
      <c r="AD53" s="123"/>
      <c r="AE53" s="123"/>
    </row>
    <row r="54" spans="2:31" ht="12.75" customHeight="1" x14ac:dyDescent="0.25">
      <c r="B54" s="42"/>
      <c r="D54" s="212" t="s">
        <v>27</v>
      </c>
      <c r="E54" s="213">
        <v>175582.29</v>
      </c>
      <c r="F54" s="213">
        <v>179552.08</v>
      </c>
      <c r="G54" s="230" t="s">
        <v>33</v>
      </c>
      <c r="H54" s="214">
        <f>F54-E54</f>
        <v>3969.789999999979</v>
      </c>
      <c r="I54" s="214">
        <f>J54/H54</f>
        <v>16.240506928578171</v>
      </c>
      <c r="J54" s="214">
        <v>64471.402000000002</v>
      </c>
      <c r="K54" s="311"/>
      <c r="L54" s="230"/>
      <c r="M54" s="230"/>
      <c r="N54" s="214">
        <f>J54/9/2000</f>
        <v>3.5817445555555554</v>
      </c>
      <c r="O54" s="214"/>
      <c r="P54" s="214">
        <f>R54*0.75*14*115*0.05/2000</f>
        <v>216.24782754166668</v>
      </c>
      <c r="Q54" s="214">
        <f>R54</f>
        <v>7163.489111111111</v>
      </c>
      <c r="R54" s="214">
        <f>J54/9</f>
        <v>7163.489111111111</v>
      </c>
      <c r="S54" s="214"/>
      <c r="T54" s="149">
        <f>(J54*(6/12))/27</f>
        <v>1193.9148518518518</v>
      </c>
      <c r="U54" s="214"/>
      <c r="V54" s="214"/>
      <c r="W54" s="149">
        <f>T54</f>
        <v>1193.9148518518518</v>
      </c>
      <c r="X54" s="312"/>
      <c r="Y54" s="312">
        <f>(J54/9)*0.09*2</f>
        <v>1289.42804</v>
      </c>
      <c r="Z54" s="205">
        <f>(J54*(1.5/12))/27</f>
        <v>298.47871296296296</v>
      </c>
      <c r="AA54" s="205">
        <f>(J54*(1.75/12))/27</f>
        <v>348.2251651234568</v>
      </c>
      <c r="AB54" s="312"/>
      <c r="AC54" s="298"/>
      <c r="AD54" s="123"/>
      <c r="AE54" s="123"/>
    </row>
    <row r="55" spans="2:31" ht="12.75" customHeight="1" x14ac:dyDescent="0.25">
      <c r="B55" s="42"/>
      <c r="D55" s="216" t="s">
        <v>28</v>
      </c>
      <c r="E55" s="217">
        <v>175582.29</v>
      </c>
      <c r="F55" s="217">
        <v>179552.08</v>
      </c>
      <c r="G55" s="218" t="s">
        <v>33</v>
      </c>
      <c r="H55" s="219">
        <f>F55-E55</f>
        <v>3969.789999999979</v>
      </c>
      <c r="I55" s="219"/>
      <c r="J55" s="219"/>
      <c r="K55" s="313"/>
      <c r="L55" s="219"/>
      <c r="M55" s="219"/>
      <c r="N55" s="314">
        <f>(H55*1.5)/9/2000</f>
        <v>0.33081583333333159</v>
      </c>
      <c r="O55" s="219"/>
      <c r="P55" s="219">
        <f>R55*0.75*14*115*0.05/2000</f>
        <v>0.50770343750001756</v>
      </c>
      <c r="Q55" s="219">
        <f>R55</f>
        <v>16.818333333333914</v>
      </c>
      <c r="R55" s="219">
        <f>(H52*1.5/9)</f>
        <v>16.818333333333914</v>
      </c>
      <c r="S55" s="219"/>
      <c r="T55" s="219">
        <f>(H55*(6/12)*(4/12))/27</f>
        <v>24.504876543209747</v>
      </c>
      <c r="U55" s="219"/>
      <c r="V55" s="219"/>
      <c r="W55" s="219">
        <f>(H55*(6/12)*(10/12))/27</f>
        <v>61.262191358024374</v>
      </c>
      <c r="X55" s="219"/>
      <c r="Y55" s="315"/>
      <c r="Z55" s="315"/>
      <c r="AA55" s="315"/>
      <c r="AB55" s="315"/>
      <c r="AC55" s="302"/>
      <c r="AD55" s="123"/>
      <c r="AE55" s="123"/>
    </row>
    <row r="56" spans="2:31" ht="12.75" customHeight="1" x14ac:dyDescent="0.25">
      <c r="B56" s="42"/>
      <c r="D56" s="183"/>
      <c r="E56" s="184"/>
      <c r="F56" s="184"/>
      <c r="G56" s="185"/>
      <c r="H56" s="186"/>
      <c r="I56" s="186"/>
      <c r="J56" s="186"/>
      <c r="K56" s="86"/>
      <c r="L56" s="186"/>
      <c r="M56" s="186"/>
      <c r="N56" s="186"/>
      <c r="O56" s="304"/>
      <c r="P56" s="304"/>
      <c r="Q56" s="304"/>
      <c r="R56" s="186"/>
      <c r="S56" s="186"/>
      <c r="T56" s="186"/>
      <c r="U56" s="186"/>
      <c r="V56" s="186"/>
      <c r="W56" s="295"/>
      <c r="X56" s="123"/>
      <c r="Y56" s="186"/>
      <c r="Z56" s="186"/>
      <c r="AA56" s="186"/>
      <c r="AB56" s="123"/>
      <c r="AC56" s="123"/>
      <c r="AD56" s="123"/>
      <c r="AE56" s="123"/>
    </row>
    <row r="57" spans="2:31" ht="12.75" customHeight="1" x14ac:dyDescent="0.25">
      <c r="B57" s="42"/>
      <c r="D57" s="164" t="s">
        <v>27</v>
      </c>
      <c r="E57" s="165">
        <v>175901.23</v>
      </c>
      <c r="F57" s="165">
        <v>177292.04</v>
      </c>
      <c r="G57" s="166" t="s">
        <v>32</v>
      </c>
      <c r="H57" s="167">
        <f>F57-E57</f>
        <v>1390.8099999999977</v>
      </c>
      <c r="I57" s="167">
        <f>J57/H57</f>
        <v>3.3804387371387952</v>
      </c>
      <c r="J57" s="167">
        <v>4701.5479999999998</v>
      </c>
      <c r="K57" s="92">
        <f>J57/9</f>
        <v>522.3942222222222</v>
      </c>
      <c r="L57" s="168">
        <f>(J57*(14/12))/27</f>
        <v>203.15330864197531</v>
      </c>
      <c r="M57" s="168">
        <f>L57</f>
        <v>203.15330864197531</v>
      </c>
      <c r="N57" s="297">
        <f>J57/9/2000</f>
        <v>0.2611971111111111</v>
      </c>
      <c r="O57" s="168">
        <f>K57</f>
        <v>522.3942222222222</v>
      </c>
      <c r="P57" s="166"/>
      <c r="Q57" s="166"/>
      <c r="R57" s="166"/>
      <c r="S57" s="166"/>
      <c r="T57" s="168">
        <f>(J57*(6/12))/27</f>
        <v>87.065703703703704</v>
      </c>
      <c r="U57" s="166"/>
      <c r="V57" s="166"/>
      <c r="W57" s="168">
        <f>T57</f>
        <v>87.065703703703704</v>
      </c>
      <c r="X57" s="298"/>
      <c r="Y57" s="298">
        <f>(J57/9)*0.09*2</f>
        <v>94.030959999999993</v>
      </c>
      <c r="Z57" s="151">
        <f>(J57*(1.5/12))/27</f>
        <v>21.766425925925926</v>
      </c>
      <c r="AA57" s="151">
        <f>(J57*(1.75/12))/27</f>
        <v>25.394163580246914</v>
      </c>
      <c r="AB57" s="298"/>
      <c r="AC57" s="298"/>
      <c r="AD57" s="123"/>
      <c r="AE57" s="123"/>
    </row>
    <row r="58" spans="2:31" ht="12.75" customHeight="1" x14ac:dyDescent="0.25">
      <c r="B58" s="42"/>
      <c r="D58" s="183" t="s">
        <v>29</v>
      </c>
      <c r="E58" s="184">
        <v>175902.14</v>
      </c>
      <c r="F58" s="184">
        <v>176103.21</v>
      </c>
      <c r="G58" s="185" t="s">
        <v>32</v>
      </c>
      <c r="H58" s="186">
        <f>F58-E58</f>
        <v>201.06999999997788</v>
      </c>
      <c r="I58" s="186">
        <v>2.5</v>
      </c>
      <c r="J58" s="186">
        <v>496.18400000000003</v>
      </c>
      <c r="K58" s="303">
        <f>J58/9</f>
        <v>55.131555555555558</v>
      </c>
      <c r="L58" s="186">
        <f>((J58*(14/12))/27)+((H58*(14/12)*(12/12))/27)</f>
        <v>30.128259259258307</v>
      </c>
      <c r="M58" s="186">
        <f>L58</f>
        <v>30.128259259258307</v>
      </c>
      <c r="N58" s="304">
        <f>J58/9/2000</f>
        <v>2.7565777777777779E-2</v>
      </c>
      <c r="O58" s="187">
        <f>(K58)+(H58*1/9)</f>
        <v>77.47266666666421</v>
      </c>
      <c r="P58" s="304"/>
      <c r="Q58" s="304"/>
      <c r="R58" s="186"/>
      <c r="S58" s="186"/>
      <c r="T58" s="186"/>
      <c r="U58" s="186"/>
      <c r="V58" s="186"/>
      <c r="W58" s="186">
        <f>((J58*(6/12))/27)+((H58*(6/12)*(12/12))/27)</f>
        <v>12.912111111110702</v>
      </c>
      <c r="X58" s="305"/>
      <c r="Y58" s="305"/>
      <c r="Z58" s="305"/>
      <c r="AA58" s="305"/>
      <c r="AB58" s="298"/>
      <c r="AC58" s="298"/>
      <c r="AD58" s="123"/>
      <c r="AE58" s="123"/>
    </row>
    <row r="59" spans="2:31" ht="12.75" customHeight="1" x14ac:dyDescent="0.25">
      <c r="B59" s="42"/>
      <c r="D59" s="206" t="s">
        <v>28</v>
      </c>
      <c r="E59" s="207">
        <v>176103.21</v>
      </c>
      <c r="F59" s="207">
        <v>177292.04</v>
      </c>
      <c r="G59" s="208" t="s">
        <v>32</v>
      </c>
      <c r="H59" s="209">
        <f>F59-E59</f>
        <v>1188.8300000000163</v>
      </c>
      <c r="I59" s="209"/>
      <c r="J59" s="209"/>
      <c r="K59" s="104"/>
      <c r="L59" s="209">
        <f>(H59*(14/12)*(18/12))/27</f>
        <v>77.053796296297349</v>
      </c>
      <c r="M59" s="209">
        <f>L59</f>
        <v>77.053796296297349</v>
      </c>
      <c r="N59" s="299">
        <f>(H59*1.5)/9/2000</f>
        <v>9.9069166666668027E-2</v>
      </c>
      <c r="O59" s="210">
        <f>H59*1.5/9</f>
        <v>198.13833333333605</v>
      </c>
      <c r="P59" s="299"/>
      <c r="Q59" s="299"/>
      <c r="R59" s="209"/>
      <c r="S59" s="209"/>
      <c r="T59" s="209">
        <f>(H59*(6/12)*(4/12))/27</f>
        <v>7.3384567901235576</v>
      </c>
      <c r="U59" s="209"/>
      <c r="V59" s="209"/>
      <c r="W59" s="209">
        <f>(H59*(6/12)*(10/12))/27</f>
        <v>18.346141975308893</v>
      </c>
      <c r="X59" s="209"/>
      <c r="Y59" s="300"/>
      <c r="Z59" s="300"/>
      <c r="AA59" s="300"/>
      <c r="AB59" s="301"/>
      <c r="AC59" s="300"/>
      <c r="AD59" s="300"/>
      <c r="AE59" s="300"/>
    </row>
    <row r="60" spans="2:31" ht="12.75" customHeight="1" x14ac:dyDescent="0.25">
      <c r="B60" s="42"/>
      <c r="D60" s="164"/>
      <c r="E60" s="165"/>
      <c r="F60" s="165"/>
      <c r="G60" s="166"/>
      <c r="H60" s="167"/>
      <c r="I60" s="167"/>
      <c r="J60" s="167"/>
      <c r="K60" s="97"/>
      <c r="L60" s="167"/>
      <c r="M60" s="167"/>
      <c r="N60" s="167"/>
      <c r="O60" s="297"/>
      <c r="P60" s="297"/>
      <c r="Q60" s="297"/>
      <c r="R60" s="167"/>
      <c r="S60" s="167"/>
      <c r="T60" s="167"/>
      <c r="U60" s="167"/>
      <c r="V60" s="167"/>
      <c r="W60" s="167"/>
      <c r="X60" s="167"/>
      <c r="Y60" s="167"/>
      <c r="Z60" s="167"/>
      <c r="AA60" s="156"/>
      <c r="AB60" s="123"/>
      <c r="AC60" s="123"/>
      <c r="AD60" s="123"/>
      <c r="AE60" s="123"/>
    </row>
    <row r="61" spans="2:31" ht="12.75" customHeight="1" x14ac:dyDescent="0.25">
      <c r="B61" s="42"/>
      <c r="D61" s="153" t="s">
        <v>96</v>
      </c>
      <c r="E61" s="154">
        <v>175901.23</v>
      </c>
      <c r="F61" s="154">
        <v>177292.04</v>
      </c>
      <c r="G61" s="155" t="s">
        <v>32</v>
      </c>
      <c r="H61" s="156">
        <f>F61-E61</f>
        <v>1390.8099999999977</v>
      </c>
      <c r="I61" s="156">
        <v>10</v>
      </c>
      <c r="J61" s="156">
        <v>13671.370999999999</v>
      </c>
      <c r="K61" s="100"/>
      <c r="L61" s="156"/>
      <c r="M61" s="156"/>
      <c r="N61" s="156"/>
      <c r="O61" s="307"/>
      <c r="P61" s="307"/>
      <c r="Q61" s="307"/>
      <c r="R61" s="156">
        <f>J61/9</f>
        <v>1519.0412222222221</v>
      </c>
      <c r="S61" s="156"/>
      <c r="T61" s="156"/>
      <c r="U61" s="156"/>
      <c r="V61" s="156"/>
      <c r="W61" s="156">
        <f>(J61*(6/12))/27</f>
        <v>253.17353703703702</v>
      </c>
      <c r="X61" s="308"/>
      <c r="Y61" s="156"/>
      <c r="Z61" s="156"/>
      <c r="AA61" s="156"/>
      <c r="AB61" s="308">
        <f>(J61*(1.5/12))/27</f>
        <v>63.293384259259255</v>
      </c>
      <c r="AC61" s="308">
        <f>(J61*(2.5/12))/27</f>
        <v>105.48897376543209</v>
      </c>
      <c r="AD61" s="123"/>
      <c r="AE61" s="123"/>
    </row>
    <row r="62" spans="2:31" ht="12.75" customHeight="1" x14ac:dyDescent="0.25">
      <c r="B62" s="42"/>
      <c r="D62" s="158" t="s">
        <v>71</v>
      </c>
      <c r="E62" s="162">
        <v>175901.23</v>
      </c>
      <c r="F62" s="162">
        <v>177292.04</v>
      </c>
      <c r="G62" s="163" t="s">
        <v>32</v>
      </c>
      <c r="H62" s="159">
        <f>F62-E62</f>
        <v>1390.8099999999977</v>
      </c>
      <c r="I62" s="159"/>
      <c r="J62" s="159"/>
      <c r="K62" s="309"/>
      <c r="L62" s="159"/>
      <c r="M62" s="159"/>
      <c r="N62" s="159"/>
      <c r="O62" s="159"/>
      <c r="P62" s="159"/>
      <c r="Q62" s="159"/>
      <c r="R62" s="159">
        <f>(H62*1.5/9)*2</f>
        <v>463.60333333333256</v>
      </c>
      <c r="S62" s="159"/>
      <c r="T62" s="159"/>
      <c r="U62" s="159"/>
      <c r="V62" s="159"/>
      <c r="W62" s="159">
        <f>((H62*(6/12)*(6/12))/27)*2</f>
        <v>25.755740740740698</v>
      </c>
      <c r="X62" s="310"/>
      <c r="Y62" s="159"/>
      <c r="Z62" s="159"/>
      <c r="AA62" s="159"/>
      <c r="AB62" s="310"/>
      <c r="AC62" s="310"/>
      <c r="AD62" s="310"/>
      <c r="AE62" s="123"/>
    </row>
    <row r="63" spans="2:31" ht="12.75" customHeight="1" x14ac:dyDescent="0.25">
      <c r="B63" s="42"/>
      <c r="D63" s="153"/>
      <c r="E63" s="154"/>
      <c r="F63" s="154"/>
      <c r="G63" s="155"/>
      <c r="H63" s="156"/>
      <c r="I63" s="156"/>
      <c r="J63" s="156"/>
      <c r="K63" s="100"/>
      <c r="L63" s="156"/>
      <c r="M63" s="156"/>
      <c r="N63" s="156"/>
      <c r="O63" s="307"/>
      <c r="P63" s="307"/>
      <c r="Q63" s="307"/>
      <c r="R63" s="156"/>
      <c r="S63" s="156"/>
      <c r="T63" s="156"/>
      <c r="U63" s="156"/>
      <c r="V63" s="156"/>
      <c r="W63" s="167"/>
      <c r="X63" s="123"/>
      <c r="Y63" s="156"/>
      <c r="Z63" s="156"/>
      <c r="AA63" s="156"/>
      <c r="AB63" s="123"/>
      <c r="AC63" s="123"/>
      <c r="AD63" s="123"/>
      <c r="AE63" s="123"/>
    </row>
    <row r="64" spans="2:31" ht="12.75" customHeight="1" x14ac:dyDescent="0.25">
      <c r="B64" s="42"/>
      <c r="D64" s="191" t="s">
        <v>99</v>
      </c>
      <c r="E64" s="192">
        <v>177190</v>
      </c>
      <c r="F64" s="192">
        <v>177410</v>
      </c>
      <c r="G64" s="193" t="s">
        <v>34</v>
      </c>
      <c r="H64" s="194">
        <f>F64-E64</f>
        <v>220</v>
      </c>
      <c r="I64" s="194">
        <f>J64/H64</f>
        <v>18.088822727272728</v>
      </c>
      <c r="J64" s="194">
        <v>3979.5410000000002</v>
      </c>
      <c r="K64" s="288"/>
      <c r="L64" s="194"/>
      <c r="M64" s="194"/>
      <c r="N64" s="194"/>
      <c r="O64" s="289"/>
      <c r="P64" s="289"/>
      <c r="Q64" s="289"/>
      <c r="R64" s="194"/>
      <c r="S64" s="194">
        <f>J64/9</f>
        <v>442.17122222222224</v>
      </c>
      <c r="T64" s="194"/>
      <c r="U64" s="194"/>
      <c r="V64" s="194">
        <f>(J64*(6/12))/27</f>
        <v>73.695203703703712</v>
      </c>
      <c r="W64" s="194"/>
      <c r="X64" s="194"/>
      <c r="Y64" s="290"/>
      <c r="Z64" s="290">
        <f>(J64*(1.5/12))/27</f>
        <v>18.423800925925928</v>
      </c>
      <c r="AA64" s="290">
        <f>(J64*(1.75/12))/27</f>
        <v>21.494434413580251</v>
      </c>
      <c r="AB64" s="290"/>
      <c r="AC64" s="123"/>
      <c r="AD64" s="123"/>
      <c r="AE64" s="123"/>
    </row>
    <row r="65" spans="2:31" ht="12.75" customHeight="1" x14ac:dyDescent="0.25">
      <c r="B65" s="42"/>
      <c r="D65" s="153"/>
      <c r="E65" s="154"/>
      <c r="F65" s="154"/>
      <c r="G65" s="155"/>
      <c r="H65" s="156"/>
      <c r="I65" s="156"/>
      <c r="J65" s="156"/>
      <c r="K65" s="100"/>
      <c r="L65" s="156"/>
      <c r="M65" s="156"/>
      <c r="N65" s="156"/>
      <c r="O65" s="307"/>
      <c r="P65" s="307"/>
      <c r="Q65" s="307"/>
      <c r="R65" s="156"/>
      <c r="S65" s="156"/>
      <c r="T65" s="156"/>
      <c r="U65" s="156"/>
      <c r="V65" s="156"/>
      <c r="W65" s="167"/>
      <c r="X65" s="123"/>
      <c r="Y65" s="156"/>
      <c r="Z65" s="156"/>
      <c r="AA65" s="156"/>
      <c r="AB65" s="123"/>
      <c r="AC65" s="123"/>
      <c r="AD65" s="123"/>
      <c r="AE65" s="123"/>
    </row>
    <row r="66" spans="2:31" ht="12.75" customHeight="1" x14ac:dyDescent="0.25">
      <c r="B66" s="42"/>
      <c r="D66" s="212" t="s">
        <v>27</v>
      </c>
      <c r="E66" s="213">
        <v>177292.04</v>
      </c>
      <c r="F66" s="213">
        <v>178069.5</v>
      </c>
      <c r="G66" s="230" t="s">
        <v>32</v>
      </c>
      <c r="H66" s="214">
        <f>F66-E66</f>
        <v>777.45999999999185</v>
      </c>
      <c r="I66" s="214">
        <f>J66/H66</f>
        <v>4.9892856224114945</v>
      </c>
      <c r="J66" s="214">
        <v>3878.97</v>
      </c>
      <c r="K66" s="311"/>
      <c r="L66" s="230"/>
      <c r="M66" s="230"/>
      <c r="N66" s="214">
        <f>J66/9/2000</f>
        <v>0.21549833333333335</v>
      </c>
      <c r="O66" s="214"/>
      <c r="P66" s="214">
        <f>R66*0.75*14*115*0.05/2000</f>
        <v>13.010711875</v>
      </c>
      <c r="Q66" s="214">
        <f>R66</f>
        <v>430.99666666666667</v>
      </c>
      <c r="R66" s="214">
        <f>J66/9</f>
        <v>430.99666666666667</v>
      </c>
      <c r="S66" s="214"/>
      <c r="T66" s="149">
        <f>(J66*(6/12))/27</f>
        <v>71.832777777777778</v>
      </c>
      <c r="U66" s="214"/>
      <c r="V66" s="214"/>
      <c r="W66" s="149">
        <f>T66</f>
        <v>71.832777777777778</v>
      </c>
      <c r="X66" s="312"/>
      <c r="Y66" s="312">
        <f>(J66/9)*0.09*2</f>
        <v>77.579399999999993</v>
      </c>
      <c r="Z66" s="205">
        <f>(J66*(1.5/12))/27</f>
        <v>17.958194444444445</v>
      </c>
      <c r="AA66" s="205">
        <f>(J66*(1.75/12))/27</f>
        <v>20.951226851851853</v>
      </c>
      <c r="AB66" s="312"/>
      <c r="AC66" s="123"/>
      <c r="AD66" s="123"/>
      <c r="AE66" s="123"/>
    </row>
    <row r="67" spans="2:31" ht="12.75" customHeight="1" x14ac:dyDescent="0.25">
      <c r="B67" s="42"/>
      <c r="D67" s="153" t="s">
        <v>95</v>
      </c>
      <c r="E67" s="154">
        <v>177292.04</v>
      </c>
      <c r="F67" s="154">
        <v>178069.5</v>
      </c>
      <c r="G67" s="155" t="s">
        <v>32</v>
      </c>
      <c r="H67" s="156">
        <f>F67-E67</f>
        <v>777.45999999999185</v>
      </c>
      <c r="I67" s="156">
        <v>10</v>
      </c>
      <c r="J67" s="156">
        <v>6941.5349999999999</v>
      </c>
      <c r="K67" s="100"/>
      <c r="L67" s="156"/>
      <c r="M67" s="156"/>
      <c r="N67" s="156"/>
      <c r="O67" s="307"/>
      <c r="P67" s="307"/>
      <c r="Q67" s="307"/>
      <c r="R67" s="156">
        <f>J67/9</f>
        <v>771.28166666666664</v>
      </c>
      <c r="S67" s="156"/>
      <c r="T67" s="156"/>
      <c r="U67" s="156"/>
      <c r="V67" s="156"/>
      <c r="W67" s="156">
        <f>(J67*(6/12))/27</f>
        <v>128.54694444444445</v>
      </c>
      <c r="X67" s="308"/>
      <c r="Y67" s="156"/>
      <c r="Z67" s="156"/>
      <c r="AA67" s="156"/>
      <c r="AB67" s="308">
        <f>(J67*(1.5/12))/27</f>
        <v>32.136736111111112</v>
      </c>
      <c r="AC67" s="308">
        <f>(J67*(2.5/12))/27</f>
        <v>53.561226851851856</v>
      </c>
      <c r="AD67" s="123"/>
      <c r="AE67" s="123"/>
    </row>
    <row r="68" spans="2:31" ht="12.75" customHeight="1" x14ac:dyDescent="0.25">
      <c r="B68" s="42"/>
      <c r="D68" s="158" t="s">
        <v>71</v>
      </c>
      <c r="E68" s="162">
        <v>177292.04</v>
      </c>
      <c r="F68" s="162">
        <v>178069.5</v>
      </c>
      <c r="G68" s="163" t="s">
        <v>32</v>
      </c>
      <c r="H68" s="159">
        <f>F68-E68</f>
        <v>777.45999999999185</v>
      </c>
      <c r="I68" s="159"/>
      <c r="J68" s="159"/>
      <c r="K68" s="309"/>
      <c r="L68" s="159"/>
      <c r="M68" s="159"/>
      <c r="N68" s="159"/>
      <c r="O68" s="159"/>
      <c r="P68" s="159"/>
      <c r="Q68" s="159"/>
      <c r="R68" s="159">
        <f>(H68*1.5/9)*2</f>
        <v>259.15333333333064</v>
      </c>
      <c r="S68" s="159"/>
      <c r="T68" s="159"/>
      <c r="U68" s="159"/>
      <c r="V68" s="159"/>
      <c r="W68" s="159">
        <f>((H68*(6/12)*(6/12))/27)*2</f>
        <v>14.397407407407256</v>
      </c>
      <c r="X68" s="310"/>
      <c r="Y68" s="159"/>
      <c r="Z68" s="159"/>
      <c r="AA68" s="159"/>
      <c r="AB68" s="310"/>
      <c r="AC68" s="310"/>
      <c r="AD68" s="123"/>
      <c r="AE68" s="123"/>
    </row>
    <row r="69" spans="2:31" ht="12.75" customHeight="1" x14ac:dyDescent="0.25">
      <c r="B69" s="42"/>
      <c r="D69" s="153"/>
      <c r="E69" s="154"/>
      <c r="F69" s="154"/>
      <c r="G69" s="155"/>
      <c r="H69" s="156"/>
      <c r="I69" s="156"/>
      <c r="J69" s="156"/>
      <c r="K69" s="100"/>
      <c r="L69" s="156"/>
      <c r="M69" s="156"/>
      <c r="N69" s="156"/>
      <c r="O69" s="307"/>
      <c r="P69" s="307"/>
      <c r="Q69" s="307"/>
      <c r="R69" s="156"/>
      <c r="S69" s="156"/>
      <c r="T69" s="156"/>
      <c r="U69" s="156"/>
      <c r="V69" s="156"/>
      <c r="W69" s="167"/>
      <c r="X69" s="123"/>
      <c r="Y69" s="156"/>
      <c r="Z69" s="156"/>
      <c r="AA69" s="156"/>
      <c r="AB69" s="123"/>
      <c r="AC69" s="123"/>
      <c r="AD69" s="123"/>
      <c r="AE69" s="123"/>
    </row>
    <row r="70" spans="2:31" ht="12.75" customHeight="1" x14ac:dyDescent="0.25">
      <c r="B70" s="42"/>
      <c r="D70" s="191" t="s">
        <v>98</v>
      </c>
      <c r="E70" s="192">
        <v>177410</v>
      </c>
      <c r="F70" s="192">
        <v>177800</v>
      </c>
      <c r="G70" s="193" t="s">
        <v>34</v>
      </c>
      <c r="H70" s="194">
        <f>F70-E70</f>
        <v>390</v>
      </c>
      <c r="I70" s="194">
        <f>J70/H70</f>
        <v>17</v>
      </c>
      <c r="J70" s="194">
        <v>6630</v>
      </c>
      <c r="K70" s="288"/>
      <c r="L70" s="194"/>
      <c r="M70" s="194"/>
      <c r="N70" s="194"/>
      <c r="O70" s="289"/>
      <c r="P70" s="289"/>
      <c r="Q70" s="289"/>
      <c r="R70" s="194"/>
      <c r="S70" s="194">
        <f>J70/9</f>
        <v>736.66666666666663</v>
      </c>
      <c r="T70" s="194"/>
      <c r="U70" s="194"/>
      <c r="V70" s="194">
        <f>(J70*(4/12))/27</f>
        <v>81.851851851851848</v>
      </c>
      <c r="W70" s="194"/>
      <c r="X70" s="194"/>
      <c r="Y70" s="290"/>
      <c r="Z70" s="290">
        <f>(J70*(1.5/12))/27</f>
        <v>30.694444444444443</v>
      </c>
      <c r="AA70" s="290">
        <f>(J70*(1.75/12))/27</f>
        <v>35.81018518518519</v>
      </c>
      <c r="AB70" s="290"/>
      <c r="AC70" s="290"/>
      <c r="AD70" s="290"/>
      <c r="AE70" s="123"/>
    </row>
    <row r="71" spans="2:31" ht="12.75" customHeight="1" x14ac:dyDescent="0.25">
      <c r="B71" s="42"/>
      <c r="D71" s="191"/>
      <c r="E71" s="192"/>
      <c r="F71" s="192"/>
      <c r="G71" s="193"/>
      <c r="H71" s="194"/>
      <c r="I71" s="194"/>
      <c r="J71" s="194"/>
      <c r="K71" s="288"/>
      <c r="L71" s="194"/>
      <c r="M71" s="194"/>
      <c r="N71" s="194"/>
      <c r="O71" s="289"/>
      <c r="P71" s="289"/>
      <c r="Q71" s="289"/>
      <c r="R71" s="194"/>
      <c r="S71" s="194"/>
      <c r="T71" s="194"/>
      <c r="U71" s="194"/>
      <c r="V71" s="194"/>
      <c r="W71" s="194"/>
      <c r="X71" s="290"/>
      <c r="Y71" s="194"/>
      <c r="Z71" s="194"/>
      <c r="AA71" s="194"/>
      <c r="AB71" s="290"/>
      <c r="AC71" s="290"/>
      <c r="AD71" s="290"/>
      <c r="AE71" s="123"/>
    </row>
    <row r="72" spans="2:31" ht="12.75" customHeight="1" x14ac:dyDescent="0.25">
      <c r="B72" s="42"/>
      <c r="D72" s="191" t="s">
        <v>99</v>
      </c>
      <c r="E72" s="192">
        <v>177800</v>
      </c>
      <c r="F72" s="192">
        <v>178060</v>
      </c>
      <c r="G72" s="193" t="s">
        <v>34</v>
      </c>
      <c r="H72" s="194">
        <f>F72-E72</f>
        <v>260</v>
      </c>
      <c r="I72" s="194">
        <f>J72/H72</f>
        <v>17.319965384615383</v>
      </c>
      <c r="J72" s="194">
        <v>4503.1909999999998</v>
      </c>
      <c r="K72" s="288"/>
      <c r="L72" s="194"/>
      <c r="M72" s="194"/>
      <c r="N72" s="194"/>
      <c r="O72" s="289"/>
      <c r="P72" s="289"/>
      <c r="Q72" s="289"/>
      <c r="R72" s="194"/>
      <c r="S72" s="194">
        <f>J72/9</f>
        <v>500.35455555555552</v>
      </c>
      <c r="T72" s="194"/>
      <c r="U72" s="194"/>
      <c r="V72" s="194">
        <f>(J72*(6/12))/27</f>
        <v>83.39242592592592</v>
      </c>
      <c r="W72" s="194"/>
      <c r="X72" s="194"/>
      <c r="Y72" s="290"/>
      <c r="Z72" s="290">
        <f>(J72*(1.5/12))/27</f>
        <v>20.84810648148148</v>
      </c>
      <c r="AA72" s="290">
        <f>(J72*(1.75/12))/27</f>
        <v>24.322790895061729</v>
      </c>
      <c r="AB72" s="290"/>
      <c r="AC72" s="290"/>
      <c r="AD72" s="290"/>
      <c r="AE72" s="123"/>
    </row>
    <row r="73" spans="2:31" ht="12.75" customHeight="1" x14ac:dyDescent="0.25">
      <c r="B73" s="42"/>
      <c r="D73" s="191"/>
      <c r="E73" s="192"/>
      <c r="F73" s="192"/>
      <c r="G73" s="193"/>
      <c r="H73" s="194"/>
      <c r="I73" s="194"/>
      <c r="J73" s="194"/>
      <c r="K73" s="288"/>
      <c r="L73" s="194"/>
      <c r="M73" s="194"/>
      <c r="N73" s="194"/>
      <c r="O73" s="289"/>
      <c r="P73" s="289"/>
      <c r="Q73" s="289"/>
      <c r="R73" s="194"/>
      <c r="S73" s="194"/>
      <c r="T73" s="194"/>
      <c r="U73" s="194"/>
      <c r="V73" s="194"/>
      <c r="W73" s="194"/>
      <c r="X73" s="290"/>
      <c r="Y73" s="194"/>
      <c r="Z73" s="194"/>
      <c r="AA73" s="194"/>
      <c r="AB73" s="290"/>
      <c r="AC73" s="290"/>
      <c r="AD73" s="290"/>
      <c r="AE73" s="123"/>
    </row>
    <row r="74" spans="2:31" ht="12.75" customHeight="1" x14ac:dyDescent="0.25">
      <c r="B74" s="42"/>
      <c r="D74" s="191" t="s">
        <v>98</v>
      </c>
      <c r="E74" s="192">
        <v>178060</v>
      </c>
      <c r="F74" s="192">
        <v>179552.08</v>
      </c>
      <c r="G74" s="193" t="s">
        <v>34</v>
      </c>
      <c r="H74" s="194">
        <f>F74-E74</f>
        <v>1492.0799999999872</v>
      </c>
      <c r="I74" s="194">
        <f>J74/H74</f>
        <v>26.079360356013304</v>
      </c>
      <c r="J74" s="194">
        <v>38912.491999999998</v>
      </c>
      <c r="K74" s="288"/>
      <c r="L74" s="194"/>
      <c r="M74" s="194"/>
      <c r="N74" s="194"/>
      <c r="O74" s="289"/>
      <c r="P74" s="289"/>
      <c r="Q74" s="289"/>
      <c r="R74" s="194"/>
      <c r="S74" s="194">
        <f>J74/9</f>
        <v>4323.6102222222216</v>
      </c>
      <c r="T74" s="194"/>
      <c r="U74" s="194"/>
      <c r="V74" s="194">
        <f>(J74*(4/12))/27</f>
        <v>480.40113580246907</v>
      </c>
      <c r="W74" s="194"/>
      <c r="X74" s="194"/>
      <c r="Y74" s="290"/>
      <c r="Z74" s="290">
        <f>(J74*(1.5/12))/27</f>
        <v>180.15042592592593</v>
      </c>
      <c r="AA74" s="290">
        <f>(J74*(1.75/12))/27</f>
        <v>210.17549691358025</v>
      </c>
      <c r="AB74" s="290"/>
      <c r="AC74" s="290"/>
      <c r="AD74" s="290"/>
      <c r="AE74" s="123"/>
    </row>
    <row r="75" spans="2:31" ht="12.75" customHeight="1" x14ac:dyDescent="0.25">
      <c r="B75" s="42"/>
      <c r="D75" s="153"/>
      <c r="E75" s="154"/>
      <c r="F75" s="154"/>
      <c r="G75" s="155"/>
      <c r="H75" s="156"/>
      <c r="I75" s="156"/>
      <c r="J75" s="156"/>
      <c r="K75" s="100"/>
      <c r="L75" s="156"/>
      <c r="M75" s="156"/>
      <c r="N75" s="156"/>
      <c r="O75" s="307"/>
      <c r="P75" s="307"/>
      <c r="Q75" s="307"/>
      <c r="R75" s="156"/>
      <c r="S75" s="156"/>
      <c r="T75" s="156"/>
      <c r="U75" s="156"/>
      <c r="V75" s="156"/>
      <c r="W75" s="167"/>
      <c r="X75" s="123"/>
      <c r="Y75" s="156"/>
      <c r="Z75" s="156"/>
      <c r="AA75" s="156"/>
      <c r="AB75" s="123"/>
      <c r="AC75" s="123"/>
      <c r="AD75" s="123"/>
      <c r="AE75" s="123"/>
    </row>
    <row r="76" spans="2:31" ht="12.75" customHeight="1" x14ac:dyDescent="0.25">
      <c r="B76" s="42"/>
      <c r="D76" s="164" t="s">
        <v>27</v>
      </c>
      <c r="E76" s="165">
        <v>178069.5</v>
      </c>
      <c r="F76" s="165">
        <v>178874.03</v>
      </c>
      <c r="G76" s="166" t="s">
        <v>32</v>
      </c>
      <c r="H76" s="167">
        <f>F76-E76</f>
        <v>804.52999999999884</v>
      </c>
      <c r="I76" s="167">
        <f>J76/H76</f>
        <v>3.989878562639062</v>
      </c>
      <c r="J76" s="167">
        <v>3209.9769999999999</v>
      </c>
      <c r="K76" s="92">
        <f>J76/9</f>
        <v>356.66411111111108</v>
      </c>
      <c r="L76" s="168">
        <f>(J76*(14/12))/27</f>
        <v>138.7027098765432</v>
      </c>
      <c r="M76" s="168">
        <f>L76</f>
        <v>138.7027098765432</v>
      </c>
      <c r="N76" s="297">
        <f>J76/9/2000</f>
        <v>0.17833205555555554</v>
      </c>
      <c r="O76" s="91">
        <f>K76</f>
        <v>356.66411111111108</v>
      </c>
      <c r="P76" s="166"/>
      <c r="Q76" s="166"/>
      <c r="R76" s="166"/>
      <c r="S76" s="166"/>
      <c r="T76" s="168">
        <f>(J76*(6/12))/27</f>
        <v>59.444018518518519</v>
      </c>
      <c r="U76" s="166"/>
      <c r="V76" s="166"/>
      <c r="W76" s="168">
        <f>T76</f>
        <v>59.444018518518519</v>
      </c>
      <c r="X76" s="298"/>
      <c r="Y76" s="298">
        <f>(J76/9)*0.09*2</f>
        <v>64.199539999999999</v>
      </c>
      <c r="Z76" s="151">
        <f>(J76*(1.5/12))/27</f>
        <v>14.86100462962963</v>
      </c>
      <c r="AA76" s="151">
        <f>(J76*(1.75/12))/27</f>
        <v>17.337838734567899</v>
      </c>
      <c r="AB76" s="123"/>
      <c r="AC76" s="123"/>
      <c r="AD76" s="123"/>
      <c r="AE76" s="123"/>
    </row>
    <row r="77" spans="2:31" ht="12.75" customHeight="1" x14ac:dyDescent="0.25">
      <c r="B77" s="42"/>
      <c r="D77" s="206" t="s">
        <v>28</v>
      </c>
      <c r="E77" s="207">
        <v>178069.5</v>
      </c>
      <c r="F77" s="207">
        <v>178874.03</v>
      </c>
      <c r="G77" s="208" t="s">
        <v>32</v>
      </c>
      <c r="H77" s="209">
        <f>F77-E77</f>
        <v>804.52999999999884</v>
      </c>
      <c r="I77" s="209"/>
      <c r="J77" s="209"/>
      <c r="K77" s="104"/>
      <c r="L77" s="209">
        <f>(H77*(14/12)*(18/12))/27</f>
        <v>52.145462962962895</v>
      </c>
      <c r="M77" s="209">
        <f>L77</f>
        <v>52.145462962962895</v>
      </c>
      <c r="N77" s="299">
        <f>(H77*1.5)/9/2000</f>
        <v>6.7044166666666571E-2</v>
      </c>
      <c r="O77" s="210">
        <f>H77*1.5/9</f>
        <v>134.08833333333314</v>
      </c>
      <c r="P77" s="299"/>
      <c r="Q77" s="299"/>
      <c r="R77" s="209"/>
      <c r="S77" s="209"/>
      <c r="T77" s="209">
        <f>(H77*(6/12)*(4/12))/27</f>
        <v>4.9662345679012274</v>
      </c>
      <c r="U77" s="209"/>
      <c r="V77" s="209"/>
      <c r="W77" s="209">
        <f>(H77*(6/12)*(10/12))/27</f>
        <v>12.415586419753069</v>
      </c>
      <c r="X77" s="209"/>
      <c r="Y77" s="300"/>
      <c r="Z77" s="300"/>
      <c r="AA77" s="300"/>
      <c r="AB77" s="301"/>
      <c r="AC77" s="300"/>
      <c r="AD77" s="300"/>
      <c r="AE77" s="300"/>
    </row>
    <row r="78" spans="2:31" ht="12.75" customHeight="1" x14ac:dyDescent="0.25">
      <c r="B78" s="42"/>
      <c r="D78" s="153"/>
      <c r="E78" s="154"/>
      <c r="F78" s="154"/>
      <c r="G78" s="155"/>
      <c r="H78" s="156"/>
      <c r="I78" s="156"/>
      <c r="J78" s="156"/>
      <c r="K78" s="100"/>
      <c r="L78" s="156"/>
      <c r="M78" s="156"/>
      <c r="N78" s="156"/>
      <c r="O78" s="307"/>
      <c r="P78" s="307"/>
      <c r="Q78" s="307"/>
      <c r="R78" s="156"/>
      <c r="S78" s="156"/>
      <c r="T78" s="156"/>
      <c r="U78" s="156"/>
      <c r="V78" s="156"/>
      <c r="W78" s="167"/>
      <c r="X78" s="123"/>
      <c r="Y78" s="156"/>
      <c r="Z78" s="156"/>
      <c r="AA78" s="156"/>
      <c r="AB78" s="123"/>
      <c r="AC78" s="123"/>
      <c r="AD78" s="123"/>
      <c r="AE78" s="123"/>
    </row>
    <row r="79" spans="2:31" ht="12.75" customHeight="1" x14ac:dyDescent="0.25">
      <c r="B79" s="42"/>
      <c r="D79" s="153" t="s">
        <v>96</v>
      </c>
      <c r="E79" s="154">
        <v>178069.5</v>
      </c>
      <c r="F79" s="154">
        <v>178875.55</v>
      </c>
      <c r="G79" s="155" t="s">
        <v>32</v>
      </c>
      <c r="H79" s="156">
        <f>F79-E79</f>
        <v>806.04999999998836</v>
      </c>
      <c r="I79" s="156">
        <v>10</v>
      </c>
      <c r="J79" s="156">
        <v>7957.2960000000003</v>
      </c>
      <c r="K79" s="100"/>
      <c r="L79" s="156"/>
      <c r="M79" s="156"/>
      <c r="N79" s="156"/>
      <c r="O79" s="307"/>
      <c r="P79" s="307"/>
      <c r="Q79" s="307"/>
      <c r="R79" s="156">
        <f>J79/9</f>
        <v>884.14400000000001</v>
      </c>
      <c r="S79" s="156"/>
      <c r="T79" s="156"/>
      <c r="U79" s="156"/>
      <c r="V79" s="156"/>
      <c r="W79" s="156">
        <f>(J79*(6/12))/27</f>
        <v>147.35733333333334</v>
      </c>
      <c r="X79" s="308"/>
      <c r="Y79" s="156"/>
      <c r="Z79" s="156"/>
      <c r="AA79" s="156"/>
      <c r="AB79" s="308">
        <f>(J79*(1.5/12))/27</f>
        <v>36.839333333333336</v>
      </c>
      <c r="AC79" s="308">
        <f>(J79*(2.5/12))/27</f>
        <v>61.398888888888898</v>
      </c>
      <c r="AD79" s="123"/>
      <c r="AE79" s="123"/>
    </row>
    <row r="80" spans="2:31" ht="12.75" customHeight="1" x14ac:dyDescent="0.25">
      <c r="B80" s="42"/>
      <c r="D80" s="158" t="s">
        <v>71</v>
      </c>
      <c r="E80" s="162">
        <v>178069.5</v>
      </c>
      <c r="F80" s="162">
        <v>178875.55</v>
      </c>
      <c r="G80" s="163" t="s">
        <v>32</v>
      </c>
      <c r="H80" s="159">
        <f>F80-E80</f>
        <v>806.04999999998836</v>
      </c>
      <c r="I80" s="159"/>
      <c r="J80" s="159"/>
      <c r="K80" s="309"/>
      <c r="L80" s="159"/>
      <c r="M80" s="159"/>
      <c r="N80" s="159"/>
      <c r="O80" s="159"/>
      <c r="P80" s="159"/>
      <c r="Q80" s="159"/>
      <c r="R80" s="159">
        <f>(H80*1.5/9)*2</f>
        <v>268.68333333332947</v>
      </c>
      <c r="S80" s="159"/>
      <c r="T80" s="159"/>
      <c r="U80" s="159"/>
      <c r="V80" s="159"/>
      <c r="W80" s="159">
        <f>((H80*(6/12)*(6/12))/27)*2</f>
        <v>14.926851851851636</v>
      </c>
      <c r="X80" s="310"/>
      <c r="Y80" s="159"/>
      <c r="Z80" s="159"/>
      <c r="AA80" s="159"/>
      <c r="AB80" s="310"/>
      <c r="AC80" s="310"/>
      <c r="AD80" s="123"/>
      <c r="AE80" s="123"/>
    </row>
    <row r="81" spans="2:31" ht="12.75" customHeight="1" x14ac:dyDescent="0.25">
      <c r="B81" s="42"/>
      <c r="D81" s="153"/>
      <c r="E81" s="154"/>
      <c r="F81" s="154"/>
      <c r="G81" s="155"/>
      <c r="H81" s="156"/>
      <c r="I81" s="156"/>
      <c r="J81" s="156"/>
      <c r="K81" s="100"/>
      <c r="L81" s="156"/>
      <c r="M81" s="156"/>
      <c r="N81" s="156"/>
      <c r="O81" s="307"/>
      <c r="P81" s="307"/>
      <c r="Q81" s="307"/>
      <c r="R81" s="156"/>
      <c r="S81" s="156"/>
      <c r="T81" s="156"/>
      <c r="U81" s="156"/>
      <c r="V81" s="156"/>
      <c r="W81" s="167"/>
      <c r="X81" s="123"/>
      <c r="Y81" s="156"/>
      <c r="Z81" s="156"/>
      <c r="AA81" s="156"/>
      <c r="AB81" s="123"/>
      <c r="AC81" s="123"/>
      <c r="AD81" s="123"/>
      <c r="AE81" s="123"/>
    </row>
    <row r="82" spans="2:31" ht="12.75" customHeight="1" x14ac:dyDescent="0.25">
      <c r="B82" s="42"/>
      <c r="D82" s="212" t="s">
        <v>27</v>
      </c>
      <c r="E82" s="213">
        <v>178974.6</v>
      </c>
      <c r="F82" s="213">
        <v>179172.58</v>
      </c>
      <c r="G82" s="230" t="s">
        <v>32</v>
      </c>
      <c r="H82" s="214">
        <f>F82-E82</f>
        <v>197.97999999998137</v>
      </c>
      <c r="I82" s="214">
        <f>J82/H82</f>
        <v>12.033659965654229</v>
      </c>
      <c r="J82" s="214">
        <v>2382.424</v>
      </c>
      <c r="K82" s="311"/>
      <c r="L82" s="230"/>
      <c r="M82" s="230"/>
      <c r="N82" s="328">
        <f>J82/9/2000</f>
        <v>0.13235688888888889</v>
      </c>
      <c r="O82" s="214"/>
      <c r="P82" s="214">
        <f>R82*0.75*14*115*0.05/2000</f>
        <v>7.9910471666666671</v>
      </c>
      <c r="Q82" s="214">
        <f>R82</f>
        <v>264.71377777777775</v>
      </c>
      <c r="R82" s="214">
        <f>J82/9</f>
        <v>264.71377777777775</v>
      </c>
      <c r="S82" s="214"/>
      <c r="T82" s="149">
        <f>(J82*(6/12))/27</f>
        <v>44.118962962962961</v>
      </c>
      <c r="U82" s="214"/>
      <c r="V82" s="214"/>
      <c r="W82" s="149">
        <f>T82</f>
        <v>44.118962962962961</v>
      </c>
      <c r="X82" s="312"/>
      <c r="Y82" s="312">
        <f>(J82/9)*0.09*2</f>
        <v>47.648479999999992</v>
      </c>
      <c r="Z82" s="205">
        <f>(J82*(1.5/12))/27</f>
        <v>11.02974074074074</v>
      </c>
      <c r="AA82" s="205">
        <f>(J82*(1.75/12))/27</f>
        <v>12.868030864197532</v>
      </c>
      <c r="AB82" s="312"/>
      <c r="AC82" s="312"/>
      <c r="AD82" s="123"/>
      <c r="AE82" s="123"/>
    </row>
    <row r="83" spans="2:31" ht="12.75" customHeight="1" x14ac:dyDescent="0.25">
      <c r="B83" s="42"/>
      <c r="D83" s="216" t="s">
        <v>28</v>
      </c>
      <c r="E83" s="217">
        <v>178974.6</v>
      </c>
      <c r="F83" s="217">
        <v>179142.58</v>
      </c>
      <c r="G83" s="218" t="s">
        <v>32</v>
      </c>
      <c r="H83" s="219">
        <f>F83-E83</f>
        <v>167.97999999998137</v>
      </c>
      <c r="I83" s="219"/>
      <c r="J83" s="219"/>
      <c r="K83" s="313"/>
      <c r="L83" s="219"/>
      <c r="M83" s="219"/>
      <c r="N83" s="314">
        <f>(H83*1.5)/9/2000</f>
        <v>1.3998333333331781E-2</v>
      </c>
      <c r="O83" s="219"/>
      <c r="P83" s="219">
        <f>R83*0.75*14*115*0.05/2000</f>
        <v>4.0554390624999419</v>
      </c>
      <c r="Q83" s="219">
        <f>R83</f>
        <v>134.34166666666474</v>
      </c>
      <c r="R83" s="219">
        <f>(H80*1.5/9)</f>
        <v>134.34166666666474</v>
      </c>
      <c r="S83" s="219"/>
      <c r="T83" s="219">
        <f>(H83*(6/12)*(4/12))/27</f>
        <v>1.0369135802467986</v>
      </c>
      <c r="U83" s="219"/>
      <c r="V83" s="219"/>
      <c r="W83" s="219">
        <f>(H83*(6/12)*(10/12))/27</f>
        <v>2.5922839506169968</v>
      </c>
      <c r="X83" s="219"/>
      <c r="Y83" s="315"/>
      <c r="Z83" s="315"/>
      <c r="AA83" s="315"/>
      <c r="AB83" s="315"/>
      <c r="AC83" s="123"/>
      <c r="AD83" s="123"/>
      <c r="AE83" s="123"/>
    </row>
    <row r="84" spans="2:31" ht="12.75" customHeight="1" x14ac:dyDescent="0.25">
      <c r="B84" s="42"/>
      <c r="D84" s="153"/>
      <c r="E84" s="154"/>
      <c r="F84" s="154"/>
      <c r="G84" s="155"/>
      <c r="H84" s="156"/>
      <c r="I84" s="156"/>
      <c r="J84" s="156"/>
      <c r="K84" s="100"/>
      <c r="L84" s="156"/>
      <c r="M84" s="156"/>
      <c r="N84" s="156"/>
      <c r="O84" s="307"/>
      <c r="P84" s="307"/>
      <c r="Q84" s="307"/>
      <c r="R84" s="156"/>
      <c r="S84" s="156"/>
      <c r="T84" s="156"/>
      <c r="U84" s="156"/>
      <c r="V84" s="156"/>
      <c r="W84" s="167"/>
      <c r="X84" s="123"/>
      <c r="Y84" s="156"/>
      <c r="Z84" s="156"/>
      <c r="AA84" s="156"/>
      <c r="AB84" s="123"/>
      <c r="AC84" s="123"/>
      <c r="AD84" s="123"/>
      <c r="AE84" s="123"/>
    </row>
    <row r="85" spans="2:31" ht="12.75" customHeight="1" x14ac:dyDescent="0.25">
      <c r="B85" s="42"/>
      <c r="D85" s="153" t="s">
        <v>96</v>
      </c>
      <c r="E85" s="154">
        <v>178976.77</v>
      </c>
      <c r="F85" s="154">
        <v>179583.84</v>
      </c>
      <c r="G85" s="155" t="s">
        <v>32</v>
      </c>
      <c r="H85" s="156">
        <f>F85-E85</f>
        <v>607.07000000000698</v>
      </c>
      <c r="I85" s="156">
        <v>10</v>
      </c>
      <c r="J85" s="156">
        <v>6020.7120000000004</v>
      </c>
      <c r="K85" s="100"/>
      <c r="L85" s="156"/>
      <c r="M85" s="156"/>
      <c r="N85" s="156"/>
      <c r="O85" s="307"/>
      <c r="P85" s="307"/>
      <c r="Q85" s="307"/>
      <c r="R85" s="156">
        <f>J85/9</f>
        <v>668.96800000000007</v>
      </c>
      <c r="S85" s="156"/>
      <c r="T85" s="156"/>
      <c r="U85" s="156"/>
      <c r="V85" s="156"/>
      <c r="W85" s="156">
        <f>(J85*(6/12))/27</f>
        <v>111.49466666666667</v>
      </c>
      <c r="X85" s="308"/>
      <c r="Y85" s="156"/>
      <c r="Z85" s="156"/>
      <c r="AA85" s="156"/>
      <c r="AB85" s="308">
        <f>(J85*(1.5/12))/27</f>
        <v>27.873666666666669</v>
      </c>
      <c r="AC85" s="308">
        <f>(J85*(2.5/12))/27</f>
        <v>46.456111111111113</v>
      </c>
      <c r="AD85" s="123"/>
      <c r="AE85" s="123"/>
    </row>
    <row r="86" spans="2:31" ht="12.75" customHeight="1" x14ac:dyDescent="0.25">
      <c r="B86" s="42"/>
      <c r="D86" s="158" t="s">
        <v>71</v>
      </c>
      <c r="E86" s="162">
        <v>178976.77</v>
      </c>
      <c r="F86" s="162">
        <v>179583.84</v>
      </c>
      <c r="G86" s="163" t="s">
        <v>32</v>
      </c>
      <c r="H86" s="159">
        <f>F86-E86</f>
        <v>607.07000000000698</v>
      </c>
      <c r="I86" s="159"/>
      <c r="J86" s="159"/>
      <c r="K86" s="309"/>
      <c r="L86" s="159"/>
      <c r="M86" s="159"/>
      <c r="N86" s="159"/>
      <c r="O86" s="159"/>
      <c r="P86" s="159"/>
      <c r="Q86" s="159"/>
      <c r="R86" s="159">
        <f>(H86*1.5/9)*2</f>
        <v>202.35666666666899</v>
      </c>
      <c r="S86" s="159"/>
      <c r="T86" s="159"/>
      <c r="U86" s="159"/>
      <c r="V86" s="159"/>
      <c r="W86" s="159">
        <f>((H86*(6/12)*(6/12))/27)*2</f>
        <v>11.242037037037166</v>
      </c>
      <c r="X86" s="310"/>
      <c r="Y86" s="159"/>
      <c r="Z86" s="159"/>
      <c r="AA86" s="159"/>
      <c r="AB86" s="310"/>
      <c r="AC86" s="310"/>
      <c r="AD86" s="310"/>
      <c r="AE86" s="123"/>
    </row>
    <row r="87" spans="2:31" ht="12.75" customHeight="1" x14ac:dyDescent="0.25">
      <c r="B87" s="42"/>
      <c r="D87" s="153"/>
      <c r="E87" s="154"/>
      <c r="F87" s="154"/>
      <c r="G87" s="155"/>
      <c r="H87" s="156"/>
      <c r="I87" s="156"/>
      <c r="J87" s="156"/>
      <c r="K87" s="100"/>
      <c r="L87" s="156"/>
      <c r="M87" s="156"/>
      <c r="N87" s="156"/>
      <c r="O87" s="307"/>
      <c r="P87" s="307"/>
      <c r="Q87" s="307"/>
      <c r="R87" s="156"/>
      <c r="S87" s="156"/>
      <c r="T87" s="156"/>
      <c r="U87" s="156"/>
      <c r="V87" s="156"/>
      <c r="W87" s="167"/>
      <c r="X87" s="123"/>
      <c r="Y87" s="156"/>
      <c r="Z87" s="156"/>
      <c r="AA87" s="156"/>
      <c r="AB87" s="123"/>
      <c r="AC87" s="123"/>
      <c r="AD87" s="123"/>
      <c r="AE87" s="123"/>
    </row>
    <row r="88" spans="2:31" ht="12.75" customHeight="1" x14ac:dyDescent="0.25">
      <c r="B88" s="42"/>
      <c r="D88" s="164" t="s">
        <v>27</v>
      </c>
      <c r="E88" s="165">
        <v>179172.58</v>
      </c>
      <c r="F88" s="165">
        <v>179552.08</v>
      </c>
      <c r="G88" s="166" t="s">
        <v>32</v>
      </c>
      <c r="H88" s="167">
        <f>F88-E88</f>
        <v>379.5</v>
      </c>
      <c r="I88" s="167">
        <f>J88/H88</f>
        <v>4.6046851119894603</v>
      </c>
      <c r="J88" s="167">
        <v>1747.4780000000001</v>
      </c>
      <c r="K88" s="92">
        <f>J88/9</f>
        <v>194.16422222222224</v>
      </c>
      <c r="L88" s="168">
        <f>(J88*(14/12))/27</f>
        <v>75.508308641975319</v>
      </c>
      <c r="M88" s="168">
        <f>L88</f>
        <v>75.508308641975319</v>
      </c>
      <c r="N88" s="297">
        <f>J88/9/2000</f>
        <v>9.7082111111111119E-2</v>
      </c>
      <c r="O88" s="91">
        <f>K88</f>
        <v>194.16422222222224</v>
      </c>
      <c r="P88" s="166"/>
      <c r="Q88" s="166"/>
      <c r="R88" s="166"/>
      <c r="S88" s="166"/>
      <c r="T88" s="168">
        <f>(J88*(6/12))/27</f>
        <v>32.360703703703706</v>
      </c>
      <c r="U88" s="166"/>
      <c r="V88" s="166"/>
      <c r="W88" s="168">
        <f>T88</f>
        <v>32.360703703703706</v>
      </c>
      <c r="X88" s="298"/>
      <c r="Y88" s="298">
        <f>(J88/9)*0.09*2</f>
        <v>34.949559999999998</v>
      </c>
      <c r="Z88" s="151">
        <f>(J88*(1.5/12))/27</f>
        <v>8.0901759259259265</v>
      </c>
      <c r="AA88" s="151">
        <f>(J88*(1.75/12))/27</f>
        <v>9.4385385802469148</v>
      </c>
      <c r="AB88" s="123"/>
      <c r="AC88" s="123"/>
      <c r="AD88" s="123"/>
      <c r="AE88" s="123"/>
    </row>
    <row r="89" spans="2:31" ht="12.75" customHeight="1" x14ac:dyDescent="0.25">
      <c r="B89" s="42"/>
      <c r="D89" s="206" t="s">
        <v>28</v>
      </c>
      <c r="E89" s="207">
        <v>179142.58</v>
      </c>
      <c r="F89" s="207">
        <v>179552.08</v>
      </c>
      <c r="G89" s="208" t="s">
        <v>32</v>
      </c>
      <c r="H89" s="209">
        <f>F89-E89</f>
        <v>409.5</v>
      </c>
      <c r="I89" s="209"/>
      <c r="J89" s="209"/>
      <c r="K89" s="104"/>
      <c r="L89" s="209">
        <f>(H89*(14/12)*(18/12))/27</f>
        <v>26.541666666666671</v>
      </c>
      <c r="M89" s="209">
        <f>L89</f>
        <v>26.541666666666671</v>
      </c>
      <c r="N89" s="299">
        <f>(H89*1.5)/9/2000</f>
        <v>3.4125000000000003E-2</v>
      </c>
      <c r="O89" s="210">
        <f>H89*1.5/9</f>
        <v>68.25</v>
      </c>
      <c r="P89" s="299"/>
      <c r="Q89" s="299"/>
      <c r="R89" s="209"/>
      <c r="S89" s="209"/>
      <c r="T89" s="209">
        <f>(H89*(6/12)*(4/12))/27</f>
        <v>2.5277777777777777</v>
      </c>
      <c r="U89" s="209"/>
      <c r="V89" s="209"/>
      <c r="W89" s="209">
        <f>(H89*(6/12)*(10/12))/27</f>
        <v>6.3194444444444446</v>
      </c>
      <c r="X89" s="209"/>
      <c r="Y89" s="300"/>
      <c r="Z89" s="300"/>
      <c r="AA89" s="300"/>
      <c r="AB89" s="300"/>
      <c r="AC89" s="300"/>
      <c r="AD89" s="300"/>
      <c r="AE89" s="300"/>
    </row>
    <row r="90" spans="2:31" ht="12.75" customHeight="1" x14ac:dyDescent="0.25">
      <c r="B90" s="42"/>
      <c r="D90" s="153"/>
      <c r="E90" s="154"/>
      <c r="F90" s="154"/>
      <c r="G90" s="155"/>
      <c r="H90" s="156"/>
      <c r="I90" s="156"/>
      <c r="J90" s="156"/>
      <c r="K90" s="100"/>
      <c r="L90" s="156"/>
      <c r="M90" s="156"/>
      <c r="N90" s="156"/>
      <c r="O90" s="307"/>
      <c r="P90" s="307"/>
      <c r="Q90" s="307"/>
      <c r="R90" s="156"/>
      <c r="S90" s="156"/>
      <c r="T90" s="156"/>
      <c r="U90" s="156"/>
      <c r="V90" s="156"/>
      <c r="W90" s="167"/>
      <c r="X90" s="123"/>
      <c r="Y90" s="156"/>
      <c r="Z90" s="156"/>
      <c r="AA90" s="156"/>
      <c r="AB90" s="123"/>
      <c r="AC90" s="123"/>
      <c r="AD90" s="123"/>
      <c r="AE90" s="123"/>
    </row>
    <row r="91" spans="2:31" ht="12.75" customHeight="1" x14ac:dyDescent="0.25">
      <c r="B91" s="42"/>
      <c r="D91" s="278"/>
      <c r="E91" s="329"/>
      <c r="F91" s="329"/>
      <c r="G91" s="330"/>
      <c r="H91" s="331"/>
      <c r="I91" s="331"/>
      <c r="J91" s="331"/>
      <c r="K91" s="100"/>
      <c r="L91" s="331"/>
      <c r="M91" s="331"/>
      <c r="N91" s="331"/>
      <c r="O91" s="332"/>
      <c r="P91" s="332"/>
      <c r="Q91" s="332"/>
      <c r="R91" s="331"/>
      <c r="S91" s="331"/>
      <c r="T91" s="331"/>
      <c r="U91" s="331"/>
      <c r="V91" s="331"/>
      <c r="W91" s="333"/>
      <c r="X91" s="334"/>
      <c r="Y91" s="331"/>
      <c r="Z91" s="331"/>
      <c r="AA91" s="331"/>
      <c r="AB91" s="334"/>
      <c r="AC91" s="123"/>
      <c r="AD91" s="123"/>
      <c r="AE91" s="123"/>
    </row>
    <row r="92" spans="2:31" ht="12.75" customHeight="1" x14ac:dyDescent="0.25">
      <c r="B92" s="42"/>
      <c r="D92" s="279" t="s">
        <v>69</v>
      </c>
      <c r="E92" s="335"/>
      <c r="F92" s="335"/>
      <c r="G92" s="336" t="s">
        <v>34</v>
      </c>
      <c r="H92" s="337"/>
      <c r="I92" s="337"/>
      <c r="J92" s="337"/>
      <c r="K92" s="108"/>
      <c r="L92" s="147"/>
      <c r="M92" s="147"/>
      <c r="N92" s="147"/>
      <c r="O92" s="306"/>
      <c r="P92" s="306"/>
      <c r="Q92" s="306"/>
      <c r="R92" s="147"/>
      <c r="S92" s="147"/>
      <c r="T92" s="147"/>
      <c r="U92" s="147"/>
      <c r="V92" s="337"/>
      <c r="W92" s="147"/>
      <c r="X92" s="147"/>
      <c r="Y92" s="123"/>
      <c r="Z92" s="338"/>
      <c r="AA92" s="338"/>
      <c r="AB92" s="123"/>
      <c r="AC92" s="123"/>
      <c r="AD92" s="123"/>
      <c r="AE92" s="123"/>
    </row>
    <row r="93" spans="2:31" ht="12.75" customHeight="1" x14ac:dyDescent="0.25">
      <c r="B93" s="42"/>
      <c r="D93" s="164"/>
      <c r="E93" s="165"/>
      <c r="F93" s="165"/>
      <c r="G93" s="166"/>
      <c r="H93" s="167"/>
      <c r="I93" s="167"/>
      <c r="J93" s="167"/>
      <c r="K93" s="97"/>
      <c r="L93" s="167"/>
      <c r="M93" s="167"/>
      <c r="N93" s="167"/>
      <c r="O93" s="297"/>
      <c r="P93" s="297"/>
      <c r="Q93" s="297"/>
      <c r="R93" s="167"/>
      <c r="S93" s="167"/>
      <c r="T93" s="167"/>
      <c r="U93" s="167"/>
      <c r="V93" s="167"/>
      <c r="W93" s="167"/>
      <c r="X93" s="167"/>
      <c r="Y93" s="167"/>
      <c r="Z93" s="167"/>
      <c r="AA93" s="295"/>
      <c r="AB93" s="123"/>
      <c r="AC93" s="123"/>
      <c r="AD93" s="123"/>
      <c r="AE93" s="123"/>
    </row>
    <row r="94" spans="2:31" ht="12.75" customHeight="1" x14ac:dyDescent="0.25">
      <c r="B94" s="42"/>
      <c r="D94" s="280" t="s">
        <v>27</v>
      </c>
      <c r="E94" s="339"/>
      <c r="F94" s="339"/>
      <c r="G94" s="340" t="s">
        <v>33</v>
      </c>
      <c r="H94" s="341"/>
      <c r="I94" s="341"/>
      <c r="J94" s="341"/>
      <c r="K94" s="92"/>
      <c r="L94" s="340"/>
      <c r="M94" s="340"/>
      <c r="N94" s="340"/>
      <c r="O94" s="340"/>
      <c r="P94" s="340"/>
      <c r="Q94" s="340"/>
      <c r="R94" s="166"/>
      <c r="S94" s="166"/>
      <c r="T94" s="340"/>
      <c r="U94" s="166"/>
      <c r="V94" s="166"/>
      <c r="W94" s="340"/>
      <c r="X94" s="298"/>
      <c r="Y94" s="342"/>
      <c r="Z94" s="342"/>
      <c r="AA94" s="342"/>
      <c r="AB94" s="298"/>
      <c r="AC94" s="123"/>
      <c r="AD94" s="123"/>
      <c r="AE94" s="123"/>
    </row>
    <row r="95" spans="2:31" ht="12.75" customHeight="1" x14ac:dyDescent="0.25">
      <c r="B95" s="42"/>
      <c r="D95" s="281" t="s">
        <v>28</v>
      </c>
      <c r="E95" s="343"/>
      <c r="F95" s="343"/>
      <c r="G95" s="344" t="s">
        <v>33</v>
      </c>
      <c r="H95" s="345"/>
      <c r="I95" s="345"/>
      <c r="J95" s="345"/>
      <c r="K95" s="94"/>
      <c r="L95" s="345"/>
      <c r="M95" s="345"/>
      <c r="N95" s="345"/>
      <c r="O95" s="346"/>
      <c r="P95" s="346"/>
      <c r="Q95" s="346"/>
      <c r="R95" s="83"/>
      <c r="S95" s="83"/>
      <c r="T95" s="345"/>
      <c r="U95" s="83"/>
      <c r="V95" s="83"/>
      <c r="W95" s="345"/>
      <c r="X95" s="83"/>
      <c r="Y95" s="302"/>
      <c r="Z95" s="302"/>
      <c r="AA95" s="302"/>
      <c r="AB95" s="302"/>
      <c r="AC95" s="302"/>
      <c r="AD95" s="302"/>
      <c r="AE95" s="123"/>
    </row>
    <row r="96" spans="2:31" ht="12.75" customHeight="1" x14ac:dyDescent="0.25">
      <c r="B96" s="42"/>
      <c r="D96" s="183"/>
      <c r="E96" s="184"/>
      <c r="F96" s="184"/>
      <c r="G96" s="185"/>
      <c r="H96" s="186"/>
      <c r="I96" s="186"/>
      <c r="J96" s="186"/>
      <c r="K96" s="86"/>
      <c r="L96" s="186"/>
      <c r="M96" s="186"/>
      <c r="N96" s="186"/>
      <c r="O96" s="304"/>
      <c r="P96" s="304"/>
      <c r="Q96" s="304"/>
      <c r="R96" s="186"/>
      <c r="S96" s="186"/>
      <c r="T96" s="186"/>
      <c r="U96" s="186"/>
      <c r="V96" s="186"/>
      <c r="W96" s="186"/>
      <c r="X96" s="123"/>
      <c r="Y96" s="186"/>
      <c r="Z96" s="186"/>
      <c r="AA96" s="186"/>
      <c r="AB96" s="123"/>
      <c r="AC96" s="123"/>
      <c r="AD96" s="123"/>
      <c r="AE96" s="123"/>
    </row>
    <row r="97" spans="2:31" ht="12.75" customHeight="1" x14ac:dyDescent="0.25">
      <c r="B97" s="42"/>
      <c r="D97" s="280" t="s">
        <v>27</v>
      </c>
      <c r="E97" s="339"/>
      <c r="F97" s="339"/>
      <c r="G97" s="340" t="s">
        <v>32</v>
      </c>
      <c r="H97" s="341"/>
      <c r="I97" s="341"/>
      <c r="J97" s="341"/>
      <c r="K97" s="92"/>
      <c r="L97" s="340"/>
      <c r="M97" s="340"/>
      <c r="N97" s="340"/>
      <c r="O97" s="340"/>
      <c r="P97" s="340"/>
      <c r="Q97" s="340"/>
      <c r="R97" s="166"/>
      <c r="S97" s="166"/>
      <c r="T97" s="340"/>
      <c r="U97" s="166"/>
      <c r="V97" s="166"/>
      <c r="W97" s="340"/>
      <c r="X97" s="298"/>
      <c r="Y97" s="342"/>
      <c r="Z97" s="342"/>
      <c r="AA97" s="342"/>
      <c r="AB97" s="298"/>
      <c r="AC97" s="298"/>
      <c r="AD97" s="123"/>
      <c r="AE97" s="123"/>
    </row>
    <row r="98" spans="2:31" ht="12.75" customHeight="1" x14ac:dyDescent="0.25">
      <c r="B98" s="42"/>
      <c r="D98" s="281" t="s">
        <v>28</v>
      </c>
      <c r="E98" s="343"/>
      <c r="F98" s="343"/>
      <c r="G98" s="344" t="s">
        <v>32</v>
      </c>
      <c r="H98" s="345"/>
      <c r="I98" s="345"/>
      <c r="J98" s="345"/>
      <c r="K98" s="94"/>
      <c r="L98" s="345"/>
      <c r="M98" s="345"/>
      <c r="N98" s="345"/>
      <c r="O98" s="346"/>
      <c r="P98" s="346"/>
      <c r="Q98" s="346"/>
      <c r="R98" s="83"/>
      <c r="S98" s="83"/>
      <c r="T98" s="345"/>
      <c r="U98" s="83"/>
      <c r="V98" s="83"/>
      <c r="W98" s="345"/>
      <c r="X98" s="83"/>
      <c r="Y98" s="302"/>
      <c r="Z98" s="302"/>
      <c r="AA98" s="302"/>
      <c r="AB98" s="302"/>
      <c r="AC98" s="302"/>
      <c r="AD98" s="123"/>
      <c r="AE98" s="123"/>
    </row>
    <row r="99" spans="2:31" ht="12.75" customHeight="1" x14ac:dyDescent="0.25">
      <c r="B99" s="42"/>
      <c r="D99" s="282" t="s">
        <v>72</v>
      </c>
      <c r="E99" s="347"/>
      <c r="F99" s="347"/>
      <c r="G99" s="348" t="s">
        <v>32</v>
      </c>
      <c r="H99" s="349"/>
      <c r="I99" s="349"/>
      <c r="J99" s="349"/>
      <c r="K99" s="111"/>
      <c r="L99" s="349"/>
      <c r="M99" s="349"/>
      <c r="N99" s="349"/>
      <c r="O99" s="350"/>
      <c r="P99" s="350"/>
      <c r="Q99" s="350"/>
      <c r="R99" s="323"/>
      <c r="S99" s="323"/>
      <c r="T99" s="323"/>
      <c r="U99" s="323"/>
      <c r="V99" s="323"/>
      <c r="W99" s="349"/>
      <c r="X99" s="324"/>
      <c r="Y99" s="323"/>
      <c r="Z99" s="323"/>
      <c r="AA99" s="323"/>
      <c r="AB99" s="324"/>
      <c r="AC99" s="324"/>
      <c r="AD99" s="324"/>
      <c r="AE99" s="123"/>
    </row>
    <row r="100" spans="2:31" ht="12.75" customHeight="1" x14ac:dyDescent="0.25">
      <c r="B100" s="42"/>
      <c r="D100" s="283" t="s">
        <v>29</v>
      </c>
      <c r="E100" s="351"/>
      <c r="F100" s="351"/>
      <c r="G100" s="352" t="s">
        <v>32</v>
      </c>
      <c r="H100" s="353"/>
      <c r="I100" s="353"/>
      <c r="J100" s="353"/>
      <c r="K100" s="86"/>
      <c r="L100" s="353"/>
      <c r="M100" s="353"/>
      <c r="N100" s="353"/>
      <c r="O100" s="354"/>
      <c r="P100" s="354"/>
      <c r="Q100" s="354"/>
      <c r="R100" s="186"/>
      <c r="S100" s="186"/>
      <c r="T100" s="186"/>
      <c r="U100" s="186"/>
      <c r="V100" s="186"/>
      <c r="W100" s="353"/>
      <c r="X100" s="305"/>
      <c r="Y100" s="305"/>
      <c r="Z100" s="305"/>
      <c r="AA100" s="305"/>
      <c r="AB100" s="305"/>
      <c r="AC100" s="305"/>
      <c r="AD100" s="305"/>
      <c r="AE100" s="123"/>
    </row>
    <row r="101" spans="2:31" ht="12.75" customHeight="1" x14ac:dyDescent="0.25">
      <c r="B101" s="42"/>
      <c r="D101" s="223"/>
      <c r="E101" s="224"/>
      <c r="F101" s="224"/>
      <c r="G101" s="355"/>
      <c r="H101" s="225"/>
      <c r="I101" s="225"/>
      <c r="J101" s="225"/>
      <c r="K101" s="115"/>
      <c r="L101" s="225"/>
      <c r="M101" s="225"/>
      <c r="N101" s="225"/>
      <c r="O101" s="356"/>
      <c r="P101" s="356"/>
      <c r="Q101" s="356"/>
      <c r="R101" s="225"/>
      <c r="S101" s="225"/>
      <c r="T101" s="225"/>
      <c r="U101" s="225"/>
      <c r="V101" s="225"/>
      <c r="W101" s="225"/>
      <c r="X101" s="123"/>
      <c r="Y101" s="225"/>
      <c r="Z101" s="225"/>
      <c r="AA101" s="225"/>
      <c r="AB101" s="123"/>
      <c r="AC101" s="123"/>
      <c r="AD101" s="123"/>
      <c r="AE101" s="123"/>
    </row>
    <row r="102" spans="2:31" ht="12.75" customHeight="1" x14ac:dyDescent="0.25">
      <c r="B102" s="42"/>
      <c r="D102" s="284" t="s">
        <v>70</v>
      </c>
      <c r="E102" s="357"/>
      <c r="F102" s="357"/>
      <c r="G102" s="358" t="s">
        <v>32</v>
      </c>
      <c r="H102" s="359"/>
      <c r="I102" s="359"/>
      <c r="J102" s="359"/>
      <c r="K102" s="100"/>
      <c r="L102" s="156"/>
      <c r="M102" s="156"/>
      <c r="N102" s="156"/>
      <c r="O102" s="307"/>
      <c r="P102" s="307"/>
      <c r="Q102" s="307"/>
      <c r="R102" s="359"/>
      <c r="S102" s="156"/>
      <c r="T102" s="156"/>
      <c r="U102" s="156"/>
      <c r="V102" s="156"/>
      <c r="W102" s="359"/>
      <c r="X102" s="308"/>
      <c r="Y102" s="156"/>
      <c r="Z102" s="156"/>
      <c r="AA102" s="156"/>
      <c r="AB102" s="360"/>
      <c r="AC102" s="360"/>
      <c r="AD102" s="308"/>
      <c r="AE102" s="308"/>
    </row>
    <row r="103" spans="2:31" ht="12.75" customHeight="1" x14ac:dyDescent="0.25">
      <c r="B103" s="42"/>
      <c r="D103" s="285" t="s">
        <v>71</v>
      </c>
      <c r="E103" s="361"/>
      <c r="F103" s="361"/>
      <c r="G103" s="362" t="s">
        <v>32</v>
      </c>
      <c r="H103" s="363"/>
      <c r="I103" s="363"/>
      <c r="J103" s="363"/>
      <c r="K103" s="104"/>
      <c r="L103" s="209"/>
      <c r="M103" s="209"/>
      <c r="N103" s="209"/>
      <c r="O103" s="299"/>
      <c r="P103" s="299"/>
      <c r="Q103" s="299"/>
      <c r="R103" s="363"/>
      <c r="S103" s="209"/>
      <c r="T103" s="299"/>
      <c r="U103" s="299"/>
      <c r="V103" s="209"/>
      <c r="W103" s="363"/>
      <c r="X103" s="300"/>
      <c r="Y103" s="209"/>
      <c r="Z103" s="209"/>
      <c r="AA103" s="209"/>
      <c r="AB103" s="300"/>
      <c r="AC103" s="300"/>
      <c r="AD103" s="300"/>
      <c r="AE103" s="123"/>
    </row>
    <row r="104" spans="2:31" ht="12.75" customHeight="1" x14ac:dyDescent="0.25">
      <c r="B104" s="42"/>
      <c r="D104" s="182"/>
      <c r="E104" s="293"/>
      <c r="F104" s="293"/>
      <c r="G104" s="294"/>
      <c r="H104" s="295"/>
      <c r="I104" s="295"/>
      <c r="J104" s="295"/>
      <c r="K104" s="118"/>
      <c r="L104" s="295"/>
      <c r="M104" s="295"/>
      <c r="N104" s="295"/>
      <c r="O104" s="296"/>
      <c r="P104" s="296"/>
      <c r="Q104" s="296"/>
      <c r="R104" s="295"/>
      <c r="S104" s="295"/>
      <c r="T104" s="295"/>
      <c r="U104" s="295"/>
      <c r="V104" s="295"/>
      <c r="W104" s="295"/>
      <c r="X104" s="295"/>
      <c r="Y104" s="186"/>
      <c r="Z104" s="186"/>
      <c r="AA104" s="186"/>
      <c r="AB104" s="123"/>
      <c r="AC104" s="123"/>
      <c r="AD104" s="123"/>
      <c r="AE104" s="123"/>
    </row>
    <row r="105" spans="2:31" ht="12.75" customHeight="1" x14ac:dyDescent="0.25">
      <c r="B105" s="42"/>
      <c r="D105" s="280" t="s">
        <v>27</v>
      </c>
      <c r="E105" s="339"/>
      <c r="F105" s="339"/>
      <c r="G105" s="340" t="s">
        <v>32</v>
      </c>
      <c r="H105" s="341"/>
      <c r="I105" s="341"/>
      <c r="J105" s="341"/>
      <c r="K105" s="92"/>
      <c r="L105" s="340"/>
      <c r="M105" s="340"/>
      <c r="N105" s="340"/>
      <c r="O105" s="340"/>
      <c r="P105" s="340"/>
      <c r="Q105" s="340"/>
      <c r="R105" s="166"/>
      <c r="S105" s="166"/>
      <c r="T105" s="340"/>
      <c r="U105" s="166"/>
      <c r="V105" s="166"/>
      <c r="W105" s="340"/>
      <c r="X105" s="298"/>
      <c r="Y105" s="342"/>
      <c r="Z105" s="342"/>
      <c r="AA105" s="342"/>
      <c r="AB105" s="298"/>
      <c r="AC105" s="298"/>
      <c r="AD105" s="298"/>
      <c r="AE105" s="123"/>
    </row>
    <row r="106" spans="2:31" ht="12.75" customHeight="1" x14ac:dyDescent="0.25">
      <c r="B106" s="42"/>
      <c r="D106" s="283" t="s">
        <v>29</v>
      </c>
      <c r="E106" s="351"/>
      <c r="F106" s="351"/>
      <c r="G106" s="352" t="s">
        <v>32</v>
      </c>
      <c r="H106" s="353"/>
      <c r="I106" s="353"/>
      <c r="J106" s="353"/>
      <c r="K106" s="86"/>
      <c r="L106" s="353"/>
      <c r="M106" s="353"/>
      <c r="N106" s="353"/>
      <c r="O106" s="354"/>
      <c r="P106" s="354"/>
      <c r="Q106" s="354"/>
      <c r="R106" s="186"/>
      <c r="S106" s="186"/>
      <c r="T106" s="186"/>
      <c r="U106" s="186"/>
      <c r="V106" s="186"/>
      <c r="W106" s="353"/>
      <c r="X106" s="305"/>
      <c r="Y106" s="186"/>
      <c r="Z106" s="186"/>
      <c r="AA106" s="186"/>
      <c r="AB106" s="305"/>
      <c r="AC106" s="305"/>
      <c r="AD106" s="305"/>
      <c r="AE106" s="123"/>
    </row>
    <row r="107" spans="2:31" ht="12.75" customHeight="1" x14ac:dyDescent="0.25">
      <c r="B107" s="42"/>
      <c r="D107" s="164"/>
      <c r="E107" s="165"/>
      <c r="F107" s="165"/>
      <c r="G107" s="166"/>
      <c r="H107" s="167"/>
      <c r="I107" s="167"/>
      <c r="J107" s="167"/>
      <c r="K107" s="97"/>
      <c r="L107" s="167"/>
      <c r="M107" s="167"/>
      <c r="N107" s="167"/>
      <c r="O107" s="297"/>
      <c r="P107" s="297"/>
      <c r="Q107" s="29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47"/>
      <c r="AB107" s="123"/>
      <c r="AC107" s="123"/>
      <c r="AD107" s="123"/>
      <c r="AE107" s="123"/>
    </row>
    <row r="108" spans="2:31" ht="12.75" customHeight="1" x14ac:dyDescent="0.25">
      <c r="B108" s="42"/>
      <c r="D108" s="280" t="s">
        <v>27</v>
      </c>
      <c r="E108" s="339"/>
      <c r="F108" s="339"/>
      <c r="G108" s="340" t="s">
        <v>33</v>
      </c>
      <c r="H108" s="341"/>
      <c r="I108" s="341"/>
      <c r="J108" s="341"/>
      <c r="K108" s="92"/>
      <c r="L108" s="340"/>
      <c r="M108" s="340"/>
      <c r="N108" s="340"/>
      <c r="O108" s="340"/>
      <c r="P108" s="340"/>
      <c r="Q108" s="340"/>
      <c r="R108" s="166"/>
      <c r="S108" s="166"/>
      <c r="T108" s="340"/>
      <c r="U108" s="166"/>
      <c r="V108" s="166"/>
      <c r="W108" s="340"/>
      <c r="X108" s="298"/>
      <c r="Y108" s="342"/>
      <c r="Z108" s="342"/>
      <c r="AA108" s="342"/>
      <c r="AB108" s="298"/>
      <c r="AC108" s="298"/>
      <c r="AD108" s="123"/>
      <c r="AE108" s="123"/>
    </row>
    <row r="109" spans="2:31" ht="12.75" customHeight="1" x14ac:dyDescent="0.25">
      <c r="B109" s="42"/>
      <c r="D109" s="281" t="s">
        <v>28</v>
      </c>
      <c r="E109" s="343"/>
      <c r="F109" s="343"/>
      <c r="G109" s="344" t="s">
        <v>33</v>
      </c>
      <c r="H109" s="345"/>
      <c r="I109" s="345"/>
      <c r="J109" s="345"/>
      <c r="K109" s="94"/>
      <c r="L109" s="345"/>
      <c r="M109" s="345"/>
      <c r="N109" s="345"/>
      <c r="O109" s="346"/>
      <c r="P109" s="346"/>
      <c r="Q109" s="346"/>
      <c r="R109" s="83"/>
      <c r="S109" s="83"/>
      <c r="T109" s="345"/>
      <c r="U109" s="83"/>
      <c r="V109" s="83"/>
      <c r="W109" s="345"/>
      <c r="X109" s="83"/>
      <c r="Y109" s="302"/>
      <c r="Z109" s="302"/>
      <c r="AA109" s="302"/>
      <c r="AB109" s="302"/>
      <c r="AC109" s="302"/>
      <c r="AD109" s="302"/>
      <c r="AE109" s="123"/>
    </row>
    <row r="110" spans="2:31" ht="12.75" customHeight="1" x14ac:dyDescent="0.25">
      <c r="B110" s="42"/>
      <c r="D110" s="282" t="s">
        <v>72</v>
      </c>
      <c r="E110" s="347"/>
      <c r="F110" s="347"/>
      <c r="G110" s="348" t="s">
        <v>33</v>
      </c>
      <c r="H110" s="349"/>
      <c r="I110" s="349"/>
      <c r="J110" s="349"/>
      <c r="K110" s="111"/>
      <c r="L110" s="349"/>
      <c r="M110" s="349"/>
      <c r="N110" s="349"/>
      <c r="O110" s="350"/>
      <c r="P110" s="350"/>
      <c r="Q110" s="350"/>
      <c r="R110" s="323"/>
      <c r="S110" s="323"/>
      <c r="T110" s="323"/>
      <c r="U110" s="323"/>
      <c r="V110" s="323"/>
      <c r="W110" s="349"/>
      <c r="X110" s="323"/>
      <c r="Y110" s="323"/>
      <c r="Z110" s="323"/>
      <c r="AA110" s="323"/>
      <c r="AB110" s="324"/>
      <c r="AC110" s="324"/>
      <c r="AD110" s="324"/>
      <c r="AE110" s="123"/>
    </row>
    <row r="111" spans="2:31" ht="12.75" customHeight="1" x14ac:dyDescent="0.25">
      <c r="B111" s="42"/>
      <c r="D111" s="283" t="s">
        <v>29</v>
      </c>
      <c r="E111" s="351"/>
      <c r="F111" s="351"/>
      <c r="G111" s="352" t="s">
        <v>33</v>
      </c>
      <c r="H111" s="353"/>
      <c r="I111" s="353"/>
      <c r="J111" s="353"/>
      <c r="K111" s="86"/>
      <c r="L111" s="353"/>
      <c r="M111" s="353"/>
      <c r="N111" s="353"/>
      <c r="O111" s="354"/>
      <c r="P111" s="354"/>
      <c r="Q111" s="354"/>
      <c r="R111" s="186"/>
      <c r="S111" s="186"/>
      <c r="T111" s="186"/>
      <c r="U111" s="186"/>
      <c r="V111" s="186"/>
      <c r="W111" s="353"/>
      <c r="X111" s="186"/>
      <c r="Y111" s="305"/>
      <c r="Z111" s="305"/>
      <c r="AA111" s="305"/>
      <c r="AB111" s="305"/>
      <c r="AC111" s="305"/>
      <c r="AD111" s="305"/>
      <c r="AE111" s="123"/>
    </row>
    <row r="112" spans="2:31" ht="12.75" customHeight="1" x14ac:dyDescent="0.25">
      <c r="B112" s="42"/>
      <c r="D112" s="164"/>
      <c r="E112" s="165"/>
      <c r="F112" s="165"/>
      <c r="G112" s="166"/>
      <c r="H112" s="167"/>
      <c r="I112" s="167"/>
      <c r="J112" s="167"/>
      <c r="K112" s="97"/>
      <c r="L112" s="167"/>
      <c r="M112" s="167"/>
      <c r="N112" s="167"/>
      <c r="O112" s="297"/>
      <c r="P112" s="297"/>
      <c r="Q112" s="297"/>
      <c r="R112" s="167"/>
      <c r="S112" s="167"/>
      <c r="T112" s="167"/>
      <c r="U112" s="167"/>
      <c r="V112" s="167"/>
      <c r="W112" s="167"/>
      <c r="X112" s="167"/>
      <c r="Y112" s="123"/>
      <c r="Z112" s="123"/>
      <c r="AA112" s="123"/>
      <c r="AB112" s="123"/>
      <c r="AC112" s="123"/>
      <c r="AD112" s="123"/>
      <c r="AE112" s="123"/>
    </row>
    <row r="113" spans="2:31" ht="12.75" customHeight="1" x14ac:dyDescent="0.25">
      <c r="B113" s="42"/>
      <c r="D113" s="286" t="s">
        <v>30</v>
      </c>
      <c r="E113" s="364"/>
      <c r="F113" s="364"/>
      <c r="G113" s="365" t="s">
        <v>34</v>
      </c>
      <c r="H113" s="366"/>
      <c r="I113" s="366"/>
      <c r="J113" s="366"/>
      <c r="K113" s="121"/>
      <c r="L113" s="367"/>
      <c r="M113" s="367"/>
      <c r="N113" s="367"/>
      <c r="O113" s="368"/>
      <c r="P113" s="368"/>
      <c r="Q113" s="368"/>
      <c r="R113" s="367"/>
      <c r="S113" s="367"/>
      <c r="T113" s="367"/>
      <c r="U113" s="367"/>
      <c r="V113" s="367"/>
      <c r="W113" s="367"/>
      <c r="X113" s="366"/>
      <c r="Y113" s="369"/>
      <c r="Z113" s="369"/>
      <c r="AA113" s="369"/>
      <c r="AB113" s="369"/>
      <c r="AC113" s="369"/>
      <c r="AD113" s="370"/>
      <c r="AE113" s="123"/>
    </row>
    <row r="114" spans="2:31" ht="12.75" customHeight="1" x14ac:dyDescent="0.25">
      <c r="B114" s="42"/>
      <c r="D114" s="182"/>
      <c r="E114" s="293"/>
      <c r="F114" s="293"/>
      <c r="G114" s="294"/>
      <c r="H114" s="295"/>
      <c r="I114" s="295"/>
      <c r="J114" s="295"/>
      <c r="K114" s="118"/>
      <c r="L114" s="295"/>
      <c r="M114" s="295"/>
      <c r="N114" s="295"/>
      <c r="O114" s="297"/>
      <c r="P114" s="297"/>
      <c r="Q114" s="297"/>
      <c r="R114" s="295"/>
      <c r="S114" s="295"/>
      <c r="T114" s="295"/>
      <c r="U114" s="295"/>
      <c r="V114" s="295"/>
      <c r="W114" s="295"/>
      <c r="X114" s="295"/>
      <c r="Y114" s="123"/>
      <c r="Z114" s="123"/>
      <c r="AA114" s="123"/>
      <c r="AB114" s="123"/>
      <c r="AC114" s="123"/>
      <c r="AD114" s="123"/>
      <c r="AE114" s="123"/>
    </row>
    <row r="115" spans="2:31" ht="12.75" customHeight="1" x14ac:dyDescent="0.25">
      <c r="B115" s="42"/>
      <c r="D115" s="286" t="s">
        <v>30</v>
      </c>
      <c r="E115" s="364"/>
      <c r="F115" s="364"/>
      <c r="G115" s="365" t="s">
        <v>34</v>
      </c>
      <c r="H115" s="366"/>
      <c r="I115" s="366"/>
      <c r="J115" s="366"/>
      <c r="K115" s="121"/>
      <c r="L115" s="367"/>
      <c r="M115" s="367"/>
      <c r="N115" s="367"/>
      <c r="O115" s="368"/>
      <c r="P115" s="368"/>
      <c r="Q115" s="368"/>
      <c r="R115" s="367"/>
      <c r="S115" s="367"/>
      <c r="T115" s="367"/>
      <c r="U115" s="367"/>
      <c r="V115" s="367"/>
      <c r="W115" s="367"/>
      <c r="X115" s="366"/>
      <c r="Y115" s="369"/>
      <c r="Z115" s="369"/>
      <c r="AA115" s="369"/>
      <c r="AB115" s="369"/>
      <c r="AC115" s="369"/>
      <c r="AD115" s="370"/>
      <c r="AE115" s="123"/>
    </row>
    <row r="116" spans="2:31" ht="12.75" customHeight="1" x14ac:dyDescent="0.25">
      <c r="B116" s="42"/>
      <c r="D116" s="182"/>
      <c r="E116" s="293"/>
      <c r="F116" s="293"/>
      <c r="G116" s="294"/>
      <c r="H116" s="295"/>
      <c r="I116" s="295"/>
      <c r="J116" s="295"/>
      <c r="K116" s="118"/>
      <c r="L116" s="295"/>
      <c r="M116" s="295"/>
      <c r="N116" s="295"/>
      <c r="O116" s="296"/>
      <c r="P116" s="296"/>
      <c r="Q116" s="296"/>
      <c r="R116" s="295"/>
      <c r="S116" s="295"/>
      <c r="T116" s="295"/>
      <c r="U116" s="295"/>
      <c r="V116" s="295"/>
      <c r="W116" s="295"/>
      <c r="X116" s="295"/>
      <c r="Y116" s="123"/>
      <c r="Z116" s="123"/>
      <c r="AA116" s="123"/>
      <c r="AB116" s="123"/>
      <c r="AC116" s="123"/>
      <c r="AD116" s="123"/>
      <c r="AE116" s="123"/>
    </row>
    <row r="117" spans="2:31" ht="12.75" customHeight="1" x14ac:dyDescent="0.25">
      <c r="B117" s="42"/>
      <c r="D117" s="280" t="s">
        <v>27</v>
      </c>
      <c r="E117" s="339"/>
      <c r="F117" s="339"/>
      <c r="G117" s="340" t="s">
        <v>32</v>
      </c>
      <c r="H117" s="341"/>
      <c r="I117" s="341"/>
      <c r="J117" s="341"/>
      <c r="K117" s="92"/>
      <c r="L117" s="340"/>
      <c r="M117" s="340"/>
      <c r="N117" s="340"/>
      <c r="O117" s="340"/>
      <c r="P117" s="340"/>
      <c r="Q117" s="340"/>
      <c r="R117" s="166"/>
      <c r="S117" s="166"/>
      <c r="T117" s="340"/>
      <c r="U117" s="166"/>
      <c r="V117" s="166"/>
      <c r="W117" s="340"/>
      <c r="X117" s="298"/>
      <c r="Y117" s="342"/>
      <c r="Z117" s="342"/>
      <c r="AA117" s="342"/>
      <c r="AB117" s="298"/>
      <c r="AC117" s="298"/>
      <c r="AD117" s="298"/>
      <c r="AE117" s="123"/>
    </row>
    <row r="118" spans="2:31" ht="12.75" customHeight="1" x14ac:dyDescent="0.25">
      <c r="B118" s="42"/>
      <c r="D118" s="283" t="s">
        <v>29</v>
      </c>
      <c r="E118" s="351"/>
      <c r="F118" s="351"/>
      <c r="G118" s="352" t="s">
        <v>32</v>
      </c>
      <c r="H118" s="353"/>
      <c r="I118" s="353"/>
      <c r="J118" s="353"/>
      <c r="K118" s="86"/>
      <c r="L118" s="353"/>
      <c r="M118" s="353"/>
      <c r="N118" s="353"/>
      <c r="O118" s="354"/>
      <c r="P118" s="354"/>
      <c r="Q118" s="354"/>
      <c r="R118" s="186"/>
      <c r="S118" s="186"/>
      <c r="T118" s="186"/>
      <c r="U118" s="186"/>
      <c r="V118" s="186"/>
      <c r="W118" s="353"/>
      <c r="X118" s="305"/>
      <c r="Y118" s="186"/>
      <c r="Z118" s="186"/>
      <c r="AA118" s="186"/>
      <c r="AB118" s="305"/>
      <c r="AC118" s="305"/>
      <c r="AD118" s="305"/>
      <c r="AE118" s="123"/>
    </row>
    <row r="119" spans="2:31" ht="12.75" customHeight="1" x14ac:dyDescent="0.25">
      <c r="B119" s="42"/>
      <c r="D119" s="281" t="s">
        <v>28</v>
      </c>
      <c r="E119" s="343"/>
      <c r="F119" s="343"/>
      <c r="G119" s="344" t="s">
        <v>32</v>
      </c>
      <c r="H119" s="345"/>
      <c r="I119" s="345"/>
      <c r="J119" s="345"/>
      <c r="K119" s="94"/>
      <c r="L119" s="345"/>
      <c r="M119" s="345"/>
      <c r="N119" s="345"/>
      <c r="O119" s="346"/>
      <c r="P119" s="346"/>
      <c r="Q119" s="346"/>
      <c r="R119" s="83"/>
      <c r="S119" s="83"/>
      <c r="T119" s="345"/>
      <c r="U119" s="83"/>
      <c r="V119" s="83"/>
      <c r="W119" s="345"/>
      <c r="X119" s="83"/>
      <c r="Y119" s="302"/>
      <c r="Z119" s="302"/>
      <c r="AA119" s="302"/>
      <c r="AB119" s="302"/>
      <c r="AC119" s="302"/>
      <c r="AD119" s="302"/>
      <c r="AE119" s="302"/>
    </row>
    <row r="120" spans="2:31" ht="12.75" customHeight="1" x14ac:dyDescent="0.25">
      <c r="B120" s="42"/>
      <c r="D120" s="242"/>
      <c r="E120" s="141"/>
      <c r="F120" s="141"/>
      <c r="G120" s="142"/>
      <c r="H120" s="229"/>
      <c r="I120" s="229"/>
      <c r="J120" s="229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2:31" ht="12.75" customHeight="1" x14ac:dyDescent="0.25">
      <c r="B121" s="42"/>
      <c r="D121" s="280" t="s">
        <v>27</v>
      </c>
      <c r="E121" s="339"/>
      <c r="F121" s="339"/>
      <c r="G121" s="340" t="s">
        <v>33</v>
      </c>
      <c r="H121" s="341"/>
      <c r="I121" s="341"/>
      <c r="J121" s="341"/>
      <c r="K121" s="92"/>
      <c r="L121" s="340"/>
      <c r="M121" s="340"/>
      <c r="N121" s="340"/>
      <c r="O121" s="340"/>
      <c r="P121" s="340"/>
      <c r="Q121" s="340"/>
      <c r="R121" s="166"/>
      <c r="S121" s="166"/>
      <c r="T121" s="340"/>
      <c r="U121" s="166"/>
      <c r="V121" s="166"/>
      <c r="W121" s="340"/>
      <c r="X121" s="298"/>
      <c r="Y121" s="342"/>
      <c r="Z121" s="342"/>
      <c r="AA121" s="342"/>
      <c r="AB121" s="298"/>
      <c r="AC121" s="298"/>
      <c r="AD121" s="298"/>
      <c r="AE121" s="123"/>
    </row>
    <row r="122" spans="2:31" ht="12.75" customHeight="1" x14ac:dyDescent="0.25">
      <c r="B122" s="42"/>
      <c r="D122" s="283" t="s">
        <v>29</v>
      </c>
      <c r="E122" s="351"/>
      <c r="F122" s="351"/>
      <c r="G122" s="352" t="s">
        <v>33</v>
      </c>
      <c r="H122" s="353"/>
      <c r="I122" s="353"/>
      <c r="J122" s="353"/>
      <c r="K122" s="86"/>
      <c r="L122" s="353"/>
      <c r="M122" s="353"/>
      <c r="N122" s="353"/>
      <c r="O122" s="354"/>
      <c r="P122" s="354"/>
      <c r="Q122" s="354"/>
      <c r="R122" s="186"/>
      <c r="S122" s="186"/>
      <c r="T122" s="186"/>
      <c r="U122" s="186"/>
      <c r="V122" s="186"/>
      <c r="W122" s="353"/>
      <c r="X122" s="186"/>
      <c r="Y122" s="305"/>
      <c r="Z122" s="305"/>
      <c r="AA122" s="305"/>
      <c r="AB122" s="305"/>
      <c r="AC122" s="305"/>
      <c r="AD122" s="305"/>
      <c r="AE122" s="123"/>
    </row>
    <row r="123" spans="2:31" ht="12.75" customHeight="1" x14ac:dyDescent="0.25">
      <c r="B123" s="42"/>
      <c r="D123" s="242"/>
      <c r="E123" s="141"/>
      <c r="F123" s="141"/>
      <c r="G123" s="142"/>
      <c r="H123" s="229"/>
      <c r="I123" s="229"/>
      <c r="J123" s="229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2:31" ht="12.75" customHeight="1" x14ac:dyDescent="0.25">
      <c r="B124" s="42"/>
      <c r="D124" s="287"/>
      <c r="E124" s="371"/>
      <c r="F124" s="371"/>
      <c r="G124" s="372"/>
      <c r="H124" s="373"/>
      <c r="I124" s="373"/>
      <c r="J124" s="373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3"/>
    </row>
    <row r="125" spans="2:31" ht="12.75" customHeight="1" x14ac:dyDescent="0.25">
      <c r="B125" s="42"/>
      <c r="D125" s="242"/>
      <c r="E125" s="141"/>
      <c r="F125" s="141"/>
      <c r="G125" s="142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2:31" ht="12.75" customHeight="1" x14ac:dyDescent="0.25">
      <c r="B126" s="42"/>
      <c r="D126" s="242"/>
      <c r="E126" s="141"/>
      <c r="F126" s="141"/>
      <c r="G126" s="142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2:31" ht="12.75" customHeight="1" x14ac:dyDescent="0.25">
      <c r="B127" s="42"/>
      <c r="D127" s="242"/>
      <c r="E127" s="141"/>
      <c r="F127" s="141"/>
      <c r="G127" s="142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2:31" ht="12.75" customHeight="1" x14ac:dyDescent="0.25">
      <c r="B128" s="42"/>
      <c r="D128" s="242"/>
      <c r="E128" s="141"/>
      <c r="F128" s="141"/>
      <c r="G128" s="142"/>
      <c r="H128" s="123" t="str">
        <f t="shared" ref="H128:H130" si="3">IF(E128&lt;&gt;"",F128-E128,"")</f>
        <v/>
      </c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</row>
    <row r="129" spans="2:31" ht="12.75" customHeight="1" thickBot="1" x14ac:dyDescent="0.3">
      <c r="B129" s="43"/>
      <c r="D129" s="243"/>
      <c r="E129" s="199"/>
      <c r="F129" s="200"/>
      <c r="G129" s="201"/>
      <c r="H129" s="201" t="str">
        <f t="shared" si="3"/>
        <v/>
      </c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</row>
    <row r="130" spans="2:31" ht="12.75" customHeight="1" thickBot="1" x14ac:dyDescent="0.3">
      <c r="D130" s="243"/>
      <c r="E130" s="203"/>
      <c r="F130" s="203"/>
      <c r="G130" s="201"/>
      <c r="H130" s="128" t="str">
        <f t="shared" si="3"/>
        <v/>
      </c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</row>
    <row r="131" spans="2:31" ht="12.75" customHeight="1" thickBot="1" x14ac:dyDescent="0.3">
      <c r="B131" s="6" t="s">
        <v>17</v>
      </c>
      <c r="D131" s="444" t="s">
        <v>86</v>
      </c>
      <c r="E131" s="445"/>
      <c r="F131" s="445"/>
      <c r="G131" s="445"/>
      <c r="H131" s="445"/>
      <c r="I131" s="445"/>
      <c r="J131" s="446"/>
      <c r="K131" s="374"/>
      <c r="L131" s="136">
        <f>SUM(L28:L130)</f>
        <v>682.34807407407447</v>
      </c>
      <c r="M131" s="136"/>
      <c r="N131" s="136">
        <f>SUM(N28:N130)</f>
        <v>6.0381737777777769</v>
      </c>
      <c r="O131" s="136">
        <f>SUM(O28:O130)</f>
        <v>1754.6093333333342</v>
      </c>
      <c r="P131" s="136"/>
      <c r="Q131" s="136"/>
      <c r="R131" s="136">
        <f t="shared" ref="R131:AD131" si="4">SUM(R28:R130)</f>
        <v>16374.419555555547</v>
      </c>
      <c r="S131" s="136"/>
      <c r="T131" s="136">
        <f t="shared" si="4"/>
        <v>1763.4074814814815</v>
      </c>
      <c r="U131" s="136">
        <f t="shared" si="4"/>
        <v>0</v>
      </c>
      <c r="V131" s="136">
        <f t="shared" si="4"/>
        <v>1578.4055185185182</v>
      </c>
      <c r="W131" s="136">
        <f t="shared" si="4"/>
        <v>2885.8738888888884</v>
      </c>
      <c r="X131" s="136">
        <f t="shared" si="4"/>
        <v>0</v>
      </c>
      <c r="Y131" s="136">
        <f t="shared" si="4"/>
        <v>1856.0314800000003</v>
      </c>
      <c r="Z131" s="136">
        <f t="shared" si="4"/>
        <v>1001.9030324074073</v>
      </c>
      <c r="AA131" s="136">
        <f t="shared" si="4"/>
        <v>1168.8868711419755</v>
      </c>
      <c r="AB131" s="136">
        <f t="shared" si="4"/>
        <v>208.67950000000002</v>
      </c>
      <c r="AC131" s="136">
        <f t="shared" si="4"/>
        <v>347.79916666666668</v>
      </c>
      <c r="AD131" s="136">
        <f t="shared" si="4"/>
        <v>0</v>
      </c>
      <c r="AE131" s="134" t="str">
        <f>IF(AE10="","",IF(AE27="",IF(SUM(COUNTIF(AE28:AE129,"LS")+COUNTIF(AE28:AE129,"LUMP"))&gt;0,"LS",""),IF(AE130&lt;&gt;"",ROUNDUP(AE130,0),"")))</f>
        <v/>
      </c>
    </row>
  </sheetData>
  <mergeCells count="31">
    <mergeCell ref="AB15:AB26"/>
    <mergeCell ref="AC15:AC26"/>
    <mergeCell ref="AD15:AD26"/>
    <mergeCell ref="S15:S26"/>
    <mergeCell ref="T15:T26"/>
    <mergeCell ref="U15:U26"/>
    <mergeCell ref="V15:V26"/>
    <mergeCell ref="W15:W26"/>
    <mergeCell ref="X15:X26"/>
    <mergeCell ref="E29:F29"/>
    <mergeCell ref="D131:J131"/>
    <mergeCell ref="Y15:Y26"/>
    <mergeCell ref="Z15:Z26"/>
    <mergeCell ref="AA15:AA26"/>
    <mergeCell ref="M15:M26"/>
    <mergeCell ref="E9:AE9"/>
    <mergeCell ref="B14:B27"/>
    <mergeCell ref="D14:D27"/>
    <mergeCell ref="E14:F26"/>
    <mergeCell ref="G14:G27"/>
    <mergeCell ref="H14:H26"/>
    <mergeCell ref="I14:I26"/>
    <mergeCell ref="J14:J26"/>
    <mergeCell ref="K15:K26"/>
    <mergeCell ref="L15:L26"/>
    <mergeCell ref="N15:N26"/>
    <mergeCell ref="O15:O26"/>
    <mergeCell ref="P15:P26"/>
    <mergeCell ref="Q15:Q26"/>
    <mergeCell ref="R15:R26"/>
    <mergeCell ref="AE15:AE26"/>
  </mergeCells>
  <printOptions verticalCentered="1"/>
  <pageMargins left="0.25" right="0.25" top="0.75" bottom="0.75" header="0.3" footer="0.3"/>
  <pageSetup scale="31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31"/>
  <sheetViews>
    <sheetView showGridLines="0" topLeftCell="D1" zoomScale="90" zoomScaleNormal="90" workbookViewId="0">
      <selection activeCell="J35" sqref="J35"/>
    </sheetView>
  </sheetViews>
  <sheetFormatPr defaultColWidth="9.109375" defaultRowHeight="12.75" customHeight="1" x14ac:dyDescent="0.25"/>
  <cols>
    <col min="1" max="1" width="2.5546875" style="6" customWidth="1"/>
    <col min="2" max="2" width="9.109375" style="6"/>
    <col min="3" max="3" width="2.6640625" style="6" customWidth="1"/>
    <col min="4" max="4" width="31.33203125" style="6" customWidth="1"/>
    <col min="5" max="6" width="15.44140625" style="6" customWidth="1"/>
    <col min="7" max="7" width="8.6640625" style="6" customWidth="1"/>
    <col min="8" max="8" width="9.6640625" style="8" customWidth="1"/>
    <col min="9" max="10" width="9.109375" style="6" customWidth="1"/>
    <col min="11" max="29" width="9.6640625" style="6" customWidth="1"/>
    <col min="30" max="30" width="2.6640625" style="6" customWidth="1"/>
    <col min="31" max="16384" width="9.109375" style="6"/>
  </cols>
  <sheetData>
    <row r="1" spans="1:37" ht="12.75" customHeight="1" x14ac:dyDescent="0.25">
      <c r="A1" s="6">
        <v>1</v>
      </c>
      <c r="E1" s="3"/>
      <c r="F1" s="4" t="s">
        <v>11</v>
      </c>
      <c r="G1" s="3" t="s">
        <v>18</v>
      </c>
      <c r="H1" s="2"/>
      <c r="I1" s="2"/>
      <c r="J1" s="34"/>
      <c r="K1" s="2"/>
      <c r="L1" s="2"/>
      <c r="M1" s="2"/>
      <c r="N1" s="34"/>
      <c r="O1" s="34"/>
      <c r="P1" s="34"/>
      <c r="Q1" s="34"/>
      <c r="R1" s="34"/>
      <c r="S1" s="34"/>
      <c r="T1" s="34"/>
      <c r="U1" s="34"/>
      <c r="V1" s="2"/>
      <c r="W1" s="2"/>
      <c r="X1" s="2"/>
      <c r="Y1" s="2"/>
      <c r="Z1" s="2"/>
      <c r="AA1" s="2"/>
      <c r="AB1" s="35"/>
      <c r="AC1" s="35"/>
    </row>
    <row r="2" spans="1:37" ht="12.75" customHeight="1" x14ac:dyDescent="0.25">
      <c r="E2" s="3"/>
      <c r="F2" s="4" t="s">
        <v>10</v>
      </c>
      <c r="G2" s="3" t="s">
        <v>19</v>
      </c>
      <c r="H2" s="2"/>
      <c r="I2" s="2"/>
      <c r="J2" s="34"/>
      <c r="K2" s="2"/>
      <c r="L2" s="2"/>
      <c r="M2" s="2"/>
      <c r="N2" s="34"/>
      <c r="O2" s="34"/>
      <c r="P2" s="34"/>
      <c r="Q2" s="34"/>
      <c r="R2" s="34"/>
      <c r="S2" s="34"/>
      <c r="T2" s="34"/>
      <c r="U2" s="34"/>
      <c r="V2" s="2"/>
      <c r="W2" s="2"/>
      <c r="X2" s="2"/>
      <c r="Y2" s="2"/>
      <c r="Z2" s="2"/>
      <c r="AA2" s="2"/>
      <c r="AB2" s="35"/>
      <c r="AC2" s="35"/>
    </row>
    <row r="3" spans="1:37" ht="12.75" customHeight="1" x14ac:dyDescent="0.25">
      <c r="E3" s="3"/>
      <c r="F3" s="4"/>
      <c r="G3" s="3" t="s">
        <v>20</v>
      </c>
      <c r="H3" s="2"/>
      <c r="I3" s="2"/>
      <c r="J3" s="3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35"/>
      <c r="AC3" s="35"/>
    </row>
    <row r="4" spans="1:37" ht="12.75" customHeight="1" x14ac:dyDescent="0.25">
      <c r="E4" s="3"/>
      <c r="F4" s="5"/>
      <c r="G4" s="3" t="s">
        <v>21</v>
      </c>
      <c r="H4" s="2"/>
      <c r="I4" s="2"/>
      <c r="J4" s="3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35"/>
      <c r="AC4" s="35"/>
    </row>
    <row r="5" spans="1:37" ht="12.75" customHeight="1" x14ac:dyDescent="0.25">
      <c r="E5" s="3"/>
      <c r="F5" s="5"/>
      <c r="G5" s="3"/>
      <c r="H5" s="2"/>
      <c r="I5" s="2"/>
      <c r="J5" s="3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  <c r="AA5" s="2"/>
      <c r="AB5" s="35"/>
      <c r="AC5" s="35"/>
    </row>
    <row r="6" spans="1:37" ht="12.75" customHeight="1" x14ac:dyDescent="0.25">
      <c r="E6" s="3"/>
      <c r="F6" s="5"/>
      <c r="G6" s="3"/>
      <c r="H6" s="2"/>
      <c r="I6" s="2"/>
      <c r="J6" s="3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2"/>
      <c r="W6" s="2"/>
      <c r="X6" s="2"/>
      <c r="Y6" s="2"/>
      <c r="Z6" s="2"/>
      <c r="AA6" s="2"/>
      <c r="AB6" s="35"/>
      <c r="AC6" s="35"/>
    </row>
    <row r="7" spans="1:37" ht="12.75" customHeight="1" x14ac:dyDescent="0.25">
      <c r="E7" s="3"/>
      <c r="F7" s="5"/>
      <c r="G7" s="7"/>
      <c r="H7" s="2"/>
      <c r="I7" s="2"/>
      <c r="J7" s="3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2"/>
      <c r="W7" s="2"/>
      <c r="X7" s="2"/>
      <c r="Y7" s="2"/>
      <c r="Z7" s="2"/>
      <c r="AA7" s="2"/>
      <c r="AB7" s="35"/>
      <c r="AC7" s="35"/>
    </row>
    <row r="8" spans="1:37" ht="12.75" customHeight="1" thickBot="1" x14ac:dyDescent="0.3"/>
    <row r="9" spans="1:37" ht="12.75" customHeight="1" thickBot="1" x14ac:dyDescent="0.3">
      <c r="B9" s="39" t="s">
        <v>15</v>
      </c>
      <c r="E9" s="449">
        <f>AE9</f>
        <v>1</v>
      </c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E9" s="36">
        <v>1</v>
      </c>
      <c r="AF9" s="37" t="s">
        <v>12</v>
      </c>
      <c r="AG9" s="10"/>
      <c r="AH9" s="10"/>
      <c r="AI9" s="10"/>
      <c r="AJ9" s="10"/>
      <c r="AK9" s="10"/>
    </row>
    <row r="10" spans="1:37" ht="12.75" customHeight="1" thickBot="1" x14ac:dyDescent="0.3">
      <c r="B10" s="40">
        <v>47</v>
      </c>
      <c r="E10" s="9"/>
      <c r="F10" s="9"/>
      <c r="G10" s="9"/>
      <c r="H10" s="10"/>
      <c r="I10" s="10"/>
      <c r="J10" s="11" t="s">
        <v>13</v>
      </c>
      <c r="K10" s="38" t="s">
        <v>36</v>
      </c>
      <c r="L10" s="38" t="s">
        <v>37</v>
      </c>
      <c r="M10" s="38" t="s">
        <v>38</v>
      </c>
      <c r="N10" s="38" t="s">
        <v>39</v>
      </c>
      <c r="O10" s="38" t="s">
        <v>40</v>
      </c>
      <c r="P10" s="38" t="s">
        <v>41</v>
      </c>
      <c r="Q10" s="38" t="s">
        <v>42</v>
      </c>
      <c r="R10" s="38" t="s">
        <v>56</v>
      </c>
      <c r="S10" s="38" t="s">
        <v>65</v>
      </c>
      <c r="T10" s="38" t="s">
        <v>67</v>
      </c>
      <c r="U10" s="38" t="s">
        <v>53</v>
      </c>
      <c r="V10" s="38" t="s">
        <v>46</v>
      </c>
      <c r="W10" s="38" t="s">
        <v>54</v>
      </c>
      <c r="X10" s="38"/>
      <c r="Y10" s="38"/>
      <c r="Z10" s="38"/>
      <c r="AA10" s="38"/>
      <c r="AB10" s="38"/>
      <c r="AC10" s="38"/>
    </row>
    <row r="11" spans="1:37" ht="12.75" customHeight="1" x14ac:dyDescent="0.25">
      <c r="E11" s="9"/>
      <c r="F11" s="9"/>
      <c r="G11" s="9"/>
      <c r="H11" s="10"/>
      <c r="I11" s="10"/>
      <c r="J11" s="11" t="s">
        <v>14</v>
      </c>
      <c r="K11" s="58"/>
      <c r="L11" s="58" t="s">
        <v>44</v>
      </c>
      <c r="M11" s="58"/>
      <c r="N11" s="58"/>
      <c r="O11" s="58"/>
      <c r="P11" s="58"/>
      <c r="Q11" s="58"/>
      <c r="R11" s="58" t="s">
        <v>45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7" ht="12.75" customHeight="1" x14ac:dyDescent="0.25">
      <c r="E12" s="10"/>
      <c r="F12" s="1"/>
      <c r="G12" s="10"/>
      <c r="H12" s="9"/>
      <c r="I12" s="10"/>
      <c r="J12" s="11" t="s">
        <v>7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37" ht="12.75" customHeight="1" thickBot="1" x14ac:dyDescent="0.3">
      <c r="E13" s="10"/>
      <c r="F13" s="1"/>
      <c r="G13" s="10"/>
      <c r="H13" s="9"/>
      <c r="I13" s="10"/>
      <c r="J13" s="11" t="s">
        <v>8</v>
      </c>
      <c r="K13" s="61"/>
      <c r="L13" s="61"/>
      <c r="M13" s="61"/>
      <c r="N13" s="61"/>
      <c r="O13" s="61"/>
      <c r="P13" s="61" t="s">
        <v>43</v>
      </c>
      <c r="Q13" s="61" t="s">
        <v>43</v>
      </c>
      <c r="R13" s="61"/>
      <c r="S13" s="61" t="s">
        <v>66</v>
      </c>
      <c r="T13" s="61" t="s">
        <v>55</v>
      </c>
      <c r="U13" s="61"/>
      <c r="V13" s="61"/>
      <c r="W13" s="61"/>
      <c r="X13" s="61"/>
      <c r="Y13" s="61"/>
      <c r="Z13" s="61"/>
      <c r="AA13" s="61"/>
      <c r="AB13" s="61"/>
      <c r="AC13" s="61"/>
    </row>
    <row r="14" spans="1:37" ht="12.75" customHeight="1" x14ac:dyDescent="0.25">
      <c r="B14" s="450" t="s">
        <v>16</v>
      </c>
      <c r="D14" s="453" t="s">
        <v>26</v>
      </c>
      <c r="E14" s="456" t="s">
        <v>2</v>
      </c>
      <c r="F14" s="457"/>
      <c r="G14" s="460" t="s">
        <v>0</v>
      </c>
      <c r="H14" s="463" t="s">
        <v>9</v>
      </c>
      <c r="I14" s="463" t="s">
        <v>23</v>
      </c>
      <c r="J14" s="463" t="s">
        <v>3</v>
      </c>
      <c r="K14" s="62" t="str">
        <f t="shared" ref="K14:AC14" si="0">IF(OR(TRIM(K10)=0,TRIM(K10)=""),"",IF(IFERROR(TRIM(INDEX(QryItemNamed,MATCH(TRIM(K10),ITEM,0),2)),"")="Y","SPECIAL",LEFT(IFERROR(TRIM(INDEX(ITEM,MATCH(TRIM(K10),ITEM,0))),""),3)))</f>
        <v>204</v>
      </c>
      <c r="L14" s="62" t="str">
        <f t="shared" si="0"/>
        <v>204</v>
      </c>
      <c r="M14" s="62" t="str">
        <f t="shared" si="0"/>
        <v>204</v>
      </c>
      <c r="N14" s="62" t="str">
        <f t="shared" si="0"/>
        <v>204</v>
      </c>
      <c r="O14" s="62" t="str">
        <f t="shared" si="0"/>
        <v>204</v>
      </c>
      <c r="P14" s="62" t="str">
        <f t="shared" si="0"/>
        <v>301</v>
      </c>
      <c r="Q14" s="62" t="str">
        <f t="shared" si="0"/>
        <v>304</v>
      </c>
      <c r="R14" s="62" t="str">
        <f t="shared" si="0"/>
        <v>407</v>
      </c>
      <c r="S14" s="62" t="str">
        <f t="shared" si="0"/>
        <v>442</v>
      </c>
      <c r="T14" s="62" t="str">
        <f>IF(OR(TRIM(T10)=0,TRIM(T10)=""),"",IF(IFERROR(TRIM(INDEX(QryItemNamed,MATCH(TRIM(T10),ITEM,0),2)),"")="Y","SPECIAL",LEFT(IFERROR(TRIM(INDEX(ITEM,MATCH(TRIM(T10),ITEM,0))),""),3)))</f>
        <v>442</v>
      </c>
      <c r="U14" s="62" t="str">
        <f t="shared" si="0"/>
        <v>451</v>
      </c>
      <c r="V14" s="62" t="str">
        <f t="shared" si="0"/>
        <v>452</v>
      </c>
      <c r="W14" s="62" t="str">
        <f t="shared" si="0"/>
        <v>609</v>
      </c>
      <c r="X14" s="62" t="str">
        <f>IF(OR(TRIM(X10)=0,TRIM(X10)=""),"",IF(IFERROR(TRIM(INDEX(QryItemNamed,MATCH(TRIM(X10),ITEM,0),2)),"")="Y","SPECIAL",LEFT(IFERROR(TRIM(INDEX(ITEM,MATCH(TRIM(X10),ITEM,0))),""),3)))</f>
        <v/>
      </c>
      <c r="Y14" s="62" t="str">
        <f t="shared" si="0"/>
        <v/>
      </c>
      <c r="Z14" s="62" t="str">
        <f t="shared" si="0"/>
        <v/>
      </c>
      <c r="AA14" s="62" t="str">
        <f t="shared" si="0"/>
        <v/>
      </c>
      <c r="AB14" s="62" t="str">
        <f t="shared" si="0"/>
        <v/>
      </c>
      <c r="AC14" s="375" t="str">
        <f t="shared" si="0"/>
        <v/>
      </c>
    </row>
    <row r="15" spans="1:37" ht="12.75" customHeight="1" x14ac:dyDescent="0.25">
      <c r="B15" s="451"/>
      <c r="D15" s="454"/>
      <c r="E15" s="458"/>
      <c r="F15" s="459"/>
      <c r="G15" s="461"/>
      <c r="H15" s="464"/>
      <c r="I15" s="464"/>
      <c r="J15" s="464"/>
      <c r="K15" s="448" t="str">
        <f t="shared" ref="K15:AC15" si="1">IF(OR(TRIM(K10)=0,TRIM(K10)=""),IF(K11="","",K11),IF(IFERROR(TRIM(INDEX(QryItemNamed,MATCH(TRIM(K10),ITEM,0),2)),"")="Y",TRIM(RIGHT(IFERROR(TRIM(INDEX(QryItemNamed,MATCH(TRIM(K10),ITEM,0),4)),"123456789012"),LEN(IFERROR(TRIM(INDEX(QryItemNamed,MATCH(TRIM(K10),ITEM,0),4)),"123456789012"))-9))&amp;K11,IFERROR(TRIM(INDEX(QryItemNamed,MATCH(TRIM(K10),ITEM,0),4))&amp;K11,"ITEM CODE DOES NOT EXIST IN ITEM MASTER")))</f>
        <v>SUBGRADE COMPACTION</v>
      </c>
      <c r="L15" s="448" t="str">
        <f t="shared" si="1"/>
        <v>EXCAVATION OF SUBGRADE (12" DEEP)</v>
      </c>
      <c r="M15" s="448" t="str">
        <f t="shared" si="1"/>
        <v>GRANULAR MATERIAL, TYPE C</v>
      </c>
      <c r="N15" s="448" t="str">
        <f t="shared" si="1"/>
        <v>PROOF ROLLING</v>
      </c>
      <c r="O15" s="448" t="str">
        <f t="shared" si="1"/>
        <v>GEOTEXTILE FABRIC</v>
      </c>
      <c r="P15" s="448" t="str">
        <f t="shared" si="1"/>
        <v>ASPHALT CONCRETE BASE, PG64-22, (449)</v>
      </c>
      <c r="Q15" s="448" t="str">
        <f t="shared" si="1"/>
        <v>AGGREGATE BASE</v>
      </c>
      <c r="R15" s="448" t="str">
        <f t="shared" si="1"/>
        <v>NON-TRACKING TACK COAT (@0.06 GAL/SY)</v>
      </c>
      <c r="S15" s="448" t="str">
        <f t="shared" si="1"/>
        <v>ASPHALT CONCRETE SURFACE COURSE, 12.5 MM, TYPE A (446)</v>
      </c>
      <c r="T15" s="448" t="str">
        <f>IF(OR(TRIM(T10)=0,TRIM(T10)=""),IF(T11="","",T11),IF(IFERROR(TRIM(INDEX(QryItemNamed,MATCH(TRIM(T10),ITEM,0),2)),"")="Y",TRIM(RIGHT(IFERROR(TRIM(INDEX(QryItemNamed,MATCH(TRIM(T10),ITEM,0),4)),"123456789012"),LEN(IFERROR(TRIM(INDEX(QryItemNamed,MATCH(TRIM(T10),ITEM,0),4)),"123456789012"))-9))&amp;T11,IFERROR(TRIM(INDEX(QryItemNamed,MATCH(TRIM(T10),ITEM,0),4))&amp;T11,"ITEM CODE DOES NOT EXIST IN ITEM MASTER")))</f>
        <v>ASPHALT CONCRETE INTERMEDIATE COURSE, 12.5 MM, TYPE A (446)</v>
      </c>
      <c r="U15" s="448" t="str">
        <f t="shared" si="1"/>
        <v>9" REINFORCED CONCRETE PAVEMENT, CLASS QC 1P, AS PER PLAN</v>
      </c>
      <c r="V15" s="448" t="str">
        <f t="shared" si="1"/>
        <v>8" NON-REINFORCED CONCRETE PAVEMENT, CLASS QC 1P</v>
      </c>
      <c r="W15" s="448" t="str">
        <f t="shared" si="1"/>
        <v>9" CONCRETE TRAFFIC ISLAND, AS PER PLAN</v>
      </c>
      <c r="X15" s="448" t="str">
        <f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/>
      </c>
      <c r="Y15" s="448" t="str">
        <f t="shared" si="1"/>
        <v/>
      </c>
      <c r="Z15" s="448" t="str">
        <f t="shared" si="1"/>
        <v/>
      </c>
      <c r="AA15" s="448" t="str">
        <f t="shared" si="1"/>
        <v/>
      </c>
      <c r="AB15" s="448" t="str">
        <f t="shared" si="1"/>
        <v/>
      </c>
      <c r="AC15" s="497" t="str">
        <f t="shared" si="1"/>
        <v/>
      </c>
    </row>
    <row r="16" spans="1:37" ht="12.75" customHeight="1" x14ac:dyDescent="0.25">
      <c r="B16" s="451"/>
      <c r="D16" s="454"/>
      <c r="E16" s="458"/>
      <c r="F16" s="459"/>
      <c r="G16" s="461"/>
      <c r="H16" s="464"/>
      <c r="I16" s="464"/>
      <c r="J16" s="464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97"/>
    </row>
    <row r="17" spans="2:29" ht="12.75" customHeight="1" x14ac:dyDescent="0.25">
      <c r="B17" s="451"/>
      <c r="D17" s="454"/>
      <c r="E17" s="458"/>
      <c r="F17" s="459"/>
      <c r="G17" s="461"/>
      <c r="H17" s="464"/>
      <c r="I17" s="464"/>
      <c r="J17" s="464"/>
      <c r="K17" s="448"/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97"/>
    </row>
    <row r="18" spans="2:29" ht="12.75" customHeight="1" x14ac:dyDescent="0.25">
      <c r="B18" s="451"/>
      <c r="D18" s="454"/>
      <c r="E18" s="458"/>
      <c r="F18" s="459"/>
      <c r="G18" s="461"/>
      <c r="H18" s="464"/>
      <c r="I18" s="464"/>
      <c r="J18" s="464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97"/>
    </row>
    <row r="19" spans="2:29" ht="12.75" customHeight="1" x14ac:dyDescent="0.25">
      <c r="B19" s="451"/>
      <c r="D19" s="454"/>
      <c r="E19" s="458"/>
      <c r="F19" s="459"/>
      <c r="G19" s="461"/>
      <c r="H19" s="464"/>
      <c r="I19" s="464"/>
      <c r="J19" s="464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97"/>
    </row>
    <row r="20" spans="2:29" ht="12.75" customHeight="1" x14ac:dyDescent="0.25">
      <c r="B20" s="451"/>
      <c r="D20" s="454"/>
      <c r="E20" s="458"/>
      <c r="F20" s="459"/>
      <c r="G20" s="461"/>
      <c r="H20" s="464"/>
      <c r="I20" s="464"/>
      <c r="J20" s="464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97"/>
    </row>
    <row r="21" spans="2:29" ht="12.75" customHeight="1" x14ac:dyDescent="0.25">
      <c r="B21" s="451"/>
      <c r="D21" s="454"/>
      <c r="E21" s="458"/>
      <c r="F21" s="459"/>
      <c r="G21" s="461"/>
      <c r="H21" s="464"/>
      <c r="I21" s="464"/>
      <c r="J21" s="464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97"/>
    </row>
    <row r="22" spans="2:29" ht="12.75" customHeight="1" x14ac:dyDescent="0.25">
      <c r="B22" s="451"/>
      <c r="D22" s="454"/>
      <c r="E22" s="458"/>
      <c r="F22" s="459"/>
      <c r="G22" s="461"/>
      <c r="H22" s="464"/>
      <c r="I22" s="464"/>
      <c r="J22" s="464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97"/>
    </row>
    <row r="23" spans="2:29" ht="12.75" customHeight="1" x14ac:dyDescent="0.25">
      <c r="B23" s="451"/>
      <c r="D23" s="454"/>
      <c r="E23" s="458"/>
      <c r="F23" s="459"/>
      <c r="G23" s="461"/>
      <c r="H23" s="464"/>
      <c r="I23" s="464"/>
      <c r="J23" s="464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97"/>
    </row>
    <row r="24" spans="2:29" ht="12.75" customHeight="1" x14ac:dyDescent="0.25">
      <c r="B24" s="451"/>
      <c r="D24" s="454"/>
      <c r="E24" s="458"/>
      <c r="F24" s="459"/>
      <c r="G24" s="461"/>
      <c r="H24" s="464"/>
      <c r="I24" s="464"/>
      <c r="J24" s="464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97"/>
    </row>
    <row r="25" spans="2:29" ht="12.75" customHeight="1" x14ac:dyDescent="0.25">
      <c r="B25" s="451"/>
      <c r="D25" s="454"/>
      <c r="E25" s="458"/>
      <c r="F25" s="459"/>
      <c r="G25" s="461"/>
      <c r="H25" s="464"/>
      <c r="I25" s="464"/>
      <c r="J25" s="464"/>
      <c r="K25" s="448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97"/>
    </row>
    <row r="26" spans="2:29" ht="12.75" customHeight="1" x14ac:dyDescent="0.25">
      <c r="B26" s="451"/>
      <c r="D26" s="454"/>
      <c r="E26" s="458"/>
      <c r="F26" s="459"/>
      <c r="G26" s="461"/>
      <c r="H26" s="464"/>
      <c r="I26" s="464"/>
      <c r="J26" s="464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97"/>
    </row>
    <row r="27" spans="2:29" ht="12.75" customHeight="1" thickBot="1" x14ac:dyDescent="0.3">
      <c r="B27" s="452"/>
      <c r="D27" s="455"/>
      <c r="E27" s="421" t="s">
        <v>24</v>
      </c>
      <c r="F27" s="421" t="s">
        <v>1</v>
      </c>
      <c r="G27" s="462"/>
      <c r="H27" s="421" t="s">
        <v>6</v>
      </c>
      <c r="I27" s="421" t="s">
        <v>6</v>
      </c>
      <c r="J27" s="421" t="s">
        <v>62</v>
      </c>
      <c r="K27" s="63" t="str">
        <f t="shared" ref="K27:AC27" si="2">IF(OR(TRIM(K10)=0,TRIM(K10)=""),"",IF(IFERROR(TRIM(INDEX(QryItemNamed,MATCH(TRIM(K10),ITEM,0),3)),"")="LS","",IFERROR(TRIM(INDEX(QryItemNamed,MATCH(TRIM(K10),ITEM,0),3)),"")))</f>
        <v>SY</v>
      </c>
      <c r="L27" s="63" t="str">
        <f t="shared" si="2"/>
        <v>CY</v>
      </c>
      <c r="M27" s="63" t="str">
        <f t="shared" si="2"/>
        <v>CY</v>
      </c>
      <c r="N27" s="63" t="str">
        <f t="shared" si="2"/>
        <v>HOUR</v>
      </c>
      <c r="O27" s="63" t="str">
        <f t="shared" si="2"/>
        <v>SY</v>
      </c>
      <c r="P27" s="63" t="str">
        <f t="shared" si="2"/>
        <v>CY</v>
      </c>
      <c r="Q27" s="63" t="str">
        <f t="shared" si="2"/>
        <v>CY</v>
      </c>
      <c r="R27" s="63" t="str">
        <f t="shared" si="2"/>
        <v>GAL</v>
      </c>
      <c r="S27" s="63" t="str">
        <f t="shared" si="2"/>
        <v>CY</v>
      </c>
      <c r="T27" s="63" t="str">
        <f t="shared" si="2"/>
        <v>CY</v>
      </c>
      <c r="U27" s="63" t="str">
        <f t="shared" si="2"/>
        <v>SY</v>
      </c>
      <c r="V27" s="63" t="str">
        <f t="shared" si="2"/>
        <v>SY</v>
      </c>
      <c r="W27" s="63" t="str">
        <f t="shared" si="2"/>
        <v>SY</v>
      </c>
      <c r="X27" s="63" t="str">
        <f t="shared" si="2"/>
        <v/>
      </c>
      <c r="Y27" s="63" t="str">
        <f t="shared" si="2"/>
        <v/>
      </c>
      <c r="Z27" s="63" t="str">
        <f t="shared" si="2"/>
        <v/>
      </c>
      <c r="AA27" s="63" t="str">
        <f t="shared" si="2"/>
        <v/>
      </c>
      <c r="AB27" s="63" t="str">
        <f t="shared" si="2"/>
        <v/>
      </c>
      <c r="AC27" s="376" t="str">
        <f t="shared" si="2"/>
        <v/>
      </c>
    </row>
    <row r="28" spans="2:29" ht="12.75" customHeight="1" x14ac:dyDescent="0.25">
      <c r="B28" s="41"/>
      <c r="D28" s="241"/>
      <c r="E28" s="138"/>
      <c r="F28" s="138"/>
      <c r="G28" s="139"/>
      <c r="H28" s="66" t="str">
        <f>IF(E28&lt;&gt;"",F28-E28,"")</f>
        <v/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378"/>
    </row>
    <row r="29" spans="2:29" ht="12.75" customHeight="1" x14ac:dyDescent="0.25">
      <c r="B29" s="42"/>
      <c r="D29" s="242"/>
      <c r="E29" s="447" t="s">
        <v>57</v>
      </c>
      <c r="F29" s="447"/>
      <c r="G29" s="142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379"/>
    </row>
    <row r="30" spans="2:29" ht="12.75" customHeight="1" x14ac:dyDescent="0.25">
      <c r="B30" s="42">
        <v>1</v>
      </c>
      <c r="D30" s="144" t="s">
        <v>27</v>
      </c>
      <c r="E30" s="145">
        <v>2680</v>
      </c>
      <c r="F30" s="145">
        <v>2892.23</v>
      </c>
      <c r="G30" s="146" t="s">
        <v>32</v>
      </c>
      <c r="H30" s="306">
        <v>212.227</v>
      </c>
      <c r="I30" s="147">
        <f>J30/H30</f>
        <v>15.08811319954577</v>
      </c>
      <c r="J30" s="108">
        <v>3202.105</v>
      </c>
      <c r="K30" s="147">
        <f>J30/9</f>
        <v>355.78944444444443</v>
      </c>
      <c r="L30" s="147">
        <f>(J30*1)/27</f>
        <v>118.59648148148148</v>
      </c>
      <c r="M30" s="147">
        <f>L30</f>
        <v>118.59648148148148</v>
      </c>
      <c r="N30" s="306">
        <f>J30/9/2000</f>
        <v>0.17789472222222222</v>
      </c>
      <c r="O30" s="147">
        <f>J30/9</f>
        <v>355.78944444444443</v>
      </c>
      <c r="P30" s="147">
        <f>(J30*0.5)/27</f>
        <v>59.298240740740738</v>
      </c>
      <c r="Q30" s="147">
        <f>(J30*6/12)/27</f>
        <v>59.298240740740738</v>
      </c>
      <c r="R30" s="147">
        <f>(J30/9)*0.06*2</f>
        <v>42.694733333333332</v>
      </c>
      <c r="S30" s="147">
        <f>J30*(1.25/12)/27</f>
        <v>12.353800154320989</v>
      </c>
      <c r="T30" s="147">
        <f>J30*(1.75/12)/27</f>
        <v>17.295320216049383</v>
      </c>
      <c r="U30" s="123"/>
      <c r="V30" s="123"/>
      <c r="W30" s="123"/>
      <c r="X30" s="380"/>
      <c r="Y30" s="123"/>
      <c r="Z30" s="123"/>
      <c r="AA30" s="123"/>
      <c r="AB30" s="123"/>
      <c r="AC30" s="379"/>
    </row>
    <row r="31" spans="2:29" ht="12.75" customHeight="1" x14ac:dyDescent="0.25">
      <c r="B31" s="42">
        <v>1</v>
      </c>
      <c r="D31" s="182" t="s">
        <v>28</v>
      </c>
      <c r="E31" s="293">
        <v>2680</v>
      </c>
      <c r="F31" s="293">
        <v>2892.23</v>
      </c>
      <c r="G31" s="294" t="s">
        <v>32</v>
      </c>
      <c r="H31" s="296">
        <f>H30</f>
        <v>212.227</v>
      </c>
      <c r="I31" s="295"/>
      <c r="J31" s="118"/>
      <c r="K31" s="295"/>
      <c r="L31" s="295">
        <f>H31*1.5*1/27</f>
        <v>11.79038888888889</v>
      </c>
      <c r="M31" s="295">
        <f>L31</f>
        <v>11.79038888888889</v>
      </c>
      <c r="N31" s="296">
        <f>(H31*1.5)/9/2000</f>
        <v>1.7685583333333334E-2</v>
      </c>
      <c r="O31" s="295">
        <f>H31*1.5/9</f>
        <v>35.371166666666667</v>
      </c>
      <c r="P31" s="295">
        <f>H31*(4/12)*0.5/27</f>
        <v>1.3100432098765433</v>
      </c>
      <c r="Q31" s="295">
        <f>H31*(10/12)*6/12/27</f>
        <v>3.2751080246913591</v>
      </c>
      <c r="R31" s="295"/>
      <c r="S31" s="295"/>
      <c r="T31" s="123"/>
      <c r="U31" s="123"/>
      <c r="V31" s="123"/>
      <c r="W31" s="123"/>
      <c r="X31" s="123"/>
      <c r="Y31" s="123"/>
      <c r="Z31" s="123"/>
      <c r="AA31" s="123"/>
      <c r="AB31" s="123"/>
      <c r="AC31" s="379"/>
    </row>
    <row r="32" spans="2:29" ht="12.75" customHeight="1" x14ac:dyDescent="0.25">
      <c r="B32" s="42"/>
      <c r="D32" s="206"/>
      <c r="E32" s="145"/>
      <c r="F32" s="145"/>
      <c r="G32" s="166"/>
      <c r="H32" s="299"/>
      <c r="I32" s="299"/>
      <c r="J32" s="381"/>
      <c r="K32" s="167"/>
      <c r="L32" s="208"/>
      <c r="M32" s="208"/>
      <c r="N32" s="208"/>
      <c r="O32" s="208"/>
      <c r="P32" s="382"/>
      <c r="Q32" s="382"/>
      <c r="R32" s="382"/>
      <c r="S32" s="382"/>
      <c r="T32" s="123"/>
      <c r="U32" s="123"/>
      <c r="V32" s="123"/>
      <c r="W32" s="123"/>
      <c r="X32" s="123"/>
      <c r="Y32" s="123"/>
      <c r="Z32" s="123"/>
      <c r="AA32" s="123"/>
      <c r="AB32" s="123"/>
      <c r="AC32" s="379"/>
    </row>
    <row r="33" spans="2:29" ht="12.75" customHeight="1" x14ac:dyDescent="0.25">
      <c r="B33" s="42">
        <v>1</v>
      </c>
      <c r="D33" s="144" t="s">
        <v>27</v>
      </c>
      <c r="E33" s="145">
        <v>2680</v>
      </c>
      <c r="F33" s="145">
        <v>2892.23</v>
      </c>
      <c r="G33" s="146" t="s">
        <v>33</v>
      </c>
      <c r="H33" s="306">
        <v>212.227</v>
      </c>
      <c r="I33" s="147">
        <f>J33/H33</f>
        <v>15.811070221979296</v>
      </c>
      <c r="J33" s="108">
        <v>3355.5360000000001</v>
      </c>
      <c r="K33" s="147">
        <f>J33/9</f>
        <v>372.83733333333333</v>
      </c>
      <c r="L33" s="147">
        <f>(J33*1)/27</f>
        <v>124.27911111111111</v>
      </c>
      <c r="M33" s="147">
        <f>L33</f>
        <v>124.27911111111111</v>
      </c>
      <c r="N33" s="306">
        <f>J33/9/2000</f>
        <v>0.18641866666666668</v>
      </c>
      <c r="O33" s="147">
        <f>J33/9</f>
        <v>372.83733333333333</v>
      </c>
      <c r="P33" s="147">
        <f>(J33*0.5)/27</f>
        <v>62.139555555555553</v>
      </c>
      <c r="Q33" s="147">
        <f>(J33*6/12)/27</f>
        <v>62.139555555555553</v>
      </c>
      <c r="R33" s="147">
        <f>(J33/9)*0.06*2</f>
        <v>44.740479999999998</v>
      </c>
      <c r="S33" s="147">
        <f>J33*(1.25/12)/27</f>
        <v>12.945740740740742</v>
      </c>
      <c r="T33" s="147">
        <f>J33*(1.75/12)/27</f>
        <v>18.124037037037038</v>
      </c>
      <c r="U33" s="123"/>
      <c r="V33" s="123"/>
      <c r="W33" s="123"/>
      <c r="X33" s="380"/>
      <c r="Y33" s="123"/>
      <c r="Z33" s="123"/>
      <c r="AA33" s="123"/>
      <c r="AB33" s="123"/>
      <c r="AC33" s="379"/>
    </row>
    <row r="34" spans="2:29" ht="12.75" customHeight="1" x14ac:dyDescent="0.25">
      <c r="B34" s="42">
        <v>1</v>
      </c>
      <c r="D34" s="182" t="s">
        <v>28</v>
      </c>
      <c r="E34" s="293">
        <v>2680</v>
      </c>
      <c r="F34" s="293">
        <v>2892.23</v>
      </c>
      <c r="G34" s="294" t="s">
        <v>33</v>
      </c>
      <c r="H34" s="296">
        <f>H33</f>
        <v>212.227</v>
      </c>
      <c r="I34" s="295"/>
      <c r="J34" s="118"/>
      <c r="K34" s="295"/>
      <c r="L34" s="295">
        <f>H34*1.5*1/27</f>
        <v>11.79038888888889</v>
      </c>
      <c r="M34" s="295">
        <f>L34</f>
        <v>11.79038888888889</v>
      </c>
      <c r="N34" s="296">
        <f>(H34*1.5)/9/2000</f>
        <v>1.7685583333333334E-2</v>
      </c>
      <c r="O34" s="295">
        <f>H34*1.5/9</f>
        <v>35.371166666666667</v>
      </c>
      <c r="P34" s="295">
        <f>H34*(4/12)*0.5/27</f>
        <v>1.3100432098765433</v>
      </c>
      <c r="Q34" s="295">
        <f>H34*(10/12)*6/12/27</f>
        <v>3.2751080246913591</v>
      </c>
      <c r="R34" s="295"/>
      <c r="S34" s="295"/>
      <c r="T34" s="123"/>
      <c r="U34" s="123"/>
      <c r="V34" s="123"/>
      <c r="W34" s="123"/>
      <c r="X34" s="123"/>
      <c r="Y34" s="123"/>
      <c r="Z34" s="123"/>
      <c r="AA34" s="123"/>
      <c r="AB34" s="123"/>
      <c r="AC34" s="379"/>
    </row>
    <row r="35" spans="2:29" ht="12.75" customHeight="1" x14ac:dyDescent="0.25">
      <c r="B35" s="42"/>
      <c r="D35" s="144"/>
      <c r="E35" s="145"/>
      <c r="F35" s="145"/>
      <c r="G35" s="146"/>
      <c r="H35" s="306"/>
      <c r="I35" s="147"/>
      <c r="J35" s="108"/>
      <c r="K35" s="147"/>
      <c r="L35" s="147"/>
      <c r="M35" s="147"/>
      <c r="N35" s="306"/>
      <c r="O35" s="147"/>
      <c r="P35" s="147"/>
      <c r="Q35" s="147"/>
      <c r="R35" s="147"/>
      <c r="S35" s="147"/>
      <c r="T35" s="123"/>
      <c r="U35" s="123"/>
      <c r="V35" s="123"/>
      <c r="W35" s="123"/>
      <c r="X35" s="123"/>
      <c r="Y35" s="123"/>
      <c r="Z35" s="123"/>
      <c r="AA35" s="123"/>
      <c r="AB35" s="123"/>
      <c r="AC35" s="379"/>
    </row>
    <row r="36" spans="2:29" ht="12.75" customHeight="1" x14ac:dyDescent="0.25">
      <c r="B36" s="42">
        <v>1</v>
      </c>
      <c r="D36" s="164" t="s">
        <v>27</v>
      </c>
      <c r="E36" s="165">
        <v>2892.23</v>
      </c>
      <c r="F36" s="165">
        <v>3114.25</v>
      </c>
      <c r="G36" s="166" t="s">
        <v>32</v>
      </c>
      <c r="H36" s="297">
        <f>F36-E36</f>
        <v>222.01999999999998</v>
      </c>
      <c r="I36" s="167">
        <f>J36/H36</f>
        <v>13.701468336185931</v>
      </c>
      <c r="J36" s="97">
        <v>3042</v>
      </c>
      <c r="K36" s="167">
        <f>J36/9</f>
        <v>338</v>
      </c>
      <c r="L36" s="167">
        <f>(J36*1)/27</f>
        <v>112.66666666666667</v>
      </c>
      <c r="M36" s="167">
        <f>L36</f>
        <v>112.66666666666667</v>
      </c>
      <c r="N36" s="297">
        <f>J36/9/2000</f>
        <v>0.16900000000000001</v>
      </c>
      <c r="O36" s="167">
        <f>J36/9</f>
        <v>338</v>
      </c>
      <c r="P36" s="167">
        <f>(J36*0.5)/27</f>
        <v>56.333333333333336</v>
      </c>
      <c r="Q36" s="167">
        <f>(J36*6/12)/27</f>
        <v>56.333333333333336</v>
      </c>
      <c r="R36" s="167">
        <f>(J36/9)*0.06*2</f>
        <v>40.559999999999995</v>
      </c>
      <c r="S36" s="167">
        <f>J36*(1.25/12)/27</f>
        <v>11.736111111111111</v>
      </c>
      <c r="T36" s="167">
        <f>J36*(1.75/12)/27</f>
        <v>16.430555555555557</v>
      </c>
      <c r="U36" s="123"/>
      <c r="V36" s="123"/>
      <c r="W36" s="123"/>
      <c r="X36" s="123"/>
      <c r="Y36" s="123"/>
      <c r="Z36" s="123"/>
      <c r="AA36" s="123"/>
      <c r="AB36" s="123"/>
      <c r="AC36" s="379"/>
    </row>
    <row r="37" spans="2:29" ht="12.75" customHeight="1" x14ac:dyDescent="0.25">
      <c r="B37" s="42">
        <v>1</v>
      </c>
      <c r="D37" s="183" t="s">
        <v>29</v>
      </c>
      <c r="E37" s="184">
        <f>E36</f>
        <v>2892.23</v>
      </c>
      <c r="F37" s="184">
        <f>F36</f>
        <v>3114.25</v>
      </c>
      <c r="G37" s="185" t="s">
        <v>32</v>
      </c>
      <c r="H37" s="84">
        <f>H36</f>
        <v>222.01999999999998</v>
      </c>
      <c r="I37" s="186"/>
      <c r="J37" s="86"/>
      <c r="K37" s="186"/>
      <c r="L37" s="186">
        <f>H37*3.5*1/27</f>
        <v>28.780370370370367</v>
      </c>
      <c r="M37" s="186">
        <f>L37</f>
        <v>28.780370370370367</v>
      </c>
      <c r="N37" s="304">
        <f>(H37*3.5)/9/2000</f>
        <v>4.3170555555555552E-2</v>
      </c>
      <c r="O37" s="186">
        <f>H37*3.5/9</f>
        <v>86.341111111111104</v>
      </c>
      <c r="P37" s="186"/>
      <c r="Q37" s="186">
        <f>H37*(3.5)*6/12/27</f>
        <v>14.390185185185187</v>
      </c>
      <c r="R37" s="186"/>
      <c r="S37" s="295"/>
      <c r="T37" s="123"/>
      <c r="U37" s="123"/>
      <c r="V37" s="123"/>
      <c r="W37" s="123"/>
      <c r="X37" s="123"/>
      <c r="Y37" s="123"/>
      <c r="Z37" s="123"/>
      <c r="AA37" s="123"/>
      <c r="AB37" s="123"/>
      <c r="AC37" s="379"/>
    </row>
    <row r="38" spans="2:29" ht="12.75" customHeight="1" x14ac:dyDescent="0.25">
      <c r="B38" s="42"/>
      <c r="D38" s="183"/>
      <c r="E38" s="184"/>
      <c r="F38" s="184"/>
      <c r="G38" s="185"/>
      <c r="H38" s="187"/>
      <c r="I38" s="186"/>
      <c r="J38" s="86"/>
      <c r="K38" s="186"/>
      <c r="L38" s="186"/>
      <c r="M38" s="186"/>
      <c r="N38" s="304"/>
      <c r="O38" s="186"/>
      <c r="P38" s="304"/>
      <c r="Q38" s="304"/>
      <c r="R38" s="186"/>
      <c r="S38" s="186"/>
      <c r="T38" s="123"/>
      <c r="U38" s="123"/>
      <c r="V38" s="123"/>
      <c r="W38" s="123"/>
      <c r="X38" s="123"/>
      <c r="Y38" s="123"/>
      <c r="Z38" s="123"/>
      <c r="AA38" s="123"/>
      <c r="AB38" s="123"/>
      <c r="AC38" s="379"/>
    </row>
    <row r="39" spans="2:29" ht="12.75" customHeight="1" x14ac:dyDescent="0.25">
      <c r="B39" s="42">
        <v>1</v>
      </c>
      <c r="D39" s="153" t="s">
        <v>30</v>
      </c>
      <c r="E39" s="154">
        <v>2892.23</v>
      </c>
      <c r="F39" s="154">
        <v>3089</v>
      </c>
      <c r="G39" s="155" t="s">
        <v>34</v>
      </c>
      <c r="H39" s="156">
        <v>195.34399999999999</v>
      </c>
      <c r="I39" s="156">
        <f>J39/H39</f>
        <v>6.4392098042427728</v>
      </c>
      <c r="J39" s="100">
        <v>1257.8610000000001</v>
      </c>
      <c r="K39" s="156"/>
      <c r="L39" s="156">
        <f>(J39*1)/27</f>
        <v>46.587444444444451</v>
      </c>
      <c r="M39" s="156">
        <f>L39</f>
        <v>46.587444444444451</v>
      </c>
      <c r="N39" s="307">
        <f>J39/9/2000</f>
        <v>6.9881166666666675E-2</v>
      </c>
      <c r="O39" s="156">
        <f>J39/9</f>
        <v>139.76233333333334</v>
      </c>
      <c r="P39" s="156">
        <f>(J39*0.5)/27</f>
        <v>23.293722222222225</v>
      </c>
      <c r="Q39" s="156">
        <f>(J39*6/12)/27</f>
        <v>23.293722222222225</v>
      </c>
      <c r="R39" s="156">
        <f>(J39/9)*0.06*2</f>
        <v>16.77148</v>
      </c>
      <c r="S39" s="167"/>
      <c r="T39" s="123"/>
      <c r="U39" s="156"/>
      <c r="V39" s="156"/>
      <c r="W39" s="156">
        <f>J39/9</f>
        <v>139.76233333333334</v>
      </c>
      <c r="X39" s="123"/>
      <c r="Y39" s="123"/>
      <c r="Z39" s="123"/>
      <c r="AA39" s="123"/>
      <c r="AB39" s="123"/>
      <c r="AC39" s="379"/>
    </row>
    <row r="40" spans="2:29" ht="12.75" customHeight="1" x14ac:dyDescent="0.25">
      <c r="B40" s="42"/>
      <c r="D40" s="164"/>
      <c r="E40" s="165"/>
      <c r="F40" s="165"/>
      <c r="G40" s="166"/>
      <c r="H40" s="297"/>
      <c r="I40" s="167"/>
      <c r="J40" s="97"/>
      <c r="K40" s="167"/>
      <c r="L40" s="167"/>
      <c r="M40" s="167"/>
      <c r="N40" s="297"/>
      <c r="O40" s="167"/>
      <c r="P40" s="167"/>
      <c r="Q40" s="167"/>
      <c r="R40" s="167"/>
      <c r="S40" s="167"/>
      <c r="T40" s="123"/>
      <c r="U40" s="167"/>
      <c r="V40" s="167"/>
      <c r="W40" s="167"/>
      <c r="X40" s="123"/>
      <c r="Y40" s="123"/>
      <c r="Z40" s="123"/>
      <c r="AA40" s="123"/>
      <c r="AB40" s="123"/>
      <c r="AC40" s="379"/>
    </row>
    <row r="41" spans="2:29" ht="12.75" customHeight="1" x14ac:dyDescent="0.25">
      <c r="B41" s="42">
        <v>1</v>
      </c>
      <c r="D41" s="164" t="s">
        <v>27</v>
      </c>
      <c r="E41" s="165">
        <v>2892.23</v>
      </c>
      <c r="F41" s="165">
        <v>3104.79</v>
      </c>
      <c r="G41" s="166" t="s">
        <v>33</v>
      </c>
      <c r="H41" s="297">
        <f>F41-E41</f>
        <v>212.55999999999995</v>
      </c>
      <c r="I41" s="167">
        <f>J41/H41</f>
        <v>15.748546292811445</v>
      </c>
      <c r="J41" s="97">
        <v>3347.511</v>
      </c>
      <c r="K41" s="167">
        <f>J41/9</f>
        <v>371.94566666666668</v>
      </c>
      <c r="L41" s="167">
        <f>(J41*1)/27</f>
        <v>123.98188888888889</v>
      </c>
      <c r="M41" s="167">
        <f>L41</f>
        <v>123.98188888888889</v>
      </c>
      <c r="N41" s="297">
        <f>J41/9/2000</f>
        <v>0.18597283333333334</v>
      </c>
      <c r="O41" s="167">
        <f>J41/9</f>
        <v>371.94566666666668</v>
      </c>
      <c r="P41" s="167">
        <f>(J41*0.5)/27</f>
        <v>61.990944444444445</v>
      </c>
      <c r="Q41" s="167">
        <f>(J41*6/12)/27</f>
        <v>61.990944444444445</v>
      </c>
      <c r="R41" s="167">
        <f>(J41/9)*0.06*2</f>
        <v>44.633479999999999</v>
      </c>
      <c r="S41" s="167">
        <f>J41*(1.25/12)/27</f>
        <v>12.914780092592594</v>
      </c>
      <c r="T41" s="167">
        <f>J41*(1.75/12)/27</f>
        <v>18.080692129629629</v>
      </c>
      <c r="U41" s="167"/>
      <c r="V41" s="167"/>
      <c r="W41" s="167"/>
      <c r="X41" s="123"/>
      <c r="Y41" s="123"/>
      <c r="Z41" s="123"/>
      <c r="AA41" s="123"/>
      <c r="AB41" s="123"/>
      <c r="AC41" s="379"/>
    </row>
    <row r="42" spans="2:29" ht="12.75" customHeight="1" x14ac:dyDescent="0.25">
      <c r="B42" s="42">
        <v>1</v>
      </c>
      <c r="D42" s="183" t="s">
        <v>29</v>
      </c>
      <c r="E42" s="184">
        <v>2892.59</v>
      </c>
      <c r="F42" s="184">
        <v>3099.47</v>
      </c>
      <c r="G42" s="185" t="s">
        <v>33</v>
      </c>
      <c r="H42" s="187">
        <f>F42-E42</f>
        <v>206.87999999999965</v>
      </c>
      <c r="I42" s="186"/>
      <c r="J42" s="86"/>
      <c r="K42" s="186"/>
      <c r="L42" s="186">
        <f>H42*3.5*1/27</f>
        <v>26.817777777777732</v>
      </c>
      <c r="M42" s="186">
        <f>L42</f>
        <v>26.817777777777732</v>
      </c>
      <c r="N42" s="304">
        <f>(H42*3.5)/9/2000</f>
        <v>4.0226666666666605E-2</v>
      </c>
      <c r="O42" s="186">
        <f>H42*3.5/9</f>
        <v>80.453333333333205</v>
      </c>
      <c r="P42" s="186"/>
      <c r="Q42" s="186">
        <f>H42*(3.5)*6/12/27</f>
        <v>13.408888888888864</v>
      </c>
      <c r="R42" s="186"/>
      <c r="S42" s="295"/>
      <c r="T42" s="123"/>
      <c r="U42" s="186"/>
      <c r="V42" s="186"/>
      <c r="W42" s="186"/>
      <c r="X42" s="123"/>
      <c r="Y42" s="123"/>
      <c r="Z42" s="123"/>
      <c r="AA42" s="123"/>
      <c r="AB42" s="123"/>
      <c r="AC42" s="379"/>
    </row>
    <row r="43" spans="2:29" ht="12.75" customHeight="1" x14ac:dyDescent="0.25">
      <c r="B43" s="42"/>
      <c r="D43" s="183"/>
      <c r="E43" s="184"/>
      <c r="F43" s="184"/>
      <c r="G43" s="185"/>
      <c r="H43" s="187"/>
      <c r="I43" s="186"/>
      <c r="J43" s="86"/>
      <c r="K43" s="186"/>
      <c r="L43" s="186"/>
      <c r="M43" s="186"/>
      <c r="N43" s="304"/>
      <c r="O43" s="186"/>
      <c r="P43" s="186"/>
      <c r="Q43" s="186"/>
      <c r="R43" s="186"/>
      <c r="S43" s="186"/>
      <c r="T43" s="123"/>
      <c r="U43" s="186"/>
      <c r="V43" s="186"/>
      <c r="W43" s="186"/>
      <c r="X43" s="123"/>
      <c r="Y43" s="123"/>
      <c r="Z43" s="123"/>
      <c r="AA43" s="123"/>
      <c r="AB43" s="123"/>
      <c r="AC43" s="379"/>
    </row>
    <row r="44" spans="2:29" ht="12.75" customHeight="1" x14ac:dyDescent="0.25">
      <c r="B44" s="42"/>
      <c r="D44" s="183"/>
      <c r="E44" s="447" t="s">
        <v>25</v>
      </c>
      <c r="F44" s="447"/>
      <c r="G44" s="185"/>
      <c r="H44" s="187"/>
      <c r="I44" s="186"/>
      <c r="J44" s="86"/>
      <c r="K44" s="186"/>
      <c r="L44" s="186"/>
      <c r="M44" s="186"/>
      <c r="N44" s="304"/>
      <c r="O44" s="186"/>
      <c r="P44" s="186"/>
      <c r="Q44" s="186"/>
      <c r="R44" s="186"/>
      <c r="S44" s="186"/>
      <c r="T44" s="123"/>
      <c r="U44" s="186"/>
      <c r="V44" s="186"/>
      <c r="W44" s="186"/>
      <c r="X44" s="123"/>
      <c r="Y44" s="123"/>
      <c r="Z44" s="123"/>
      <c r="AA44" s="123"/>
      <c r="AB44" s="123"/>
      <c r="AC44" s="379"/>
    </row>
    <row r="45" spans="2:29" ht="12.75" customHeight="1" x14ac:dyDescent="0.25">
      <c r="B45" s="42">
        <v>1</v>
      </c>
      <c r="D45" s="164" t="s">
        <v>27</v>
      </c>
      <c r="E45" s="165">
        <v>3196.42</v>
      </c>
      <c r="F45" s="165">
        <v>3303.89</v>
      </c>
      <c r="G45" s="166" t="s">
        <v>32</v>
      </c>
      <c r="H45" s="297">
        <f>F45-E45</f>
        <v>107.4699999999998</v>
      </c>
      <c r="I45" s="167">
        <f>J45/H45</f>
        <v>16.224062529077912</v>
      </c>
      <c r="J45" s="97">
        <v>1743.6</v>
      </c>
      <c r="K45" s="167">
        <f>J45/9</f>
        <v>193.73333333333332</v>
      </c>
      <c r="L45" s="167">
        <f>(J45*1)/27</f>
        <v>64.577777777777769</v>
      </c>
      <c r="M45" s="167">
        <f>L45</f>
        <v>64.577777777777769</v>
      </c>
      <c r="N45" s="297">
        <f>J45/9/2000</f>
        <v>9.6866666666666656E-2</v>
      </c>
      <c r="O45" s="167">
        <f>J45/9</f>
        <v>193.73333333333332</v>
      </c>
      <c r="P45" s="167">
        <f>(J45*0.5)/27</f>
        <v>32.288888888888884</v>
      </c>
      <c r="Q45" s="167">
        <f>(J45*6/12)/27</f>
        <v>32.288888888888884</v>
      </c>
      <c r="R45" s="167">
        <f>(J45/9)*0.06*2</f>
        <v>23.247999999999998</v>
      </c>
      <c r="S45" s="167">
        <f>J45*(1.25/12)/27</f>
        <v>6.7268518518518521</v>
      </c>
      <c r="T45" s="167">
        <f>J45*(1.75/12)/27</f>
        <v>9.4175925925925927</v>
      </c>
      <c r="U45" s="167"/>
      <c r="V45" s="167"/>
      <c r="W45" s="156"/>
      <c r="X45" s="123"/>
      <c r="Y45" s="123"/>
      <c r="Z45" s="123"/>
      <c r="AA45" s="123"/>
      <c r="AB45" s="123"/>
      <c r="AC45" s="379"/>
    </row>
    <row r="46" spans="2:29" ht="12.75" customHeight="1" x14ac:dyDescent="0.25">
      <c r="B46" s="42">
        <v>1</v>
      </c>
      <c r="D46" s="183" t="s">
        <v>29</v>
      </c>
      <c r="E46" s="184">
        <v>3198.07</v>
      </c>
      <c r="F46" s="184">
        <v>3303.04</v>
      </c>
      <c r="G46" s="185" t="s">
        <v>32</v>
      </c>
      <c r="H46" s="187">
        <f>F46-E46</f>
        <v>104.9699999999998</v>
      </c>
      <c r="I46" s="186"/>
      <c r="J46" s="86"/>
      <c r="K46" s="186"/>
      <c r="L46" s="186">
        <f>H46*3.5*1/27</f>
        <v>13.607222222222196</v>
      </c>
      <c r="M46" s="186">
        <f>L46</f>
        <v>13.607222222222196</v>
      </c>
      <c r="N46" s="304">
        <f>(H46*3.5)/9/2000</f>
        <v>2.0410833333333295E-2</v>
      </c>
      <c r="O46" s="186">
        <f>H46*3.5/9</f>
        <v>40.821666666666587</v>
      </c>
      <c r="P46" s="186"/>
      <c r="Q46" s="186">
        <f>H46*(3.5)*6/12/27</f>
        <v>6.8036111111110982</v>
      </c>
      <c r="R46" s="186"/>
      <c r="S46" s="295"/>
      <c r="T46" s="123"/>
      <c r="U46" s="186"/>
      <c r="V46" s="186"/>
      <c r="W46" s="295"/>
      <c r="X46" s="123"/>
      <c r="Y46" s="123"/>
      <c r="Z46" s="123"/>
      <c r="AA46" s="123"/>
      <c r="AB46" s="123"/>
      <c r="AC46" s="379"/>
    </row>
    <row r="47" spans="2:29" ht="12.75" customHeight="1" x14ac:dyDescent="0.25">
      <c r="B47" s="42"/>
      <c r="D47" s="183"/>
      <c r="E47" s="184"/>
      <c r="F47" s="184"/>
      <c r="G47" s="185"/>
      <c r="H47" s="187"/>
      <c r="I47" s="186"/>
      <c r="J47" s="86"/>
      <c r="K47" s="186"/>
      <c r="L47" s="186"/>
      <c r="M47" s="186"/>
      <c r="N47" s="304"/>
      <c r="O47" s="186"/>
      <c r="P47" s="304"/>
      <c r="Q47" s="304"/>
      <c r="R47" s="186"/>
      <c r="S47" s="167"/>
      <c r="T47" s="123"/>
      <c r="U47" s="186"/>
      <c r="V47" s="186"/>
      <c r="W47" s="167"/>
      <c r="X47" s="123"/>
      <c r="Y47" s="123"/>
      <c r="Z47" s="123"/>
      <c r="AA47" s="123"/>
      <c r="AB47" s="123"/>
      <c r="AC47" s="379"/>
    </row>
    <row r="48" spans="2:29" ht="12.75" customHeight="1" x14ac:dyDescent="0.25">
      <c r="B48" s="42">
        <v>1</v>
      </c>
      <c r="D48" s="153" t="s">
        <v>30</v>
      </c>
      <c r="E48" s="154">
        <v>3222.78</v>
      </c>
      <c r="F48" s="154">
        <v>3304.06</v>
      </c>
      <c r="G48" s="155" t="s">
        <v>34</v>
      </c>
      <c r="H48" s="156">
        <v>199.88300000000001</v>
      </c>
      <c r="I48" s="156">
        <f>J48/H48</f>
        <v>4.6747497285912258</v>
      </c>
      <c r="J48" s="100">
        <v>934.40300000000002</v>
      </c>
      <c r="K48" s="156"/>
      <c r="L48" s="156">
        <f>(J48*1)/27</f>
        <v>34.607518518518518</v>
      </c>
      <c r="M48" s="156">
        <f>L48</f>
        <v>34.607518518518518</v>
      </c>
      <c r="N48" s="307">
        <f>J48/9/2000</f>
        <v>5.1911277777777778E-2</v>
      </c>
      <c r="O48" s="156">
        <f>J48/9</f>
        <v>103.82255555555555</v>
      </c>
      <c r="P48" s="156">
        <f>(J48*0.5)/27</f>
        <v>17.303759259259259</v>
      </c>
      <c r="Q48" s="156">
        <f>(J48*6/12)/27</f>
        <v>17.303759259259259</v>
      </c>
      <c r="R48" s="156">
        <f>(J48/9)*0.06*2</f>
        <v>12.458706666666666</v>
      </c>
      <c r="S48" s="167"/>
      <c r="T48" s="123"/>
      <c r="U48" s="156"/>
      <c r="V48" s="156"/>
      <c r="W48" s="156">
        <f>J48/9</f>
        <v>103.82255555555555</v>
      </c>
      <c r="X48" s="123"/>
      <c r="Y48" s="123"/>
      <c r="Z48" s="123"/>
      <c r="AA48" s="123"/>
      <c r="AB48" s="123"/>
      <c r="AC48" s="379"/>
    </row>
    <row r="49" spans="2:29" ht="12.75" customHeight="1" x14ac:dyDescent="0.25">
      <c r="B49" s="42"/>
      <c r="D49" s="164"/>
      <c r="E49" s="165"/>
      <c r="F49" s="165"/>
      <c r="G49" s="166"/>
      <c r="H49" s="297"/>
      <c r="I49" s="167"/>
      <c r="J49" s="97"/>
      <c r="K49" s="167"/>
      <c r="L49" s="167"/>
      <c r="M49" s="167"/>
      <c r="N49" s="297"/>
      <c r="O49" s="167"/>
      <c r="P49" s="167"/>
      <c r="Q49" s="167"/>
      <c r="R49" s="167"/>
      <c r="S49" s="186"/>
      <c r="T49" s="123"/>
      <c r="U49" s="167"/>
      <c r="V49" s="167"/>
      <c r="W49" s="186"/>
      <c r="X49" s="123"/>
      <c r="Y49" s="123"/>
      <c r="Z49" s="123"/>
      <c r="AA49" s="123"/>
      <c r="AB49" s="123"/>
      <c r="AC49" s="379"/>
    </row>
    <row r="50" spans="2:29" ht="12.75" customHeight="1" x14ac:dyDescent="0.25">
      <c r="B50" s="42">
        <v>1</v>
      </c>
      <c r="D50" s="164" t="s">
        <v>27</v>
      </c>
      <c r="E50" s="165">
        <v>3189.31</v>
      </c>
      <c r="F50" s="165">
        <v>3303.89</v>
      </c>
      <c r="G50" s="166" t="s">
        <v>33</v>
      </c>
      <c r="H50" s="297">
        <f>F50-E50</f>
        <v>114.57999999999993</v>
      </c>
      <c r="I50" s="167">
        <f>J50/H50</f>
        <v>16.655114330598717</v>
      </c>
      <c r="J50" s="97">
        <f>1897.204+11.139</f>
        <v>1908.3429999999998</v>
      </c>
      <c r="K50" s="167">
        <f>J50/9</f>
        <v>212.03811111111111</v>
      </c>
      <c r="L50" s="167">
        <f>(J50*1)/27</f>
        <v>70.679370370370364</v>
      </c>
      <c r="M50" s="167">
        <f>L50</f>
        <v>70.679370370370364</v>
      </c>
      <c r="N50" s="297">
        <f>J50/9/2000</f>
        <v>0.10601905555555555</v>
      </c>
      <c r="O50" s="167">
        <f>J50/9</f>
        <v>212.03811111111111</v>
      </c>
      <c r="P50" s="167">
        <f>(J50*0.5)/27</f>
        <v>35.339685185185182</v>
      </c>
      <c r="Q50" s="167">
        <f>(J50*6/12)/27</f>
        <v>35.339685185185182</v>
      </c>
      <c r="R50" s="167">
        <f>(J50/9)*0.06*2</f>
        <v>25.444573333333331</v>
      </c>
      <c r="S50" s="167">
        <f>J50*(1.25/12)/27</f>
        <v>7.3624344135802469</v>
      </c>
      <c r="T50" s="167">
        <f>J50*(1.75/12)/27</f>
        <v>10.307408179012347</v>
      </c>
      <c r="U50" s="167"/>
      <c r="V50" s="167"/>
      <c r="W50" s="295"/>
      <c r="X50" s="123"/>
      <c r="Y50" s="123"/>
      <c r="Z50" s="123"/>
      <c r="AA50" s="123"/>
      <c r="AB50" s="123"/>
      <c r="AC50" s="379"/>
    </row>
    <row r="51" spans="2:29" ht="12.75" customHeight="1" x14ac:dyDescent="0.25">
      <c r="B51" s="42">
        <v>1</v>
      </c>
      <c r="D51" s="183" t="s">
        <v>29</v>
      </c>
      <c r="E51" s="184">
        <v>3190.17</v>
      </c>
      <c r="F51" s="184">
        <v>3299.23</v>
      </c>
      <c r="G51" s="185" t="s">
        <v>33</v>
      </c>
      <c r="H51" s="187">
        <f>F51-E51</f>
        <v>109.05999999999995</v>
      </c>
      <c r="I51" s="186"/>
      <c r="J51" s="86"/>
      <c r="K51" s="186"/>
      <c r="L51" s="186">
        <f>H51*3.5*1/27</f>
        <v>14.1374074074074</v>
      </c>
      <c r="M51" s="186">
        <f>L51</f>
        <v>14.1374074074074</v>
      </c>
      <c r="N51" s="304">
        <f>(H51*3.5)/9/2000</f>
        <v>2.1206111111111099E-2</v>
      </c>
      <c r="O51" s="186">
        <f>H51*3.5/9</f>
        <v>42.412222222222198</v>
      </c>
      <c r="P51" s="186"/>
      <c r="Q51" s="186">
        <f>H51*(3.5)*6/12/27</f>
        <v>7.0687037037036999</v>
      </c>
      <c r="R51" s="186"/>
      <c r="S51" s="295"/>
      <c r="T51" s="123"/>
      <c r="U51" s="186"/>
      <c r="V51" s="186"/>
      <c r="W51" s="167"/>
      <c r="X51" s="123"/>
      <c r="Y51" s="123"/>
      <c r="Z51" s="123"/>
      <c r="AA51" s="123"/>
      <c r="AB51" s="123"/>
      <c r="AC51" s="379"/>
    </row>
    <row r="52" spans="2:29" ht="12.75" customHeight="1" x14ac:dyDescent="0.25">
      <c r="B52" s="42">
        <v>1</v>
      </c>
      <c r="D52" s="182" t="s">
        <v>28</v>
      </c>
      <c r="E52" s="293">
        <v>3299.21</v>
      </c>
      <c r="F52" s="293">
        <v>3305</v>
      </c>
      <c r="G52" s="294" t="s">
        <v>33</v>
      </c>
      <c r="H52" s="296">
        <f>F52-E52</f>
        <v>5.7899999999999636</v>
      </c>
      <c r="I52" s="295"/>
      <c r="J52" s="118"/>
      <c r="K52" s="295"/>
      <c r="L52" s="295">
        <f>H52*1.5*1/27</f>
        <v>0.32166666666666466</v>
      </c>
      <c r="M52" s="295">
        <f>L52</f>
        <v>0.32166666666666466</v>
      </c>
      <c r="N52" s="296">
        <f>(H52*1.5)/9/2000</f>
        <v>4.8249999999999698E-4</v>
      </c>
      <c r="O52" s="295">
        <f>H52*1.5/9</f>
        <v>0.96499999999999397</v>
      </c>
      <c r="P52" s="295">
        <f>H52*(4/12)*0.5/27</f>
        <v>3.5740740740740511E-2</v>
      </c>
      <c r="Q52" s="295">
        <f>H52*(10/12)*6/12/27</f>
        <v>8.9351851851851294E-2</v>
      </c>
      <c r="R52" s="295"/>
      <c r="S52" s="295"/>
      <c r="T52" s="123"/>
      <c r="U52" s="186"/>
      <c r="V52" s="186"/>
      <c r="W52" s="167"/>
      <c r="X52" s="123"/>
      <c r="Y52" s="123"/>
      <c r="Z52" s="123"/>
      <c r="AA52" s="123"/>
      <c r="AB52" s="123"/>
      <c r="AC52" s="379"/>
    </row>
    <row r="53" spans="2:29" ht="12.75" customHeight="1" x14ac:dyDescent="0.25">
      <c r="B53" s="42"/>
      <c r="D53" s="183"/>
      <c r="E53" s="184"/>
      <c r="F53" s="184"/>
      <c r="G53" s="185"/>
      <c r="H53" s="187"/>
      <c r="I53" s="186"/>
      <c r="J53" s="86"/>
      <c r="K53" s="186"/>
      <c r="L53" s="186"/>
      <c r="M53" s="186"/>
      <c r="N53" s="304"/>
      <c r="O53" s="186"/>
      <c r="P53" s="186"/>
      <c r="Q53" s="186"/>
      <c r="R53" s="186"/>
      <c r="S53" s="186"/>
      <c r="T53" s="123"/>
      <c r="U53" s="186"/>
      <c r="V53" s="186"/>
      <c r="W53" s="186"/>
      <c r="X53" s="123"/>
      <c r="Y53" s="123"/>
      <c r="Z53" s="123"/>
      <c r="AA53" s="123"/>
      <c r="AB53" s="123"/>
      <c r="AC53" s="379"/>
    </row>
    <row r="54" spans="2:29" ht="12.75" customHeight="1" x14ac:dyDescent="0.25">
      <c r="B54" s="42">
        <v>1</v>
      </c>
      <c r="D54" s="144" t="s">
        <v>27</v>
      </c>
      <c r="E54" s="145">
        <v>3308.64</v>
      </c>
      <c r="F54" s="145">
        <v>3480</v>
      </c>
      <c r="G54" s="146" t="s">
        <v>32</v>
      </c>
      <c r="H54" s="306">
        <v>174.786</v>
      </c>
      <c r="I54" s="147">
        <f>J54/H54</f>
        <v>15.918534665247789</v>
      </c>
      <c r="J54" s="108">
        <v>2782.337</v>
      </c>
      <c r="K54" s="147">
        <f>J54/9</f>
        <v>309.14855555555556</v>
      </c>
      <c r="L54" s="147">
        <f>(J54*1)/27</f>
        <v>103.04951851851852</v>
      </c>
      <c r="M54" s="147">
        <f>L54</f>
        <v>103.04951851851852</v>
      </c>
      <c r="N54" s="306">
        <f>J54/9/2000</f>
        <v>0.15457427777777777</v>
      </c>
      <c r="O54" s="147">
        <f>J54/9</f>
        <v>309.14855555555556</v>
      </c>
      <c r="P54" s="147">
        <f>(J54*0.5)/27</f>
        <v>51.524759259259262</v>
      </c>
      <c r="Q54" s="147">
        <f>(J54*6/12)/27</f>
        <v>51.524759259259262</v>
      </c>
      <c r="R54" s="147">
        <f>(J54/9)*0.06*2</f>
        <v>37.097826666666663</v>
      </c>
      <c r="S54" s="147">
        <f>J54*(1.25/12)/27</f>
        <v>10.734324845679012</v>
      </c>
      <c r="T54" s="147">
        <f>J54*(1.75/12)/27</f>
        <v>15.028054783950619</v>
      </c>
      <c r="U54" s="186"/>
      <c r="V54" s="186"/>
      <c r="W54" s="186"/>
      <c r="X54" s="380"/>
      <c r="Y54" s="123"/>
      <c r="Z54" s="123"/>
      <c r="AA54" s="123"/>
      <c r="AB54" s="123"/>
      <c r="AC54" s="379"/>
    </row>
    <row r="55" spans="2:29" ht="12.75" customHeight="1" x14ac:dyDescent="0.25">
      <c r="B55" s="42">
        <v>1</v>
      </c>
      <c r="D55" s="183" t="s">
        <v>29</v>
      </c>
      <c r="E55" s="184">
        <v>3303.04</v>
      </c>
      <c r="F55" s="184">
        <v>3308.87</v>
      </c>
      <c r="G55" s="185" t="s">
        <v>32</v>
      </c>
      <c r="H55" s="187">
        <f>F55-E55</f>
        <v>5.8299999999999272</v>
      </c>
      <c r="I55" s="186"/>
      <c r="J55" s="86"/>
      <c r="K55" s="186"/>
      <c r="L55" s="186">
        <f>H55*3.5*1/27</f>
        <v>0.75574074074073128</v>
      </c>
      <c r="M55" s="186">
        <f>L55</f>
        <v>0.75574074074073128</v>
      </c>
      <c r="N55" s="304">
        <f>(H55*3.5)/9/2000</f>
        <v>1.133611111111097E-3</v>
      </c>
      <c r="O55" s="186">
        <f>H55*3.5/9</f>
        <v>2.2672222222221938</v>
      </c>
      <c r="P55" s="186"/>
      <c r="Q55" s="186">
        <f>H55*(3.5)*6/12/27</f>
        <v>0.37787037037036564</v>
      </c>
      <c r="R55" s="186"/>
      <c r="S55" s="295"/>
      <c r="T55" s="123"/>
      <c r="U55" s="186"/>
      <c r="V55" s="186"/>
      <c r="W55" s="186"/>
      <c r="X55" s="380"/>
      <c r="Y55" s="123"/>
      <c r="Z55" s="123"/>
      <c r="AA55" s="123"/>
      <c r="AB55" s="123"/>
      <c r="AC55" s="379"/>
    </row>
    <row r="56" spans="2:29" ht="12.75" customHeight="1" x14ac:dyDescent="0.25">
      <c r="B56" s="42">
        <v>1</v>
      </c>
      <c r="D56" s="182" t="s">
        <v>28</v>
      </c>
      <c r="E56" s="293">
        <v>3308.87</v>
      </c>
      <c r="F56" s="293">
        <v>3480</v>
      </c>
      <c r="G56" s="294" t="s">
        <v>32</v>
      </c>
      <c r="H56" s="296">
        <f>H54</f>
        <v>174.786</v>
      </c>
      <c r="I56" s="295"/>
      <c r="J56" s="118"/>
      <c r="K56" s="295"/>
      <c r="L56" s="295">
        <f>H56*1.5*1/27</f>
        <v>9.7103333333333328</v>
      </c>
      <c r="M56" s="295">
        <f>L56</f>
        <v>9.7103333333333328</v>
      </c>
      <c r="N56" s="296">
        <f>(H56*1.5)/9/2000</f>
        <v>1.4565499999999999E-2</v>
      </c>
      <c r="O56" s="295">
        <f>H56*1.5/9</f>
        <v>29.130999999999997</v>
      </c>
      <c r="P56" s="295">
        <f>H56*(4/12)*0.5/27</f>
        <v>1.0789259259259258</v>
      </c>
      <c r="Q56" s="295">
        <f>H56*(10/12)*6/12/27</f>
        <v>2.6973148148148147</v>
      </c>
      <c r="R56" s="295"/>
      <c r="S56" s="295"/>
      <c r="T56" s="123"/>
      <c r="U56" s="156"/>
      <c r="V56" s="156"/>
      <c r="W56" s="156"/>
      <c r="X56" s="123"/>
      <c r="Y56" s="123"/>
      <c r="Z56" s="123"/>
      <c r="AA56" s="123"/>
      <c r="AB56" s="123"/>
      <c r="AC56" s="379"/>
    </row>
    <row r="57" spans="2:29" ht="12.75" customHeight="1" x14ac:dyDescent="0.25">
      <c r="B57" s="42"/>
      <c r="D57" s="182"/>
      <c r="E57" s="293"/>
      <c r="F57" s="293"/>
      <c r="G57" s="294"/>
      <c r="H57" s="296"/>
      <c r="I57" s="295"/>
      <c r="J57" s="118"/>
      <c r="K57" s="295"/>
      <c r="L57" s="295"/>
      <c r="M57" s="295"/>
      <c r="N57" s="296"/>
      <c r="O57" s="295"/>
      <c r="P57" s="295"/>
      <c r="Q57" s="295"/>
      <c r="R57" s="156"/>
      <c r="S57" s="156"/>
      <c r="T57" s="123"/>
      <c r="U57" s="156"/>
      <c r="V57" s="156"/>
      <c r="W57" s="156"/>
      <c r="X57" s="123"/>
      <c r="Y57" s="123"/>
      <c r="Z57" s="123"/>
      <c r="AA57" s="123"/>
      <c r="AB57" s="123"/>
      <c r="AC57" s="379"/>
    </row>
    <row r="58" spans="2:29" ht="12.75" customHeight="1" x14ac:dyDescent="0.25">
      <c r="B58" s="42">
        <v>1</v>
      </c>
      <c r="D58" s="223" t="s">
        <v>31</v>
      </c>
      <c r="E58" s="224">
        <v>3299.21</v>
      </c>
      <c r="F58" s="224">
        <v>3377.1</v>
      </c>
      <c r="G58" s="355" t="s">
        <v>33</v>
      </c>
      <c r="H58" s="356">
        <v>42.66</v>
      </c>
      <c r="I58" s="225">
        <f>J58/H58</f>
        <v>32.550351617440228</v>
      </c>
      <c r="J58" s="115">
        <v>1388.598</v>
      </c>
      <c r="K58" s="225">
        <f>J58/9</f>
        <v>154.28866666666667</v>
      </c>
      <c r="L58" s="225"/>
      <c r="M58" s="225"/>
      <c r="N58" s="356"/>
      <c r="O58" s="225"/>
      <c r="P58" s="225"/>
      <c r="Q58" s="225"/>
      <c r="R58" s="225"/>
      <c r="S58" s="225"/>
      <c r="T58" s="123"/>
      <c r="U58" s="225"/>
      <c r="V58" s="225">
        <f>J58/9</f>
        <v>154.28866666666667</v>
      </c>
      <c r="W58" s="225"/>
      <c r="X58" s="123"/>
      <c r="Y58" s="123"/>
      <c r="Z58" s="123"/>
      <c r="AA58" s="123"/>
      <c r="AB58" s="123"/>
      <c r="AC58" s="379"/>
    </row>
    <row r="59" spans="2:29" ht="12.75" customHeight="1" x14ac:dyDescent="0.25">
      <c r="B59" s="42"/>
      <c r="D59" s="206"/>
      <c r="E59" s="145"/>
      <c r="F59" s="145"/>
      <c r="G59" s="166"/>
      <c r="H59" s="299"/>
      <c r="I59" s="299"/>
      <c r="J59" s="381"/>
      <c r="K59" s="167"/>
      <c r="L59" s="208"/>
      <c r="M59" s="208"/>
      <c r="N59" s="208"/>
      <c r="O59" s="208"/>
      <c r="P59" s="382"/>
      <c r="Q59" s="382"/>
      <c r="R59" s="295"/>
      <c r="S59" s="295"/>
      <c r="T59" s="123"/>
      <c r="U59" s="295"/>
      <c r="V59" s="295"/>
      <c r="W59" s="295"/>
      <c r="X59" s="123"/>
      <c r="Y59" s="123"/>
      <c r="Z59" s="123"/>
      <c r="AA59" s="123"/>
      <c r="AB59" s="123"/>
      <c r="AC59" s="379"/>
    </row>
    <row r="60" spans="2:29" ht="12.75" customHeight="1" x14ac:dyDescent="0.25">
      <c r="B60" s="42">
        <v>1</v>
      </c>
      <c r="D60" s="144" t="s">
        <v>27</v>
      </c>
      <c r="E60" s="145">
        <v>3399.11</v>
      </c>
      <c r="F60" s="145">
        <v>3480</v>
      </c>
      <c r="G60" s="146" t="s">
        <v>33</v>
      </c>
      <c r="H60" s="306">
        <v>283.803</v>
      </c>
      <c r="I60" s="147">
        <f>J60/H60</f>
        <v>10.832041944588324</v>
      </c>
      <c r="J60" s="108">
        <v>3074.1660000000002</v>
      </c>
      <c r="K60" s="147">
        <f>J60/9</f>
        <v>341.57400000000001</v>
      </c>
      <c r="L60" s="147">
        <f>(J60*1)/27</f>
        <v>113.858</v>
      </c>
      <c r="M60" s="147">
        <f>L60</f>
        <v>113.858</v>
      </c>
      <c r="N60" s="306">
        <f>J60/9/2000</f>
        <v>0.17078699999999999</v>
      </c>
      <c r="O60" s="147">
        <f>J60/9</f>
        <v>341.57400000000001</v>
      </c>
      <c r="P60" s="147">
        <f>(J60*0.5)/27</f>
        <v>56.929000000000002</v>
      </c>
      <c r="Q60" s="147">
        <f>(J60*6/12)/27</f>
        <v>56.928999999999995</v>
      </c>
      <c r="R60" s="147">
        <f>(J60/9)*0.06*2</f>
        <v>40.988880000000002</v>
      </c>
      <c r="S60" s="147">
        <f>J60*(1.25/12)/27</f>
        <v>11.860208333333334</v>
      </c>
      <c r="T60" s="147">
        <f>J60*(1.75/12)/27</f>
        <v>16.604291666666668</v>
      </c>
      <c r="U60" s="167"/>
      <c r="V60" s="167"/>
      <c r="W60" s="167"/>
      <c r="X60" s="380"/>
      <c r="Y60" s="123"/>
      <c r="Z60" s="123"/>
      <c r="AA60" s="123"/>
      <c r="AB60" s="123"/>
      <c r="AC60" s="379"/>
    </row>
    <row r="61" spans="2:29" ht="12.75" customHeight="1" x14ac:dyDescent="0.25">
      <c r="B61" s="42">
        <v>1</v>
      </c>
      <c r="D61" s="182" t="s">
        <v>28</v>
      </c>
      <c r="E61" s="293">
        <v>3377.02</v>
      </c>
      <c r="F61" s="293">
        <v>3480</v>
      </c>
      <c r="G61" s="294" t="s">
        <v>33</v>
      </c>
      <c r="H61" s="296">
        <v>101.517</v>
      </c>
      <c r="I61" s="295"/>
      <c r="J61" s="118"/>
      <c r="K61" s="295"/>
      <c r="L61" s="295">
        <f>H61*1.5*1/27</f>
        <v>5.6398333333333328</v>
      </c>
      <c r="M61" s="295">
        <f>L61</f>
        <v>5.6398333333333328</v>
      </c>
      <c r="N61" s="296">
        <f>(H61*1.5)/9/2000</f>
        <v>8.4597500000000003E-3</v>
      </c>
      <c r="O61" s="295">
        <f>H61*1.5/9</f>
        <v>16.919499999999999</v>
      </c>
      <c r="P61" s="295">
        <f>H61*(4/12)*0.5/27</f>
        <v>0.62664814814814818</v>
      </c>
      <c r="Q61" s="295">
        <f>H61*(10/12)*6/12/27</f>
        <v>1.5666203703703703</v>
      </c>
      <c r="R61" s="295"/>
      <c r="S61" s="295"/>
      <c r="T61" s="295"/>
      <c r="U61" s="186"/>
      <c r="V61" s="186"/>
      <c r="W61" s="186"/>
      <c r="X61" s="123"/>
      <c r="Y61" s="123"/>
      <c r="Z61" s="123"/>
      <c r="AA61" s="123"/>
      <c r="AB61" s="123"/>
      <c r="AC61" s="379"/>
    </row>
    <row r="62" spans="2:29" ht="12.75" customHeight="1" x14ac:dyDescent="0.25">
      <c r="B62" s="42"/>
      <c r="D62" s="377"/>
      <c r="E62" s="141"/>
      <c r="F62" s="141"/>
      <c r="G62" s="142"/>
      <c r="H62" s="383"/>
      <c r="I62" s="384"/>
      <c r="J62" s="385"/>
      <c r="K62" s="384"/>
      <c r="L62" s="384"/>
      <c r="M62" s="384"/>
      <c r="N62" s="386"/>
      <c r="O62" s="384"/>
      <c r="P62" s="384"/>
      <c r="Q62" s="384"/>
      <c r="R62" s="384"/>
      <c r="S62" s="384"/>
      <c r="T62" s="384"/>
      <c r="U62" s="384"/>
      <c r="V62" s="384"/>
      <c r="W62" s="384"/>
      <c r="X62" s="123"/>
      <c r="Y62" s="123"/>
      <c r="Z62" s="123"/>
      <c r="AA62" s="123"/>
      <c r="AB62" s="123"/>
      <c r="AC62" s="379"/>
    </row>
    <row r="63" spans="2:29" ht="12.75" customHeight="1" x14ac:dyDescent="0.25">
      <c r="B63" s="42"/>
      <c r="D63" s="182"/>
      <c r="E63" s="447" t="s">
        <v>35</v>
      </c>
      <c r="F63" s="447"/>
      <c r="G63" s="142"/>
      <c r="H63" s="296"/>
      <c r="I63" s="295"/>
      <c r="J63" s="118"/>
      <c r="K63" s="295"/>
      <c r="L63" s="295"/>
      <c r="M63" s="295"/>
      <c r="N63" s="297"/>
      <c r="O63" s="295"/>
      <c r="P63" s="295"/>
      <c r="Q63" s="295"/>
      <c r="R63" s="295"/>
      <c r="S63" s="295"/>
      <c r="T63" s="295"/>
      <c r="U63" s="295"/>
      <c r="V63" s="295"/>
      <c r="W63" s="295"/>
      <c r="X63" s="123"/>
      <c r="Y63" s="123"/>
      <c r="Z63" s="123"/>
      <c r="AA63" s="123"/>
      <c r="AB63" s="123"/>
      <c r="AC63" s="379"/>
    </row>
    <row r="64" spans="2:29" ht="12.75" customHeight="1" x14ac:dyDescent="0.25">
      <c r="B64" s="42">
        <v>1</v>
      </c>
      <c r="D64" s="164" t="s">
        <v>27</v>
      </c>
      <c r="E64" s="165">
        <v>12842.95</v>
      </c>
      <c r="F64" s="165">
        <v>13062.87</v>
      </c>
      <c r="G64" s="166" t="s">
        <v>32</v>
      </c>
      <c r="H64" s="297">
        <f>F64-E64</f>
        <v>219.92000000000007</v>
      </c>
      <c r="I64" s="167">
        <f>J64/H64</f>
        <v>13.245725718443065</v>
      </c>
      <c r="J64" s="97">
        <v>2913</v>
      </c>
      <c r="K64" s="167">
        <f>J64/9</f>
        <v>323.66666666666669</v>
      </c>
      <c r="L64" s="167">
        <f>(J64*1)/27</f>
        <v>107.88888888888889</v>
      </c>
      <c r="M64" s="167">
        <f>L64</f>
        <v>107.88888888888889</v>
      </c>
      <c r="N64" s="297">
        <f>J64/9/2000</f>
        <v>0.16183333333333333</v>
      </c>
      <c r="O64" s="167">
        <f>J64/9</f>
        <v>323.66666666666669</v>
      </c>
      <c r="P64" s="167">
        <f>(J64*0.5)/27</f>
        <v>53.944444444444443</v>
      </c>
      <c r="Q64" s="167">
        <f>(J64*6/12)/27</f>
        <v>53.944444444444443</v>
      </c>
      <c r="R64" s="167">
        <f>(J64/9)*0.06*2</f>
        <v>38.840000000000003</v>
      </c>
      <c r="S64" s="167">
        <f>J64*(1.25/12)/27</f>
        <v>11.238425925925926</v>
      </c>
      <c r="T64" s="167">
        <f>J64*(1.75/12)/27</f>
        <v>15.733796296296296</v>
      </c>
      <c r="U64" s="167"/>
      <c r="V64" s="167"/>
      <c r="W64" s="147"/>
      <c r="X64" s="123"/>
      <c r="Y64" s="123"/>
      <c r="Z64" s="123"/>
      <c r="AA64" s="123"/>
      <c r="AB64" s="123"/>
      <c r="AC64" s="379"/>
    </row>
    <row r="65" spans="2:29" ht="12.75" customHeight="1" x14ac:dyDescent="0.25">
      <c r="B65" s="42">
        <v>1</v>
      </c>
      <c r="D65" s="183" t="s">
        <v>29</v>
      </c>
      <c r="E65" s="184">
        <v>12844.26</v>
      </c>
      <c r="F65" s="184">
        <v>13062.74</v>
      </c>
      <c r="G65" s="185" t="s">
        <v>32</v>
      </c>
      <c r="H65" s="187">
        <f>F65-E65</f>
        <v>218.47999999999956</v>
      </c>
      <c r="I65" s="186"/>
      <c r="J65" s="86"/>
      <c r="K65" s="186"/>
      <c r="L65" s="186">
        <f>H65*3.5*1/27</f>
        <v>28.321481481481424</v>
      </c>
      <c r="M65" s="186">
        <f>L65</f>
        <v>28.321481481481424</v>
      </c>
      <c r="N65" s="304">
        <f>(H65*3.5)/9/2000</f>
        <v>4.2482222222222137E-2</v>
      </c>
      <c r="O65" s="186">
        <f>H65*3.5/9</f>
        <v>84.964444444444268</v>
      </c>
      <c r="P65" s="186"/>
      <c r="Q65" s="186">
        <f>H65*(3.5)*6/12/27</f>
        <v>14.160740740740712</v>
      </c>
      <c r="R65" s="186"/>
      <c r="S65" s="295"/>
      <c r="T65" s="295"/>
      <c r="U65" s="186"/>
      <c r="V65" s="186"/>
      <c r="W65" s="295"/>
      <c r="X65" s="123"/>
      <c r="Y65" s="123"/>
      <c r="Z65" s="123"/>
      <c r="AA65" s="123"/>
      <c r="AB65" s="123"/>
      <c r="AC65" s="379"/>
    </row>
    <row r="66" spans="2:29" ht="12.75" customHeight="1" x14ac:dyDescent="0.25">
      <c r="B66" s="42"/>
      <c r="D66" s="183"/>
      <c r="E66" s="184"/>
      <c r="F66" s="184"/>
      <c r="G66" s="185"/>
      <c r="H66" s="187"/>
      <c r="I66" s="186"/>
      <c r="J66" s="86"/>
      <c r="K66" s="186"/>
      <c r="L66" s="186"/>
      <c r="M66" s="186"/>
      <c r="N66" s="304"/>
      <c r="O66" s="186"/>
      <c r="P66" s="304"/>
      <c r="Q66" s="304"/>
      <c r="R66" s="186"/>
      <c r="S66" s="382"/>
      <c r="T66" s="382"/>
      <c r="U66" s="186"/>
      <c r="V66" s="186"/>
      <c r="W66" s="382"/>
      <c r="X66" s="123"/>
      <c r="Y66" s="123"/>
      <c r="Z66" s="123"/>
      <c r="AA66" s="123"/>
      <c r="AB66" s="123"/>
      <c r="AC66" s="379"/>
    </row>
    <row r="67" spans="2:29" ht="12.75" customHeight="1" x14ac:dyDescent="0.25">
      <c r="B67" s="42">
        <v>1</v>
      </c>
      <c r="D67" s="153" t="s">
        <v>30</v>
      </c>
      <c r="E67" s="154">
        <v>12864.92</v>
      </c>
      <c r="F67" s="154">
        <v>13062.87</v>
      </c>
      <c r="G67" s="155" t="s">
        <v>34</v>
      </c>
      <c r="H67" s="156">
        <v>195.49199999999999</v>
      </c>
      <c r="I67" s="156">
        <f>J67/H67</f>
        <v>7.6463947373805583</v>
      </c>
      <c r="J67" s="100">
        <v>1494.809</v>
      </c>
      <c r="K67" s="156"/>
      <c r="L67" s="156">
        <f>(J67*1)/27</f>
        <v>55.363296296296298</v>
      </c>
      <c r="M67" s="156">
        <f>L67</f>
        <v>55.363296296296298</v>
      </c>
      <c r="N67" s="307">
        <f>J67/9/2000</f>
        <v>8.3044944444444435E-2</v>
      </c>
      <c r="O67" s="156">
        <f>J67/9</f>
        <v>166.08988888888888</v>
      </c>
      <c r="P67" s="156">
        <f>(J67*0.5)/27</f>
        <v>27.681648148148149</v>
      </c>
      <c r="Q67" s="156">
        <f>(J67*6/12)/27</f>
        <v>27.681648148148149</v>
      </c>
      <c r="R67" s="156">
        <f>(J67/9)*0.06*2</f>
        <v>19.930786666666666</v>
      </c>
      <c r="S67" s="167"/>
      <c r="T67" s="167"/>
      <c r="U67" s="156"/>
      <c r="V67" s="156"/>
      <c r="W67" s="156">
        <f>J67/9</f>
        <v>166.08988888888888</v>
      </c>
      <c r="X67" s="123"/>
      <c r="Y67" s="123"/>
      <c r="Z67" s="123"/>
      <c r="AA67" s="123"/>
      <c r="AB67" s="123"/>
      <c r="AC67" s="379"/>
    </row>
    <row r="68" spans="2:29" ht="12.75" customHeight="1" x14ac:dyDescent="0.25">
      <c r="B68" s="42"/>
      <c r="D68" s="164"/>
      <c r="E68" s="165"/>
      <c r="F68" s="165"/>
      <c r="G68" s="166"/>
      <c r="H68" s="297"/>
      <c r="I68" s="167"/>
      <c r="J68" s="97"/>
      <c r="K68" s="167"/>
      <c r="L68" s="167"/>
      <c r="M68" s="167"/>
      <c r="N68" s="297"/>
      <c r="O68" s="167"/>
      <c r="P68" s="167"/>
      <c r="Q68" s="167"/>
      <c r="R68" s="167"/>
      <c r="S68" s="387"/>
      <c r="T68" s="387"/>
      <c r="U68" s="123"/>
      <c r="V68" s="123"/>
      <c r="W68" s="123"/>
      <c r="X68" s="123"/>
      <c r="Y68" s="123"/>
      <c r="Z68" s="123"/>
      <c r="AA68" s="123"/>
      <c r="AB68" s="123"/>
      <c r="AC68" s="379"/>
    </row>
    <row r="69" spans="2:29" ht="12.75" customHeight="1" x14ac:dyDescent="0.25">
      <c r="B69" s="42">
        <v>1</v>
      </c>
      <c r="D69" s="164" t="s">
        <v>27</v>
      </c>
      <c r="E69" s="165">
        <v>12847.35</v>
      </c>
      <c r="F69" s="165">
        <v>13062.87</v>
      </c>
      <c r="G69" s="166" t="s">
        <v>33</v>
      </c>
      <c r="H69" s="297">
        <f>F69-E69</f>
        <v>215.52000000000044</v>
      </c>
      <c r="I69" s="167">
        <f>J69/H69</f>
        <v>15.557720861172946</v>
      </c>
      <c r="J69" s="97">
        <v>3353</v>
      </c>
      <c r="K69" s="167">
        <f>J69/9</f>
        <v>372.55555555555554</v>
      </c>
      <c r="L69" s="167">
        <f>(J69*1)/27</f>
        <v>124.18518518518519</v>
      </c>
      <c r="M69" s="167">
        <f>L69</f>
        <v>124.18518518518519</v>
      </c>
      <c r="N69" s="297">
        <f>J69/9/2000</f>
        <v>0.18627777777777776</v>
      </c>
      <c r="O69" s="167">
        <f>J69/9</f>
        <v>372.55555555555554</v>
      </c>
      <c r="P69" s="167">
        <f>(J69*0.5)/27</f>
        <v>62.092592592592595</v>
      </c>
      <c r="Q69" s="167">
        <f>(J69*6/12)/27</f>
        <v>62.092592592592595</v>
      </c>
      <c r="R69" s="167">
        <f>(J69/9)*0.06*2</f>
        <v>44.706666666666663</v>
      </c>
      <c r="S69" s="167">
        <f>J69*(1.25/12)/27</f>
        <v>12.935956790123457</v>
      </c>
      <c r="T69" s="167">
        <f>J69*(1.75/12)/27</f>
        <v>18.110339506172838</v>
      </c>
      <c r="U69" s="123"/>
      <c r="V69" s="123"/>
      <c r="W69" s="123"/>
      <c r="X69" s="123"/>
      <c r="Y69" s="123"/>
      <c r="Z69" s="123"/>
      <c r="AA69" s="123"/>
      <c r="AB69" s="123"/>
      <c r="AC69" s="379"/>
    </row>
    <row r="70" spans="2:29" ht="12.75" customHeight="1" x14ac:dyDescent="0.25">
      <c r="B70" s="42">
        <v>1</v>
      </c>
      <c r="D70" s="183" t="s">
        <v>29</v>
      </c>
      <c r="E70" s="184">
        <v>12852.9</v>
      </c>
      <c r="F70" s="184">
        <v>13063.48</v>
      </c>
      <c r="G70" s="185" t="s">
        <v>33</v>
      </c>
      <c r="H70" s="187">
        <f>F70-E70</f>
        <v>210.57999999999993</v>
      </c>
      <c r="I70" s="186"/>
      <c r="J70" s="86"/>
      <c r="K70" s="186"/>
      <c r="L70" s="186">
        <f>H70*3.5*1/27</f>
        <v>27.297407407407398</v>
      </c>
      <c r="M70" s="186">
        <f>L70</f>
        <v>27.297407407407398</v>
      </c>
      <c r="N70" s="304">
        <f>(H70*3.5)/9/2000</f>
        <v>4.0946111111111093E-2</v>
      </c>
      <c r="O70" s="186">
        <f>H70*3.5/9</f>
        <v>81.892222222222188</v>
      </c>
      <c r="P70" s="186"/>
      <c r="Q70" s="186">
        <f>H70*(3.5)*6/12/27</f>
        <v>13.648703703703699</v>
      </c>
      <c r="R70" s="186"/>
      <c r="S70" s="295"/>
      <c r="T70" s="295"/>
      <c r="U70" s="123"/>
      <c r="V70" s="123"/>
      <c r="W70" s="123"/>
      <c r="X70" s="123"/>
      <c r="Y70" s="123"/>
      <c r="Z70" s="123"/>
      <c r="AA70" s="123"/>
      <c r="AB70" s="123"/>
      <c r="AC70" s="379"/>
    </row>
    <row r="71" spans="2:29" ht="12.75" customHeight="1" x14ac:dyDescent="0.25">
      <c r="B71" s="42"/>
      <c r="D71" s="182"/>
      <c r="E71" s="293"/>
      <c r="F71" s="293"/>
      <c r="G71" s="294"/>
      <c r="H71" s="296"/>
      <c r="I71" s="295"/>
      <c r="J71" s="118"/>
      <c r="K71" s="295"/>
      <c r="L71" s="295"/>
      <c r="M71" s="295"/>
      <c r="N71" s="297"/>
      <c r="O71" s="295"/>
      <c r="P71" s="295"/>
      <c r="Q71" s="295"/>
      <c r="R71" s="295"/>
      <c r="S71" s="295"/>
      <c r="T71" s="295"/>
      <c r="U71" s="123"/>
      <c r="V71" s="123"/>
      <c r="W71" s="123"/>
      <c r="X71" s="123"/>
      <c r="Y71" s="123"/>
      <c r="Z71" s="123"/>
      <c r="AA71" s="123"/>
      <c r="AB71" s="123"/>
      <c r="AC71" s="379"/>
    </row>
    <row r="72" spans="2:29" ht="12.75" customHeight="1" x14ac:dyDescent="0.25">
      <c r="B72" s="42">
        <v>1</v>
      </c>
      <c r="D72" s="144" t="s">
        <v>27</v>
      </c>
      <c r="E72" s="145">
        <v>13062.87</v>
      </c>
      <c r="F72" s="145">
        <v>13364.49</v>
      </c>
      <c r="G72" s="146" t="s">
        <v>32</v>
      </c>
      <c r="H72" s="306">
        <v>301.625</v>
      </c>
      <c r="I72" s="147">
        <f>J72/H72</f>
        <v>14.230856195607126</v>
      </c>
      <c r="J72" s="108">
        <v>4292.3819999999996</v>
      </c>
      <c r="K72" s="147">
        <f>J72/9</f>
        <v>476.93133333333327</v>
      </c>
      <c r="L72" s="147">
        <f>(J72*1)/27</f>
        <v>158.9771111111111</v>
      </c>
      <c r="M72" s="147">
        <f>L72</f>
        <v>158.9771111111111</v>
      </c>
      <c r="N72" s="306">
        <f>J72/9/2000</f>
        <v>0.23846566666666663</v>
      </c>
      <c r="O72" s="147">
        <f>J72/9</f>
        <v>476.93133333333327</v>
      </c>
      <c r="P72" s="147">
        <f>(J72*0.5)/27</f>
        <v>79.48855555555555</v>
      </c>
      <c r="Q72" s="147">
        <f>(J72*6/12)/27</f>
        <v>79.48855555555555</v>
      </c>
      <c r="R72" s="147">
        <f>(J72/9)*0.06*2</f>
        <v>57.231759999999987</v>
      </c>
      <c r="S72" s="147">
        <f>J72*(1.25/12)/27</f>
        <v>16.560115740740738</v>
      </c>
      <c r="T72" s="147">
        <f>J72*(1.75/12)/27</f>
        <v>23.184162037037034</v>
      </c>
      <c r="U72" s="123"/>
      <c r="V72" s="123"/>
      <c r="W72" s="123"/>
      <c r="X72" s="380"/>
      <c r="Y72" s="123"/>
      <c r="Z72" s="123"/>
      <c r="AA72" s="123"/>
      <c r="AB72" s="123"/>
      <c r="AC72" s="379"/>
    </row>
    <row r="73" spans="2:29" ht="12.75" customHeight="1" x14ac:dyDescent="0.25">
      <c r="B73" s="42">
        <v>1</v>
      </c>
      <c r="D73" s="182" t="s">
        <v>28</v>
      </c>
      <c r="E73" s="293">
        <v>13062.74</v>
      </c>
      <c r="F73" s="293">
        <v>13354.01</v>
      </c>
      <c r="G73" s="294" t="s">
        <v>32</v>
      </c>
      <c r="H73" s="296">
        <v>290.81700000000001</v>
      </c>
      <c r="I73" s="295"/>
      <c r="J73" s="118"/>
      <c r="K73" s="295"/>
      <c r="L73" s="295">
        <f>H73*1.5*1/27</f>
        <v>16.156500000000001</v>
      </c>
      <c r="M73" s="295">
        <f>L73</f>
        <v>16.156500000000001</v>
      </c>
      <c r="N73" s="296">
        <f>(H73*1.5)/9/2000</f>
        <v>2.4234750000000003E-2</v>
      </c>
      <c r="O73" s="295">
        <f>H73*1.5/9</f>
        <v>48.469500000000004</v>
      </c>
      <c r="P73" s="295">
        <f>H73*(4/12)*0.5/27</f>
        <v>1.7951666666666666</v>
      </c>
      <c r="Q73" s="295">
        <f>H73*(10/12)*6/12/27</f>
        <v>4.487916666666667</v>
      </c>
      <c r="R73" s="295"/>
      <c r="S73" s="295"/>
      <c r="T73" s="295"/>
      <c r="U73" s="123"/>
      <c r="V73" s="123"/>
      <c r="W73" s="123"/>
      <c r="X73" s="123"/>
      <c r="Y73" s="123"/>
      <c r="Z73" s="123"/>
      <c r="AA73" s="123"/>
      <c r="AB73" s="123"/>
      <c r="AC73" s="379"/>
    </row>
    <row r="74" spans="2:29" ht="12.75" customHeight="1" x14ac:dyDescent="0.25">
      <c r="B74" s="42"/>
      <c r="D74" s="206"/>
      <c r="E74" s="145"/>
      <c r="F74" s="145"/>
      <c r="G74" s="166"/>
      <c r="H74" s="299"/>
      <c r="I74" s="299"/>
      <c r="J74" s="381"/>
      <c r="K74" s="167"/>
      <c r="L74" s="208"/>
      <c r="M74" s="208"/>
      <c r="N74" s="208"/>
      <c r="O74" s="208"/>
      <c r="P74" s="382"/>
      <c r="Q74" s="382"/>
      <c r="R74" s="295"/>
      <c r="S74" s="295"/>
      <c r="T74" s="295"/>
      <c r="U74" s="123"/>
      <c r="V74" s="123"/>
      <c r="W74" s="123"/>
      <c r="X74" s="123"/>
      <c r="Y74" s="123"/>
      <c r="Z74" s="123"/>
      <c r="AA74" s="123"/>
      <c r="AB74" s="123"/>
      <c r="AC74" s="379"/>
    </row>
    <row r="75" spans="2:29" ht="12.75" customHeight="1" x14ac:dyDescent="0.25">
      <c r="B75" s="42">
        <v>1</v>
      </c>
      <c r="D75" s="144" t="s">
        <v>27</v>
      </c>
      <c r="E75" s="145">
        <v>13062.87</v>
      </c>
      <c r="F75" s="145">
        <v>13374.19</v>
      </c>
      <c r="G75" s="146" t="s">
        <v>33</v>
      </c>
      <c r="H75" s="306">
        <v>301.625</v>
      </c>
      <c r="I75" s="147">
        <f>J75/H75</f>
        <v>13.925404061334438</v>
      </c>
      <c r="J75" s="108">
        <v>4200.25</v>
      </c>
      <c r="K75" s="147">
        <f>J75/9</f>
        <v>466.69444444444446</v>
      </c>
      <c r="L75" s="147">
        <f>(J75*1)/27</f>
        <v>155.56481481481481</v>
      </c>
      <c r="M75" s="147">
        <f>L75</f>
        <v>155.56481481481481</v>
      </c>
      <c r="N75" s="306">
        <f>J75/9/2000</f>
        <v>0.23334722222222223</v>
      </c>
      <c r="O75" s="147">
        <f>J75/9</f>
        <v>466.69444444444446</v>
      </c>
      <c r="P75" s="147">
        <f>(J75*0.5)/27</f>
        <v>77.782407407407405</v>
      </c>
      <c r="Q75" s="147">
        <f>(J75*6/12)/27</f>
        <v>77.782407407407405</v>
      </c>
      <c r="R75" s="147">
        <f>(J75/9)*0.06*2</f>
        <v>56.00333333333333</v>
      </c>
      <c r="S75" s="147">
        <f>J75*(1.25/12)/27</f>
        <v>16.204668209876544</v>
      </c>
      <c r="T75" s="147">
        <f>J75*(1.75/12)/27</f>
        <v>22.686535493827162</v>
      </c>
      <c r="U75" s="123"/>
      <c r="V75" s="123"/>
      <c r="W75" s="123"/>
      <c r="X75" s="380"/>
      <c r="Y75" s="123"/>
      <c r="Z75" s="123"/>
      <c r="AA75" s="123"/>
      <c r="AB75" s="123"/>
      <c r="AC75" s="379"/>
    </row>
    <row r="76" spans="2:29" ht="12.75" customHeight="1" x14ac:dyDescent="0.25">
      <c r="B76" s="42">
        <v>1</v>
      </c>
      <c r="D76" s="182" t="s">
        <v>28</v>
      </c>
      <c r="E76" s="293">
        <v>13063.48</v>
      </c>
      <c r="F76" s="293">
        <v>13374.19</v>
      </c>
      <c r="G76" s="294" t="s">
        <v>33</v>
      </c>
      <c r="H76" s="296">
        <v>311.39400000000001</v>
      </c>
      <c r="I76" s="295"/>
      <c r="J76" s="118"/>
      <c r="K76" s="295"/>
      <c r="L76" s="295">
        <f>H76*1.5*1/27</f>
        <v>17.299666666666667</v>
      </c>
      <c r="M76" s="295">
        <f>L76</f>
        <v>17.299666666666667</v>
      </c>
      <c r="N76" s="296">
        <f>(H76*1.5)/9/2000</f>
        <v>2.59495E-2</v>
      </c>
      <c r="O76" s="295">
        <f>H76*1.5/9</f>
        <v>51.899000000000001</v>
      </c>
      <c r="P76" s="295">
        <f>H76*(4/12)*0.5/27</f>
        <v>1.9221851851851852</v>
      </c>
      <c r="Q76" s="295">
        <f>H76*(10/12)*6/12/27</f>
        <v>4.805462962962963</v>
      </c>
      <c r="R76" s="295"/>
      <c r="S76" s="295"/>
      <c r="T76" s="295"/>
      <c r="U76" s="123"/>
      <c r="V76" s="123"/>
      <c r="W76" s="123"/>
      <c r="X76" s="123"/>
      <c r="Y76" s="123"/>
      <c r="Z76" s="123"/>
      <c r="AA76" s="123"/>
      <c r="AB76" s="123"/>
      <c r="AC76" s="379"/>
    </row>
    <row r="77" spans="2:29" ht="12.75" customHeight="1" x14ac:dyDescent="0.25">
      <c r="B77" s="42"/>
      <c r="D77" s="242"/>
      <c r="E77" s="141"/>
      <c r="F77" s="141"/>
      <c r="G77" s="142"/>
      <c r="H77" s="123" t="str">
        <f t="shared" ref="H77:H86" si="3">IF(E77&lt;&gt;"",F77-E77,"")</f>
        <v/>
      </c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379"/>
    </row>
    <row r="78" spans="2:29" ht="12.75" customHeight="1" x14ac:dyDescent="0.25">
      <c r="B78" s="42"/>
      <c r="D78" s="242"/>
      <c r="E78" s="141"/>
      <c r="F78" s="141"/>
      <c r="G78" s="142"/>
      <c r="H78" s="123" t="str">
        <f t="shared" si="3"/>
        <v/>
      </c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379"/>
    </row>
    <row r="79" spans="2:29" ht="12.75" customHeight="1" x14ac:dyDescent="0.25">
      <c r="B79" s="42"/>
      <c r="D79" s="242"/>
      <c r="E79" s="141"/>
      <c r="F79" s="141"/>
      <c r="G79" s="142"/>
      <c r="H79" s="123" t="str">
        <f t="shared" si="3"/>
        <v/>
      </c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379"/>
    </row>
    <row r="80" spans="2:29" ht="12.75" customHeight="1" x14ac:dyDescent="0.25">
      <c r="B80" s="42"/>
      <c r="D80" s="242"/>
      <c r="E80" s="141"/>
      <c r="F80" s="141"/>
      <c r="G80" s="142"/>
      <c r="H80" s="123" t="str">
        <f t="shared" si="3"/>
        <v/>
      </c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379"/>
    </row>
    <row r="81" spans="2:29" ht="12.75" customHeight="1" x14ac:dyDescent="0.25">
      <c r="B81" s="42"/>
      <c r="D81" s="242"/>
      <c r="E81" s="141"/>
      <c r="F81" s="141"/>
      <c r="G81" s="142"/>
      <c r="H81" s="123" t="str">
        <f t="shared" si="3"/>
        <v/>
      </c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379"/>
    </row>
    <row r="82" spans="2:29" ht="12.75" customHeight="1" x14ac:dyDescent="0.25">
      <c r="B82" s="42"/>
      <c r="D82" s="242"/>
      <c r="E82" s="141"/>
      <c r="F82" s="141"/>
      <c r="G82" s="142"/>
      <c r="H82" s="123" t="str">
        <f t="shared" si="3"/>
        <v/>
      </c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379"/>
    </row>
    <row r="83" spans="2:29" ht="12.75" customHeight="1" x14ac:dyDescent="0.25">
      <c r="B83" s="42"/>
      <c r="D83" s="242"/>
      <c r="E83" s="141"/>
      <c r="F83" s="141"/>
      <c r="G83" s="142"/>
      <c r="H83" s="123" t="str">
        <f t="shared" si="3"/>
        <v/>
      </c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379"/>
    </row>
    <row r="84" spans="2:29" ht="12.75" customHeight="1" x14ac:dyDescent="0.25">
      <c r="B84" s="42"/>
      <c r="D84" s="242"/>
      <c r="E84" s="141"/>
      <c r="F84" s="141"/>
      <c r="G84" s="142"/>
      <c r="H84" s="123" t="str">
        <f t="shared" si="3"/>
        <v/>
      </c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379"/>
    </row>
    <row r="85" spans="2:29" ht="12.75" customHeight="1" x14ac:dyDescent="0.25">
      <c r="B85" s="42"/>
      <c r="D85" s="242"/>
      <c r="E85" s="141"/>
      <c r="F85" s="141"/>
      <c r="G85" s="142"/>
      <c r="H85" s="123" t="str">
        <f t="shared" si="3"/>
        <v/>
      </c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379"/>
    </row>
    <row r="86" spans="2:29" ht="12.75" customHeight="1" thickBot="1" x14ac:dyDescent="0.3">
      <c r="B86" s="43"/>
      <c r="D86" s="243"/>
      <c r="E86" s="199"/>
      <c r="F86" s="200"/>
      <c r="G86" s="201"/>
      <c r="H86" s="201" t="str">
        <f t="shared" si="3"/>
        <v/>
      </c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388"/>
    </row>
    <row r="87" spans="2:29" ht="12.75" customHeight="1" thickBot="1" x14ac:dyDescent="0.3">
      <c r="D87" s="243"/>
      <c r="E87" s="203"/>
      <c r="F87" s="203"/>
      <c r="G87" s="201"/>
      <c r="H87" s="128" t="str">
        <f t="shared" ref="H87" si="4">IF(E87&lt;&gt;"",F87-E87,"")</f>
        <v/>
      </c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388"/>
    </row>
    <row r="88" spans="2:29" ht="12.75" customHeight="1" thickBot="1" x14ac:dyDescent="0.3">
      <c r="B88" s="6" t="s">
        <v>17</v>
      </c>
      <c r="D88" s="518" t="s">
        <v>58</v>
      </c>
      <c r="E88" s="519"/>
      <c r="F88" s="519"/>
      <c r="G88" s="519"/>
      <c r="H88" s="445" t="s">
        <v>64</v>
      </c>
      <c r="I88" s="445"/>
      <c r="J88" s="48"/>
      <c r="K88" s="136">
        <f t="shared" ref="K88:W88" si="5">SUM(K28:K87)</f>
        <v>4289.2031111111119</v>
      </c>
      <c r="L88" s="136">
        <f t="shared" si="5"/>
        <v>1727.2892592592593</v>
      </c>
      <c r="M88" s="136">
        <f t="shared" si="5"/>
        <v>1727.2892592592593</v>
      </c>
      <c r="N88" s="136">
        <f t="shared" si="5"/>
        <v>2.5909338888888884</v>
      </c>
      <c r="O88" s="136">
        <f t="shared" si="5"/>
        <v>5181.8677777777766</v>
      </c>
      <c r="P88" s="136">
        <f t="shared" si="5"/>
        <v>765.5102901234568</v>
      </c>
      <c r="Q88" s="136">
        <f t="shared" si="5"/>
        <v>847.48712345679019</v>
      </c>
      <c r="R88" s="136">
        <f t="shared" si="5"/>
        <v>545.35070666666661</v>
      </c>
      <c r="S88" s="136">
        <f t="shared" si="5"/>
        <v>143.57341820987654</v>
      </c>
      <c r="T88" s="136">
        <f t="shared" si="5"/>
        <v>201.00278549382716</v>
      </c>
      <c r="U88" s="136">
        <f t="shared" si="5"/>
        <v>0</v>
      </c>
      <c r="V88" s="136">
        <f t="shared" si="5"/>
        <v>154.28866666666667</v>
      </c>
      <c r="W88" s="136">
        <f t="shared" si="5"/>
        <v>409.67477777777776</v>
      </c>
      <c r="X88" s="134" t="str">
        <f t="shared" ref="X88:AC88" si="6">IF(X10="","",IF(X27="",IF(SUM(COUNTIF(X28:X86,"LS")+COUNTIF(X28:X86,"LUMP"))&gt;0,"LS",""),IF(X87&lt;&gt;"",ROUNDUP(X87,0),"")))</f>
        <v/>
      </c>
      <c r="Y88" s="134" t="str">
        <f t="shared" si="6"/>
        <v/>
      </c>
      <c r="Z88" s="134" t="str">
        <f t="shared" si="6"/>
        <v/>
      </c>
      <c r="AA88" s="134" t="str">
        <f t="shared" si="6"/>
        <v/>
      </c>
      <c r="AB88" s="134" t="str">
        <f t="shared" si="6"/>
        <v/>
      </c>
      <c r="AC88" s="389" t="str">
        <f t="shared" si="6"/>
        <v/>
      </c>
    </row>
    <row r="89" spans="2:29" ht="12.75" customHeight="1" thickBot="1" x14ac:dyDescent="0.3"/>
    <row r="90" spans="2:29" ht="12.75" customHeight="1" thickBot="1" x14ac:dyDescent="0.3">
      <c r="B90" s="39" t="s">
        <v>15</v>
      </c>
      <c r="E90" s="449">
        <f>E9+1</f>
        <v>2</v>
      </c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</row>
    <row r="91" spans="2:29" ht="12.75" customHeight="1" thickBot="1" x14ac:dyDescent="0.3">
      <c r="B91" s="40">
        <v>48</v>
      </c>
      <c r="E91" s="9"/>
      <c r="F91" s="9"/>
      <c r="G91" s="9"/>
      <c r="H91" s="10"/>
      <c r="I91" s="10"/>
      <c r="J91" s="11" t="s">
        <v>13</v>
      </c>
      <c r="K91" s="38" t="s">
        <v>36</v>
      </c>
      <c r="L91" s="38" t="s">
        <v>37</v>
      </c>
      <c r="M91" s="38" t="s">
        <v>38</v>
      </c>
      <c r="N91" s="38" t="s">
        <v>39</v>
      </c>
      <c r="O91" s="38" t="s">
        <v>40</v>
      </c>
      <c r="P91" s="38" t="s">
        <v>41</v>
      </c>
      <c r="Q91" s="38" t="s">
        <v>42</v>
      </c>
      <c r="R91" s="38" t="s">
        <v>56</v>
      </c>
      <c r="S91" s="38" t="s">
        <v>65</v>
      </c>
      <c r="T91" s="38" t="s">
        <v>67</v>
      </c>
      <c r="U91" s="38" t="s">
        <v>53</v>
      </c>
      <c r="V91" s="38" t="s">
        <v>46</v>
      </c>
      <c r="W91" s="38" t="s">
        <v>54</v>
      </c>
      <c r="X91" s="38"/>
      <c r="Y91" s="38"/>
      <c r="Z91" s="38"/>
      <c r="AA91" s="38"/>
      <c r="AB91" s="38"/>
      <c r="AC91" s="38"/>
    </row>
    <row r="92" spans="2:29" ht="12.75" customHeight="1" x14ac:dyDescent="0.25">
      <c r="E92" s="9"/>
      <c r="F92" s="9"/>
      <c r="G92" s="9"/>
      <c r="H92" s="10"/>
      <c r="I92" s="10"/>
      <c r="J92" s="11" t="s">
        <v>14</v>
      </c>
      <c r="K92" s="58"/>
      <c r="L92" s="58" t="s">
        <v>44</v>
      </c>
      <c r="M92" s="58"/>
      <c r="N92" s="58"/>
      <c r="O92" s="58"/>
      <c r="P92" s="58"/>
      <c r="Q92" s="58"/>
      <c r="R92" s="58" t="s">
        <v>45</v>
      </c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</row>
    <row r="93" spans="2:29" ht="12.75" customHeight="1" x14ac:dyDescent="0.25">
      <c r="E93" s="10"/>
      <c r="F93" s="1"/>
      <c r="G93" s="10"/>
      <c r="H93" s="9"/>
      <c r="I93" s="10"/>
      <c r="J93" s="11" t="s">
        <v>7</v>
      </c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2:29" ht="12.75" customHeight="1" thickBot="1" x14ac:dyDescent="0.3">
      <c r="E94" s="10"/>
      <c r="F94" s="1"/>
      <c r="G94" s="10"/>
      <c r="H94" s="9"/>
      <c r="I94" s="10"/>
      <c r="J94" s="11" t="s">
        <v>8</v>
      </c>
      <c r="K94" s="61"/>
      <c r="L94" s="61"/>
      <c r="M94" s="61"/>
      <c r="N94" s="61"/>
      <c r="O94" s="61"/>
      <c r="P94" s="61" t="s">
        <v>43</v>
      </c>
      <c r="Q94" s="61" t="s">
        <v>43</v>
      </c>
      <c r="R94" s="61"/>
      <c r="S94" s="61" t="s">
        <v>66</v>
      </c>
      <c r="T94" s="61" t="s">
        <v>55</v>
      </c>
      <c r="U94" s="61"/>
      <c r="V94" s="61"/>
      <c r="W94" s="61"/>
      <c r="X94" s="61"/>
      <c r="Y94" s="61"/>
      <c r="Z94" s="61"/>
      <c r="AA94" s="61"/>
      <c r="AB94" s="61"/>
      <c r="AC94" s="61"/>
    </row>
    <row r="95" spans="2:29" ht="12.75" customHeight="1" x14ac:dyDescent="0.25">
      <c r="B95" s="450" t="s">
        <v>16</v>
      </c>
      <c r="D95" s="453" t="s">
        <v>26</v>
      </c>
      <c r="E95" s="514" t="s">
        <v>2</v>
      </c>
      <c r="F95" s="515"/>
      <c r="G95" s="460" t="s">
        <v>0</v>
      </c>
      <c r="H95" s="460" t="s">
        <v>9</v>
      </c>
      <c r="I95" s="460" t="s">
        <v>23</v>
      </c>
      <c r="J95" s="460" t="s">
        <v>3</v>
      </c>
      <c r="K95" s="62" t="str">
        <f t="shared" ref="K95:AC95" si="7">IF(OR(TRIM(K91)=0,TRIM(K91)=""),"",IF(IFERROR(TRIM(INDEX(QryItemNamed,MATCH(TRIM(K91),ITEM,0),2)),"")="Y","SPECIAL",LEFT(IFERROR(TRIM(INDEX(ITEM,MATCH(TRIM(K91),ITEM,0))),""),3)))</f>
        <v>204</v>
      </c>
      <c r="L95" s="62" t="str">
        <f t="shared" si="7"/>
        <v>204</v>
      </c>
      <c r="M95" s="62" t="str">
        <f t="shared" si="7"/>
        <v>204</v>
      </c>
      <c r="N95" s="62" t="str">
        <f t="shared" si="7"/>
        <v>204</v>
      </c>
      <c r="O95" s="62" t="str">
        <f t="shared" si="7"/>
        <v>204</v>
      </c>
      <c r="P95" s="62" t="str">
        <f t="shared" si="7"/>
        <v>301</v>
      </c>
      <c r="Q95" s="62" t="str">
        <f t="shared" si="7"/>
        <v>304</v>
      </c>
      <c r="R95" s="62" t="str">
        <f t="shared" si="7"/>
        <v>407</v>
      </c>
      <c r="S95" s="62" t="str">
        <f t="shared" si="7"/>
        <v>442</v>
      </c>
      <c r="T95" s="62" t="str">
        <f t="shared" ref="T95" si="8">IF(OR(TRIM(T91)=0,TRIM(T91)=""),"",IF(IFERROR(TRIM(INDEX(QryItemNamed,MATCH(TRIM(T91),ITEM,0),2)),"")="Y","SPECIAL",LEFT(IFERROR(TRIM(INDEX(ITEM,MATCH(TRIM(T91),ITEM,0))),""),3)))</f>
        <v>442</v>
      </c>
      <c r="U95" s="62" t="str">
        <f t="shared" si="7"/>
        <v>451</v>
      </c>
      <c r="V95" s="62" t="str">
        <f t="shared" si="7"/>
        <v>452</v>
      </c>
      <c r="W95" s="62" t="str">
        <f t="shared" si="7"/>
        <v>609</v>
      </c>
      <c r="X95" s="62" t="str">
        <f t="shared" si="7"/>
        <v/>
      </c>
      <c r="Y95" s="62" t="str">
        <f t="shared" si="7"/>
        <v/>
      </c>
      <c r="Z95" s="62" t="str">
        <f t="shared" si="7"/>
        <v/>
      </c>
      <c r="AA95" s="62" t="str">
        <f t="shared" si="7"/>
        <v/>
      </c>
      <c r="AB95" s="62" t="str">
        <f t="shared" si="7"/>
        <v/>
      </c>
      <c r="AC95" s="375" t="str">
        <f t="shared" si="7"/>
        <v/>
      </c>
    </row>
    <row r="96" spans="2:29" ht="12.75" customHeight="1" x14ac:dyDescent="0.25">
      <c r="B96" s="451"/>
      <c r="D96" s="454"/>
      <c r="E96" s="516"/>
      <c r="F96" s="517"/>
      <c r="G96" s="461"/>
      <c r="H96" s="461"/>
      <c r="I96" s="461"/>
      <c r="J96" s="461"/>
      <c r="K96" s="466" t="str">
        <f t="shared" ref="K96:AC96" si="9">IF(OR(TRIM(K91)=0,TRIM(K91)=""),IF(K92="","",K92),IF(IFERROR(TRIM(INDEX(QryItemNamed,MATCH(TRIM(K91),ITEM,0),2)),"")="Y",TRIM(RIGHT(IFERROR(TRIM(INDEX(QryItemNamed,MATCH(TRIM(K91),ITEM,0),4)),"123456789012"),LEN(IFERROR(TRIM(INDEX(QryItemNamed,MATCH(TRIM(K91),ITEM,0),4)),"123456789012"))-9))&amp;K92,IFERROR(TRIM(INDEX(QryItemNamed,MATCH(TRIM(K91),ITEM,0),4))&amp;K92,"ITEM CODE DOES NOT EXIST IN ITEM MASTER")))</f>
        <v>SUBGRADE COMPACTION</v>
      </c>
      <c r="L96" s="466" t="str">
        <f t="shared" si="9"/>
        <v>EXCAVATION OF SUBGRADE (12" DEEP)</v>
      </c>
      <c r="M96" s="466" t="str">
        <f t="shared" si="9"/>
        <v>GRANULAR MATERIAL, TYPE C</v>
      </c>
      <c r="N96" s="466" t="str">
        <f t="shared" si="9"/>
        <v>PROOF ROLLING</v>
      </c>
      <c r="O96" s="466" t="str">
        <f t="shared" si="9"/>
        <v>GEOTEXTILE FABRIC</v>
      </c>
      <c r="P96" s="466" t="str">
        <f t="shared" si="9"/>
        <v>ASPHALT CONCRETE BASE, PG64-22, (449)</v>
      </c>
      <c r="Q96" s="466" t="str">
        <f t="shared" si="9"/>
        <v>AGGREGATE BASE</v>
      </c>
      <c r="R96" s="466" t="str">
        <f t="shared" si="9"/>
        <v>NON-TRACKING TACK COAT (@0.06 GAL/SY)</v>
      </c>
      <c r="S96" s="466" t="str">
        <f t="shared" si="9"/>
        <v>ASPHALT CONCRETE SURFACE COURSE, 12.5 MM, TYPE A (446)</v>
      </c>
      <c r="T96" s="466" t="str">
        <f t="shared" ref="T96" si="10">IF(OR(TRIM(T91)=0,TRIM(T91)=""),IF(T92="","",T92),IF(IFERROR(TRIM(INDEX(QryItemNamed,MATCH(TRIM(T91),ITEM,0),2)),"")="Y",TRIM(RIGHT(IFERROR(TRIM(INDEX(QryItemNamed,MATCH(TRIM(T91),ITEM,0),4)),"123456789012"),LEN(IFERROR(TRIM(INDEX(QryItemNamed,MATCH(TRIM(T91),ITEM,0),4)),"123456789012"))-9))&amp;T92,IFERROR(TRIM(INDEX(QryItemNamed,MATCH(TRIM(T91),ITEM,0),4))&amp;T92,"ITEM CODE DOES NOT EXIST IN ITEM MASTER")))</f>
        <v>ASPHALT CONCRETE INTERMEDIATE COURSE, 12.5 MM, TYPE A (446)</v>
      </c>
      <c r="U96" s="466" t="str">
        <f t="shared" si="9"/>
        <v>9" REINFORCED CONCRETE PAVEMENT, CLASS QC 1P, AS PER PLAN</v>
      </c>
      <c r="V96" s="466" t="str">
        <f t="shared" si="9"/>
        <v>8" NON-REINFORCED CONCRETE PAVEMENT, CLASS QC 1P</v>
      </c>
      <c r="W96" s="466" t="str">
        <f t="shared" si="9"/>
        <v>9" CONCRETE TRAFFIC ISLAND, AS PER PLAN</v>
      </c>
      <c r="X96" s="466" t="str">
        <f t="shared" si="9"/>
        <v/>
      </c>
      <c r="Y96" s="466" t="str">
        <f t="shared" si="9"/>
        <v/>
      </c>
      <c r="Z96" s="466" t="str">
        <f t="shared" si="9"/>
        <v/>
      </c>
      <c r="AA96" s="466" t="str">
        <f t="shared" si="9"/>
        <v/>
      </c>
      <c r="AB96" s="466" t="str">
        <f t="shared" si="9"/>
        <v/>
      </c>
      <c r="AC96" s="520" t="str">
        <f t="shared" si="9"/>
        <v/>
      </c>
    </row>
    <row r="97" spans="2:29" ht="12.75" customHeight="1" x14ac:dyDescent="0.25">
      <c r="B97" s="451"/>
      <c r="D97" s="454"/>
      <c r="E97" s="516"/>
      <c r="F97" s="517"/>
      <c r="G97" s="461"/>
      <c r="H97" s="461"/>
      <c r="I97" s="461"/>
      <c r="J97" s="461"/>
      <c r="K97" s="467"/>
      <c r="L97" s="467"/>
      <c r="M97" s="467"/>
      <c r="N97" s="467"/>
      <c r="O97" s="467"/>
      <c r="P97" s="467"/>
      <c r="Q97" s="467"/>
      <c r="R97" s="467"/>
      <c r="S97" s="467"/>
      <c r="T97" s="467"/>
      <c r="U97" s="467"/>
      <c r="V97" s="467"/>
      <c r="W97" s="467"/>
      <c r="X97" s="467"/>
      <c r="Y97" s="467"/>
      <c r="Z97" s="467"/>
      <c r="AA97" s="467"/>
      <c r="AB97" s="467"/>
      <c r="AC97" s="521"/>
    </row>
    <row r="98" spans="2:29" ht="12.75" customHeight="1" x14ac:dyDescent="0.25">
      <c r="B98" s="451"/>
      <c r="D98" s="454"/>
      <c r="E98" s="516"/>
      <c r="F98" s="517"/>
      <c r="G98" s="461"/>
      <c r="H98" s="461"/>
      <c r="I98" s="461"/>
      <c r="J98" s="461"/>
      <c r="K98" s="467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67"/>
      <c r="AA98" s="467"/>
      <c r="AB98" s="467"/>
      <c r="AC98" s="521"/>
    </row>
    <row r="99" spans="2:29" ht="12.75" customHeight="1" x14ac:dyDescent="0.25">
      <c r="B99" s="451"/>
      <c r="D99" s="454"/>
      <c r="E99" s="516"/>
      <c r="F99" s="517"/>
      <c r="G99" s="461"/>
      <c r="H99" s="461"/>
      <c r="I99" s="461"/>
      <c r="J99" s="461"/>
      <c r="K99" s="467"/>
      <c r="L99" s="467"/>
      <c r="M99" s="467"/>
      <c r="N99" s="467"/>
      <c r="O99" s="467"/>
      <c r="P99" s="467"/>
      <c r="Q99" s="467"/>
      <c r="R99" s="467"/>
      <c r="S99" s="467"/>
      <c r="T99" s="467"/>
      <c r="U99" s="467"/>
      <c r="V99" s="467"/>
      <c r="W99" s="467"/>
      <c r="X99" s="467"/>
      <c r="Y99" s="467"/>
      <c r="Z99" s="467"/>
      <c r="AA99" s="467"/>
      <c r="AB99" s="467"/>
      <c r="AC99" s="521"/>
    </row>
    <row r="100" spans="2:29" ht="12.75" customHeight="1" x14ac:dyDescent="0.25">
      <c r="B100" s="451"/>
      <c r="D100" s="454"/>
      <c r="E100" s="516"/>
      <c r="F100" s="517"/>
      <c r="G100" s="461"/>
      <c r="H100" s="461"/>
      <c r="I100" s="461"/>
      <c r="J100" s="461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467"/>
      <c r="AA100" s="467"/>
      <c r="AB100" s="467"/>
      <c r="AC100" s="521"/>
    </row>
    <row r="101" spans="2:29" ht="12.75" customHeight="1" x14ac:dyDescent="0.25">
      <c r="B101" s="451"/>
      <c r="D101" s="454"/>
      <c r="E101" s="516"/>
      <c r="F101" s="517"/>
      <c r="G101" s="461"/>
      <c r="H101" s="461"/>
      <c r="I101" s="461"/>
      <c r="J101" s="461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521"/>
    </row>
    <row r="102" spans="2:29" ht="12.75" customHeight="1" x14ac:dyDescent="0.25">
      <c r="B102" s="451"/>
      <c r="D102" s="454"/>
      <c r="E102" s="516"/>
      <c r="F102" s="517"/>
      <c r="G102" s="461"/>
      <c r="H102" s="461"/>
      <c r="I102" s="461"/>
      <c r="J102" s="461"/>
      <c r="K102" s="467"/>
      <c r="L102" s="467"/>
      <c r="M102" s="467"/>
      <c r="N102" s="467"/>
      <c r="O102" s="467"/>
      <c r="P102" s="467"/>
      <c r="Q102" s="467"/>
      <c r="R102" s="467"/>
      <c r="S102" s="467"/>
      <c r="T102" s="467"/>
      <c r="U102" s="467"/>
      <c r="V102" s="467"/>
      <c r="W102" s="467"/>
      <c r="X102" s="467"/>
      <c r="Y102" s="467"/>
      <c r="Z102" s="467"/>
      <c r="AA102" s="467"/>
      <c r="AB102" s="467"/>
      <c r="AC102" s="521"/>
    </row>
    <row r="103" spans="2:29" ht="12.75" customHeight="1" x14ac:dyDescent="0.25">
      <c r="B103" s="451"/>
      <c r="D103" s="454"/>
      <c r="E103" s="516"/>
      <c r="F103" s="517"/>
      <c r="G103" s="461"/>
      <c r="H103" s="461"/>
      <c r="I103" s="461"/>
      <c r="J103" s="461"/>
      <c r="K103" s="467"/>
      <c r="L103" s="467"/>
      <c r="M103" s="467"/>
      <c r="N103" s="467"/>
      <c r="O103" s="467"/>
      <c r="P103" s="467"/>
      <c r="Q103" s="467"/>
      <c r="R103" s="467"/>
      <c r="S103" s="467"/>
      <c r="T103" s="467"/>
      <c r="U103" s="467"/>
      <c r="V103" s="467"/>
      <c r="W103" s="467"/>
      <c r="X103" s="467"/>
      <c r="Y103" s="467"/>
      <c r="Z103" s="467"/>
      <c r="AA103" s="467"/>
      <c r="AB103" s="467"/>
      <c r="AC103" s="521"/>
    </row>
    <row r="104" spans="2:29" ht="12.75" customHeight="1" x14ac:dyDescent="0.25">
      <c r="B104" s="451"/>
      <c r="D104" s="454"/>
      <c r="E104" s="516"/>
      <c r="F104" s="517"/>
      <c r="G104" s="461"/>
      <c r="H104" s="461"/>
      <c r="I104" s="461"/>
      <c r="J104" s="461"/>
      <c r="K104" s="467"/>
      <c r="L104" s="467"/>
      <c r="M104" s="467"/>
      <c r="N104" s="467"/>
      <c r="O104" s="467"/>
      <c r="P104" s="467"/>
      <c r="Q104" s="467"/>
      <c r="R104" s="467"/>
      <c r="S104" s="467"/>
      <c r="T104" s="467"/>
      <c r="U104" s="467"/>
      <c r="V104" s="467"/>
      <c r="W104" s="467"/>
      <c r="X104" s="467"/>
      <c r="Y104" s="467"/>
      <c r="Z104" s="467"/>
      <c r="AA104" s="467"/>
      <c r="AB104" s="467"/>
      <c r="AC104" s="521"/>
    </row>
    <row r="105" spans="2:29" ht="12.75" customHeight="1" x14ac:dyDescent="0.25">
      <c r="B105" s="451"/>
      <c r="D105" s="454"/>
      <c r="E105" s="516"/>
      <c r="F105" s="517"/>
      <c r="G105" s="461"/>
      <c r="H105" s="461"/>
      <c r="I105" s="461"/>
      <c r="J105" s="461"/>
      <c r="K105" s="467"/>
      <c r="L105" s="467"/>
      <c r="M105" s="467"/>
      <c r="N105" s="467"/>
      <c r="O105" s="467"/>
      <c r="P105" s="467"/>
      <c r="Q105" s="467"/>
      <c r="R105" s="467"/>
      <c r="S105" s="467"/>
      <c r="T105" s="467"/>
      <c r="U105" s="467"/>
      <c r="V105" s="467"/>
      <c r="W105" s="467"/>
      <c r="X105" s="467"/>
      <c r="Y105" s="467"/>
      <c r="Z105" s="467"/>
      <c r="AA105" s="467"/>
      <c r="AB105" s="467"/>
      <c r="AC105" s="521"/>
    </row>
    <row r="106" spans="2:29" ht="12.75" customHeight="1" x14ac:dyDescent="0.25">
      <c r="B106" s="451"/>
      <c r="D106" s="454"/>
      <c r="E106" s="516"/>
      <c r="F106" s="517"/>
      <c r="G106" s="461"/>
      <c r="H106" s="461"/>
      <c r="I106" s="461"/>
      <c r="J106" s="461"/>
      <c r="K106" s="467"/>
      <c r="L106" s="467"/>
      <c r="M106" s="467"/>
      <c r="N106" s="467"/>
      <c r="O106" s="467"/>
      <c r="P106" s="467"/>
      <c r="Q106" s="467"/>
      <c r="R106" s="467"/>
      <c r="S106" s="467"/>
      <c r="T106" s="467"/>
      <c r="U106" s="467"/>
      <c r="V106" s="467"/>
      <c r="W106" s="467"/>
      <c r="X106" s="467"/>
      <c r="Y106" s="467"/>
      <c r="Z106" s="467"/>
      <c r="AA106" s="467"/>
      <c r="AB106" s="467"/>
      <c r="AC106" s="521"/>
    </row>
    <row r="107" spans="2:29" ht="12.75" customHeight="1" x14ac:dyDescent="0.25">
      <c r="B107" s="451"/>
      <c r="D107" s="454"/>
      <c r="E107" s="516"/>
      <c r="F107" s="517"/>
      <c r="G107" s="461"/>
      <c r="H107" s="461"/>
      <c r="I107" s="461"/>
      <c r="J107" s="461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522"/>
    </row>
    <row r="108" spans="2:29" ht="12.75" customHeight="1" thickBot="1" x14ac:dyDescent="0.3">
      <c r="B108" s="452"/>
      <c r="D108" s="455"/>
      <c r="E108" s="137" t="s">
        <v>24</v>
      </c>
      <c r="F108" s="137" t="s">
        <v>1</v>
      </c>
      <c r="G108" s="462"/>
      <c r="H108" s="137" t="s">
        <v>6</v>
      </c>
      <c r="I108" s="137" t="s">
        <v>6</v>
      </c>
      <c r="J108" s="137" t="s">
        <v>22</v>
      </c>
      <c r="K108" s="63" t="str">
        <f t="shared" ref="K108:AC108" si="11">IF(OR(TRIM(K91)=0,TRIM(K91)=""),"",IF(IFERROR(TRIM(INDEX(QryItemNamed,MATCH(TRIM(K91),ITEM,0),3)),"")="LS","",IFERROR(TRIM(INDEX(QryItemNamed,MATCH(TRIM(K91),ITEM,0),3)),"")))</f>
        <v>SY</v>
      </c>
      <c r="L108" s="63" t="str">
        <f t="shared" si="11"/>
        <v>CY</v>
      </c>
      <c r="M108" s="63" t="str">
        <f t="shared" si="11"/>
        <v>CY</v>
      </c>
      <c r="N108" s="63" t="str">
        <f t="shared" si="11"/>
        <v>HOUR</v>
      </c>
      <c r="O108" s="63" t="str">
        <f t="shared" si="11"/>
        <v>SY</v>
      </c>
      <c r="P108" s="63" t="str">
        <f t="shared" si="11"/>
        <v>CY</v>
      </c>
      <c r="Q108" s="63" t="str">
        <f t="shared" si="11"/>
        <v>CY</v>
      </c>
      <c r="R108" s="63" t="str">
        <f t="shared" si="11"/>
        <v>GAL</v>
      </c>
      <c r="S108" s="63" t="str">
        <f t="shared" si="11"/>
        <v>CY</v>
      </c>
      <c r="T108" s="63" t="str">
        <f t="shared" ref="T108" si="12">IF(OR(TRIM(T91)=0,TRIM(T91)=""),"",IF(IFERROR(TRIM(INDEX(QryItemNamed,MATCH(TRIM(T91),ITEM,0),3)),"")="LS","",IFERROR(TRIM(INDEX(QryItemNamed,MATCH(TRIM(T91),ITEM,0),3)),"")))</f>
        <v>CY</v>
      </c>
      <c r="U108" s="63" t="str">
        <f t="shared" si="11"/>
        <v>SY</v>
      </c>
      <c r="V108" s="63" t="str">
        <f t="shared" si="11"/>
        <v>SY</v>
      </c>
      <c r="W108" s="63" t="str">
        <f t="shared" si="11"/>
        <v>SY</v>
      </c>
      <c r="X108" s="63" t="str">
        <f t="shared" si="11"/>
        <v/>
      </c>
      <c r="Y108" s="63" t="str">
        <f t="shared" si="11"/>
        <v/>
      </c>
      <c r="Z108" s="63" t="str">
        <f t="shared" si="11"/>
        <v/>
      </c>
      <c r="AA108" s="63" t="str">
        <f t="shared" si="11"/>
        <v/>
      </c>
      <c r="AB108" s="63" t="str">
        <f t="shared" si="11"/>
        <v/>
      </c>
      <c r="AC108" s="376" t="str">
        <f t="shared" si="11"/>
        <v/>
      </c>
    </row>
    <row r="109" spans="2:29" ht="12.75" customHeight="1" x14ac:dyDescent="0.25">
      <c r="B109" s="41"/>
      <c r="D109" s="413"/>
      <c r="E109" s="390"/>
      <c r="F109" s="390"/>
      <c r="G109" s="391"/>
      <c r="H109" s="392" t="str">
        <f>IF(E109&lt;&gt;"",F109-E109,"")</f>
        <v/>
      </c>
      <c r="I109" s="392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3"/>
      <c r="AC109" s="394"/>
    </row>
    <row r="110" spans="2:29" ht="12.75" customHeight="1" x14ac:dyDescent="0.25">
      <c r="B110" s="42"/>
      <c r="D110" s="140"/>
      <c r="E110" s="447" t="s">
        <v>47</v>
      </c>
      <c r="F110" s="447"/>
      <c r="G110" s="142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66"/>
      <c r="AA110" s="66"/>
      <c r="AB110" s="395"/>
      <c r="AC110" s="379"/>
    </row>
    <row r="111" spans="2:29" ht="12.75" customHeight="1" x14ac:dyDescent="0.25">
      <c r="B111" s="42">
        <v>1</v>
      </c>
      <c r="D111" s="164" t="s">
        <v>27</v>
      </c>
      <c r="E111" s="165" t="s">
        <v>48</v>
      </c>
      <c r="F111" s="165">
        <v>408.41</v>
      </c>
      <c r="G111" s="166" t="s">
        <v>33</v>
      </c>
      <c r="H111" s="90">
        <v>408.41</v>
      </c>
      <c r="I111" s="167">
        <f>J111/H111</f>
        <v>15.507580617516711</v>
      </c>
      <c r="J111" s="97">
        <v>6333.451</v>
      </c>
      <c r="K111" s="167">
        <f>J111/9</f>
        <v>703.71677777777779</v>
      </c>
      <c r="L111" s="167">
        <f>(J111*1)/27</f>
        <v>234.57225925925925</v>
      </c>
      <c r="M111" s="167">
        <f>L111</f>
        <v>234.57225925925925</v>
      </c>
      <c r="N111" s="297">
        <f>J111/9/2000</f>
        <v>0.35185838888888887</v>
      </c>
      <c r="O111" s="167">
        <f>J111/9</f>
        <v>703.71677777777779</v>
      </c>
      <c r="P111" s="167">
        <f>(J111*0.5)/27</f>
        <v>117.28612962962963</v>
      </c>
      <c r="Q111" s="167">
        <f>(J111*6/12)/27</f>
        <v>117.28612962962963</v>
      </c>
      <c r="R111" s="167">
        <f>(J111/9)*0.06*2</f>
        <v>84.446013333333326</v>
      </c>
      <c r="S111" s="167">
        <f>J111*(1.25/12)/27</f>
        <v>24.434610339506175</v>
      </c>
      <c r="T111" s="167">
        <f>J111*(1.75/12)/27</f>
        <v>34.208454475308649</v>
      </c>
      <c r="U111" s="123"/>
      <c r="V111" s="123"/>
      <c r="W111" s="123"/>
      <c r="X111" s="396"/>
      <c r="Y111" s="123"/>
      <c r="Z111" s="66"/>
      <c r="AA111" s="123"/>
      <c r="AB111" s="395"/>
      <c r="AC111" s="379"/>
    </row>
    <row r="112" spans="2:29" ht="12.75" customHeight="1" x14ac:dyDescent="0.25">
      <c r="B112" s="42">
        <v>1</v>
      </c>
      <c r="D112" s="183" t="s">
        <v>49</v>
      </c>
      <c r="E112" s="184">
        <v>3113.12</v>
      </c>
      <c r="F112" s="184">
        <v>3198.07</v>
      </c>
      <c r="G112" s="185" t="s">
        <v>33</v>
      </c>
      <c r="H112" s="187">
        <v>76.31</v>
      </c>
      <c r="I112" s="186"/>
      <c r="J112" s="86"/>
      <c r="K112" s="186"/>
      <c r="L112" s="186">
        <f>H112*3.5*1/27</f>
        <v>9.8920370370370385</v>
      </c>
      <c r="M112" s="186">
        <f>L112</f>
        <v>9.8920370370370385</v>
      </c>
      <c r="N112" s="304">
        <f>(H112*3.5)/9/2000</f>
        <v>1.4838055555555557E-2</v>
      </c>
      <c r="O112" s="186">
        <f>H112*3.5/9</f>
        <v>29.676111111111116</v>
      </c>
      <c r="P112" s="186"/>
      <c r="Q112" s="186">
        <f>H112*(3.5)*6/12/27</f>
        <v>4.9460185185185193</v>
      </c>
      <c r="R112" s="186"/>
      <c r="S112" s="397"/>
      <c r="T112" s="397"/>
      <c r="U112" s="123"/>
      <c r="V112" s="123"/>
      <c r="W112" s="123"/>
      <c r="X112" s="123"/>
      <c r="Y112" s="123"/>
      <c r="Z112" s="66"/>
      <c r="AA112" s="123"/>
      <c r="AB112" s="395"/>
      <c r="AC112" s="379"/>
    </row>
    <row r="113" spans="2:29" ht="12.75" customHeight="1" x14ac:dyDescent="0.25">
      <c r="B113" s="42">
        <v>1</v>
      </c>
      <c r="D113" s="414" t="s">
        <v>50</v>
      </c>
      <c r="E113" s="398" t="str">
        <f>E111</f>
        <v>0+00.00</v>
      </c>
      <c r="F113" s="398">
        <f>F111</f>
        <v>408.41</v>
      </c>
      <c r="G113" s="399" t="s">
        <v>33</v>
      </c>
      <c r="H113" s="400">
        <v>289.02699999999999</v>
      </c>
      <c r="I113" s="401"/>
      <c r="J113" s="402">
        <v>458</v>
      </c>
      <c r="K113" s="147"/>
      <c r="L113" s="401">
        <f>H113*1/27</f>
        <v>10.704703703703704</v>
      </c>
      <c r="M113" s="401">
        <f>L113</f>
        <v>10.704703703703704</v>
      </c>
      <c r="N113" s="403">
        <f>J113/9/2000</f>
        <v>2.5444444444444443E-2</v>
      </c>
      <c r="O113" s="401">
        <f>J113/9</f>
        <v>50.888888888888886</v>
      </c>
      <c r="P113" s="401"/>
      <c r="Q113" s="401">
        <f>(J113*6/12)/27</f>
        <v>8.481481481481481</v>
      </c>
      <c r="R113" s="401"/>
      <c r="S113" s="295"/>
      <c r="T113" s="295"/>
      <c r="U113" s="123"/>
      <c r="V113" s="123"/>
      <c r="W113" s="123"/>
      <c r="X113" s="123"/>
      <c r="Y113" s="123"/>
      <c r="Z113" s="123"/>
      <c r="AA113" s="123"/>
      <c r="AB113" s="395"/>
      <c r="AC113" s="379"/>
    </row>
    <row r="114" spans="2:29" ht="12.75" customHeight="1" x14ac:dyDescent="0.25">
      <c r="B114" s="42">
        <v>1</v>
      </c>
      <c r="D114" s="415" t="s">
        <v>51</v>
      </c>
      <c r="E114" s="404" t="str">
        <f>E113</f>
        <v>0+00.00</v>
      </c>
      <c r="F114" s="404">
        <f>F113</f>
        <v>408.41</v>
      </c>
      <c r="G114" s="405" t="s">
        <v>33</v>
      </c>
      <c r="H114" s="406"/>
      <c r="I114" s="407"/>
      <c r="J114" s="408">
        <v>3239</v>
      </c>
      <c r="K114" s="407">
        <f>J114/9</f>
        <v>359.88888888888891</v>
      </c>
      <c r="L114" s="407">
        <f>(J114*1)/27</f>
        <v>119.96296296296296</v>
      </c>
      <c r="M114" s="407">
        <f>L114</f>
        <v>119.96296296296296</v>
      </c>
      <c r="N114" s="409">
        <f>J114/9/2000</f>
        <v>0.17994444444444446</v>
      </c>
      <c r="O114" s="407">
        <f>J114/9</f>
        <v>359.88888888888891</v>
      </c>
      <c r="P114" s="407"/>
      <c r="Q114" s="407">
        <f>(J114*6/12)/27</f>
        <v>59.981481481481481</v>
      </c>
      <c r="R114" s="407"/>
      <c r="S114" s="407"/>
      <c r="T114" s="407"/>
      <c r="U114" s="407">
        <f>J114/9</f>
        <v>359.88888888888891</v>
      </c>
      <c r="V114" s="123"/>
      <c r="W114" s="123"/>
      <c r="X114" s="123"/>
      <c r="Y114" s="123"/>
      <c r="Z114" s="123"/>
      <c r="AA114" s="123"/>
      <c r="AB114" s="395"/>
      <c r="AC114" s="379"/>
    </row>
    <row r="115" spans="2:29" ht="12.75" customHeight="1" x14ac:dyDescent="0.25">
      <c r="B115" s="42">
        <v>1</v>
      </c>
      <c r="D115" s="414" t="s">
        <v>52</v>
      </c>
      <c r="E115" s="398" t="str">
        <f>E114</f>
        <v>0+00.00</v>
      </c>
      <c r="F115" s="398">
        <f>F114</f>
        <v>408.41</v>
      </c>
      <c r="G115" s="399" t="s">
        <v>33</v>
      </c>
      <c r="H115" s="296">
        <v>197.92</v>
      </c>
      <c r="I115" s="401"/>
      <c r="J115" s="402">
        <v>99.745999999999995</v>
      </c>
      <c r="K115" s="410"/>
      <c r="L115" s="401">
        <f>H115*(18/12)*1/27</f>
        <v>10.995555555555555</v>
      </c>
      <c r="M115" s="401">
        <f>L115</f>
        <v>10.995555555555555</v>
      </c>
      <c r="N115" s="403">
        <f>H115/9/2000</f>
        <v>1.0995555555555555E-2</v>
      </c>
      <c r="O115" s="401">
        <f>J115/9</f>
        <v>11.082888888888888</v>
      </c>
      <c r="P115" s="401"/>
      <c r="Q115" s="401">
        <f>(J115*6/12)/27</f>
        <v>1.847148148148148</v>
      </c>
      <c r="R115" s="401"/>
      <c r="S115" s="295"/>
      <c r="T115" s="295"/>
      <c r="U115" s="123"/>
      <c r="V115" s="123"/>
      <c r="W115" s="123"/>
      <c r="X115" s="123"/>
      <c r="Y115" s="123"/>
      <c r="Z115" s="123"/>
      <c r="AA115" s="123"/>
      <c r="AB115" s="395"/>
      <c r="AC115" s="379"/>
    </row>
    <row r="116" spans="2:29" ht="12.75" customHeight="1" x14ac:dyDescent="0.25">
      <c r="B116" s="42"/>
      <c r="D116" s="140"/>
      <c r="E116" s="141"/>
      <c r="F116" s="141"/>
      <c r="G116" s="142"/>
      <c r="H116" s="123" t="str">
        <f t="shared" ref="H116:H147" si="13">IF(E116&lt;&gt;"",F116-E116,"")</f>
        <v/>
      </c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395"/>
      <c r="AC116" s="379"/>
    </row>
    <row r="117" spans="2:29" ht="12.75" customHeight="1" x14ac:dyDescent="0.25">
      <c r="B117" s="42"/>
      <c r="D117" s="140"/>
      <c r="E117" s="141"/>
      <c r="F117" s="141"/>
      <c r="G117" s="142"/>
      <c r="H117" s="123" t="str">
        <f t="shared" si="13"/>
        <v/>
      </c>
      <c r="I117" s="123"/>
      <c r="J117" s="123"/>
      <c r="K117" s="66"/>
      <c r="L117" s="66"/>
      <c r="M117" s="123"/>
      <c r="N117" s="66"/>
      <c r="O117" s="66"/>
      <c r="P117" s="66"/>
      <c r="Q117" s="66"/>
      <c r="R117" s="66"/>
      <c r="S117" s="66"/>
      <c r="T117" s="66"/>
      <c r="U117" s="66"/>
      <c r="V117" s="123"/>
      <c r="W117" s="66"/>
      <c r="X117" s="411"/>
      <c r="Y117" s="411"/>
      <c r="Z117" s="123"/>
      <c r="AA117" s="123"/>
      <c r="AB117" s="395"/>
      <c r="AC117" s="379"/>
    </row>
    <row r="118" spans="2:29" ht="12.75" customHeight="1" x14ac:dyDescent="0.25">
      <c r="B118" s="42"/>
      <c r="D118" s="140"/>
      <c r="E118" s="141"/>
      <c r="F118" s="141"/>
      <c r="G118" s="142"/>
      <c r="H118" s="123" t="str">
        <f t="shared" si="13"/>
        <v/>
      </c>
      <c r="I118" s="123"/>
      <c r="J118" s="123"/>
      <c r="K118" s="66"/>
      <c r="L118" s="66"/>
      <c r="M118" s="123"/>
      <c r="N118" s="66"/>
      <c r="O118" s="66"/>
      <c r="P118" s="66"/>
      <c r="Q118" s="66"/>
      <c r="R118" s="66"/>
      <c r="S118" s="66"/>
      <c r="T118" s="66"/>
      <c r="U118" s="66"/>
      <c r="V118" s="123"/>
      <c r="W118" s="66"/>
      <c r="X118" s="411"/>
      <c r="Y118" s="411"/>
      <c r="Z118" s="123"/>
      <c r="AA118" s="123"/>
      <c r="AB118" s="395"/>
      <c r="AC118" s="379"/>
    </row>
    <row r="119" spans="2:29" ht="12.75" customHeight="1" x14ac:dyDescent="0.25">
      <c r="B119" s="42"/>
      <c r="D119" s="140"/>
      <c r="E119" s="141"/>
      <c r="F119" s="141"/>
      <c r="G119" s="142"/>
      <c r="H119" s="123" t="str">
        <f t="shared" si="13"/>
        <v/>
      </c>
      <c r="I119" s="123"/>
      <c r="J119" s="123"/>
      <c r="K119" s="66"/>
      <c r="L119" s="66"/>
      <c r="M119" s="123"/>
      <c r="N119" s="66"/>
      <c r="O119" s="66"/>
      <c r="P119" s="66"/>
      <c r="Q119" s="66"/>
      <c r="R119" s="66"/>
      <c r="S119" s="66"/>
      <c r="T119" s="66"/>
      <c r="U119" s="66"/>
      <c r="V119" s="123"/>
      <c r="W119" s="66"/>
      <c r="X119" s="411"/>
      <c r="Y119" s="411"/>
      <c r="Z119" s="123"/>
      <c r="AA119" s="123"/>
      <c r="AB119" s="395"/>
      <c r="AC119" s="379"/>
    </row>
    <row r="120" spans="2:29" ht="12.75" customHeight="1" x14ac:dyDescent="0.25">
      <c r="B120" s="42"/>
      <c r="D120" s="140"/>
      <c r="E120" s="141"/>
      <c r="F120" s="141"/>
      <c r="G120" s="142"/>
      <c r="H120" s="123" t="str">
        <f t="shared" si="13"/>
        <v/>
      </c>
      <c r="I120" s="123"/>
      <c r="J120" s="123"/>
      <c r="K120" s="66"/>
      <c r="L120" s="66"/>
      <c r="M120" s="123"/>
      <c r="N120" s="66"/>
      <c r="O120" s="66"/>
      <c r="P120" s="66"/>
      <c r="Q120" s="66"/>
      <c r="R120" s="66"/>
      <c r="S120" s="66"/>
      <c r="T120" s="66"/>
      <c r="U120" s="66"/>
      <c r="V120" s="123"/>
      <c r="W120" s="66"/>
      <c r="X120" s="411"/>
      <c r="Y120" s="411"/>
      <c r="Z120" s="123"/>
      <c r="AA120" s="123"/>
      <c r="AB120" s="395"/>
      <c r="AC120" s="379"/>
    </row>
    <row r="121" spans="2:29" ht="12.75" customHeight="1" x14ac:dyDescent="0.25">
      <c r="B121" s="42"/>
      <c r="D121" s="140"/>
      <c r="E121" s="141"/>
      <c r="F121" s="141"/>
      <c r="G121" s="142"/>
      <c r="H121" s="123" t="str">
        <f t="shared" si="13"/>
        <v/>
      </c>
      <c r="I121" s="123"/>
      <c r="J121" s="123"/>
      <c r="K121" s="66"/>
      <c r="L121" s="66"/>
      <c r="M121" s="123"/>
      <c r="N121" s="66"/>
      <c r="O121" s="66"/>
      <c r="P121" s="66"/>
      <c r="Q121" s="66"/>
      <c r="R121" s="66"/>
      <c r="S121" s="66"/>
      <c r="T121" s="66"/>
      <c r="U121" s="66"/>
      <c r="V121" s="123"/>
      <c r="W121" s="66"/>
      <c r="X121" s="411"/>
      <c r="Y121" s="411"/>
      <c r="Z121" s="123"/>
      <c r="AA121" s="123"/>
      <c r="AB121" s="395"/>
      <c r="AC121" s="379"/>
    </row>
    <row r="122" spans="2:29" ht="12.75" customHeight="1" x14ac:dyDescent="0.25">
      <c r="B122" s="42"/>
      <c r="D122" s="140"/>
      <c r="E122" s="141"/>
      <c r="F122" s="141"/>
      <c r="G122" s="142"/>
      <c r="H122" s="123" t="str">
        <f t="shared" si="13"/>
        <v/>
      </c>
      <c r="I122" s="123"/>
      <c r="J122" s="123"/>
      <c r="K122" s="66"/>
      <c r="L122" s="66"/>
      <c r="M122" s="123"/>
      <c r="N122" s="66"/>
      <c r="O122" s="66"/>
      <c r="P122" s="66"/>
      <c r="Q122" s="66"/>
      <c r="R122" s="66"/>
      <c r="S122" s="66"/>
      <c r="T122" s="66"/>
      <c r="U122" s="66"/>
      <c r="V122" s="123"/>
      <c r="W122" s="66"/>
      <c r="X122" s="411"/>
      <c r="Y122" s="411"/>
      <c r="Z122" s="123"/>
      <c r="AA122" s="123"/>
      <c r="AB122" s="395"/>
      <c r="AC122" s="379"/>
    </row>
    <row r="123" spans="2:29" ht="12.75" customHeight="1" x14ac:dyDescent="0.25">
      <c r="B123" s="42"/>
      <c r="D123" s="140"/>
      <c r="E123" s="141"/>
      <c r="F123" s="141"/>
      <c r="G123" s="142"/>
      <c r="H123" s="123" t="str">
        <f t="shared" si="13"/>
        <v/>
      </c>
      <c r="I123" s="123"/>
      <c r="J123" s="123"/>
      <c r="K123" s="66"/>
      <c r="L123" s="66"/>
      <c r="M123" s="123"/>
      <c r="N123" s="66"/>
      <c r="O123" s="66"/>
      <c r="P123" s="66"/>
      <c r="Q123" s="66"/>
      <c r="R123" s="66"/>
      <c r="S123" s="66"/>
      <c r="T123" s="66"/>
      <c r="U123" s="66"/>
      <c r="V123" s="123"/>
      <c r="W123" s="66"/>
      <c r="X123" s="411"/>
      <c r="Y123" s="411"/>
      <c r="Z123" s="123"/>
      <c r="AA123" s="123"/>
      <c r="AB123" s="395"/>
      <c r="AC123" s="379"/>
    </row>
    <row r="124" spans="2:29" ht="12.75" customHeight="1" x14ac:dyDescent="0.25">
      <c r="B124" s="42"/>
      <c r="D124" s="140"/>
      <c r="E124" s="141"/>
      <c r="F124" s="141"/>
      <c r="G124" s="142"/>
      <c r="H124" s="123" t="str">
        <f t="shared" si="13"/>
        <v/>
      </c>
      <c r="I124" s="123"/>
      <c r="J124" s="123"/>
      <c r="K124" s="66"/>
      <c r="L124" s="66"/>
      <c r="M124" s="123"/>
      <c r="N124" s="66"/>
      <c r="O124" s="66"/>
      <c r="P124" s="66"/>
      <c r="Q124" s="66"/>
      <c r="R124" s="66"/>
      <c r="S124" s="66"/>
      <c r="T124" s="66"/>
      <c r="U124" s="66"/>
      <c r="V124" s="123"/>
      <c r="W124" s="66"/>
      <c r="X124" s="411"/>
      <c r="Y124" s="411"/>
      <c r="Z124" s="123"/>
      <c r="AA124" s="123"/>
      <c r="AB124" s="395"/>
      <c r="AC124" s="379"/>
    </row>
    <row r="125" spans="2:29" ht="12.75" customHeight="1" x14ac:dyDescent="0.25">
      <c r="B125" s="42"/>
      <c r="D125" s="140"/>
      <c r="E125" s="141"/>
      <c r="F125" s="141"/>
      <c r="G125" s="142"/>
      <c r="H125" s="123" t="str">
        <f t="shared" si="13"/>
        <v/>
      </c>
      <c r="I125" s="123"/>
      <c r="J125" s="123"/>
      <c r="K125" s="66"/>
      <c r="L125" s="66"/>
      <c r="M125" s="123"/>
      <c r="N125" s="66"/>
      <c r="O125" s="66"/>
      <c r="P125" s="66"/>
      <c r="Q125" s="66"/>
      <c r="R125" s="66"/>
      <c r="S125" s="66"/>
      <c r="T125" s="66"/>
      <c r="U125" s="66"/>
      <c r="V125" s="123"/>
      <c r="W125" s="66"/>
      <c r="X125" s="411"/>
      <c r="Y125" s="411"/>
      <c r="Z125" s="123"/>
      <c r="AA125" s="123"/>
      <c r="AB125" s="395"/>
      <c r="AC125" s="379"/>
    </row>
    <row r="126" spans="2:29" ht="12.75" customHeight="1" x14ac:dyDescent="0.25">
      <c r="B126" s="42"/>
      <c r="D126" s="140"/>
      <c r="E126" s="141"/>
      <c r="F126" s="141"/>
      <c r="G126" s="142"/>
      <c r="H126" s="123" t="str">
        <f t="shared" si="13"/>
        <v/>
      </c>
      <c r="I126" s="123"/>
      <c r="J126" s="123"/>
      <c r="K126" s="66"/>
      <c r="L126" s="66"/>
      <c r="M126" s="123"/>
      <c r="N126" s="66"/>
      <c r="O126" s="66"/>
      <c r="P126" s="66"/>
      <c r="Q126" s="66"/>
      <c r="R126" s="66"/>
      <c r="S126" s="66"/>
      <c r="T126" s="66"/>
      <c r="U126" s="66"/>
      <c r="V126" s="123"/>
      <c r="W126" s="66"/>
      <c r="X126" s="411"/>
      <c r="Y126" s="411"/>
      <c r="Z126" s="123"/>
      <c r="AA126" s="123"/>
      <c r="AB126" s="395"/>
      <c r="AC126" s="379"/>
    </row>
    <row r="127" spans="2:29" ht="12.75" customHeight="1" x14ac:dyDescent="0.25">
      <c r="B127" s="42"/>
      <c r="D127" s="140"/>
      <c r="E127" s="141"/>
      <c r="F127" s="141"/>
      <c r="G127" s="142"/>
      <c r="H127" s="123" t="str">
        <f t="shared" si="13"/>
        <v/>
      </c>
      <c r="I127" s="123"/>
      <c r="J127" s="123"/>
      <c r="K127" s="66"/>
      <c r="L127" s="66"/>
      <c r="M127" s="123"/>
      <c r="N127" s="66"/>
      <c r="O127" s="66"/>
      <c r="P127" s="66"/>
      <c r="Q127" s="66"/>
      <c r="R127" s="66"/>
      <c r="S127" s="66"/>
      <c r="T127" s="66"/>
      <c r="U127" s="66"/>
      <c r="V127" s="123"/>
      <c r="W127" s="66"/>
      <c r="X127" s="411"/>
      <c r="Y127" s="411"/>
      <c r="Z127" s="123"/>
      <c r="AA127" s="123"/>
      <c r="AB127" s="395"/>
      <c r="AC127" s="379"/>
    </row>
    <row r="128" spans="2:29" ht="12.75" customHeight="1" x14ac:dyDescent="0.25">
      <c r="B128" s="42"/>
      <c r="D128" s="140"/>
      <c r="E128" s="141"/>
      <c r="F128" s="141"/>
      <c r="G128" s="142"/>
      <c r="H128" s="123" t="str">
        <f t="shared" si="13"/>
        <v/>
      </c>
      <c r="I128" s="123"/>
      <c r="J128" s="123"/>
      <c r="K128" s="66"/>
      <c r="L128" s="66"/>
      <c r="M128" s="123"/>
      <c r="N128" s="66"/>
      <c r="O128" s="66"/>
      <c r="P128" s="66"/>
      <c r="Q128" s="66"/>
      <c r="R128" s="66"/>
      <c r="S128" s="66"/>
      <c r="T128" s="66"/>
      <c r="U128" s="66"/>
      <c r="V128" s="123"/>
      <c r="W128" s="66"/>
      <c r="X128" s="411"/>
      <c r="Y128" s="411"/>
      <c r="Z128" s="123"/>
      <c r="AA128" s="123"/>
      <c r="AB128" s="395"/>
      <c r="AC128" s="379"/>
    </row>
    <row r="129" spans="2:29" ht="12.75" customHeight="1" x14ac:dyDescent="0.25">
      <c r="B129" s="42"/>
      <c r="D129" s="140"/>
      <c r="E129" s="141"/>
      <c r="F129" s="141"/>
      <c r="G129" s="142"/>
      <c r="H129" s="123" t="str">
        <f t="shared" si="13"/>
        <v/>
      </c>
      <c r="I129" s="123"/>
      <c r="J129" s="123"/>
      <c r="K129" s="66"/>
      <c r="L129" s="66"/>
      <c r="M129" s="123"/>
      <c r="N129" s="66"/>
      <c r="O129" s="66"/>
      <c r="P129" s="66"/>
      <c r="Q129" s="66"/>
      <c r="R129" s="66"/>
      <c r="S129" s="66"/>
      <c r="T129" s="66"/>
      <c r="U129" s="66"/>
      <c r="V129" s="123"/>
      <c r="W129" s="66"/>
      <c r="X129" s="411"/>
      <c r="Y129" s="411"/>
      <c r="Z129" s="123"/>
      <c r="AA129" s="123"/>
      <c r="AB129" s="395"/>
      <c r="AC129" s="379"/>
    </row>
    <row r="130" spans="2:29" ht="12.75" customHeight="1" x14ac:dyDescent="0.25">
      <c r="B130" s="42"/>
      <c r="D130" s="140"/>
      <c r="E130" s="141"/>
      <c r="F130" s="141"/>
      <c r="G130" s="142"/>
      <c r="H130" s="123" t="str">
        <f t="shared" si="13"/>
        <v/>
      </c>
      <c r="I130" s="123"/>
      <c r="J130" s="123"/>
      <c r="K130" s="66"/>
      <c r="L130" s="66"/>
      <c r="M130" s="123"/>
      <c r="N130" s="66"/>
      <c r="O130" s="66"/>
      <c r="P130" s="66"/>
      <c r="Q130" s="66"/>
      <c r="R130" s="66"/>
      <c r="S130" s="66"/>
      <c r="T130" s="66"/>
      <c r="U130" s="66"/>
      <c r="V130" s="123"/>
      <c r="W130" s="66"/>
      <c r="X130" s="411"/>
      <c r="Y130" s="411"/>
      <c r="Z130" s="123"/>
      <c r="AA130" s="123"/>
      <c r="AB130" s="395"/>
      <c r="AC130" s="379"/>
    </row>
    <row r="131" spans="2:29" ht="12.75" customHeight="1" x14ac:dyDescent="0.25">
      <c r="B131" s="42"/>
      <c r="D131" s="140"/>
      <c r="E131" s="141"/>
      <c r="F131" s="141"/>
      <c r="G131" s="142"/>
      <c r="H131" s="123" t="str">
        <f t="shared" si="13"/>
        <v/>
      </c>
      <c r="I131" s="123"/>
      <c r="J131" s="123"/>
      <c r="K131" s="66"/>
      <c r="L131" s="66"/>
      <c r="M131" s="123"/>
      <c r="N131" s="66"/>
      <c r="O131" s="66"/>
      <c r="P131" s="66"/>
      <c r="Q131" s="66"/>
      <c r="R131" s="66"/>
      <c r="S131" s="66"/>
      <c r="T131" s="66"/>
      <c r="U131" s="66"/>
      <c r="V131" s="123"/>
      <c r="W131" s="66"/>
      <c r="X131" s="411"/>
      <c r="Y131" s="411"/>
      <c r="Z131" s="123"/>
      <c r="AA131" s="123"/>
      <c r="AB131" s="395"/>
      <c r="AC131" s="379"/>
    </row>
    <row r="132" spans="2:29" ht="12.75" customHeight="1" x14ac:dyDescent="0.25">
      <c r="B132" s="42"/>
      <c r="D132" s="140"/>
      <c r="E132" s="141"/>
      <c r="F132" s="141"/>
      <c r="G132" s="142"/>
      <c r="H132" s="123" t="str">
        <f t="shared" si="13"/>
        <v/>
      </c>
      <c r="I132" s="123"/>
      <c r="J132" s="123"/>
      <c r="K132" s="66"/>
      <c r="L132" s="66"/>
      <c r="M132" s="123"/>
      <c r="N132" s="66"/>
      <c r="O132" s="66"/>
      <c r="P132" s="66"/>
      <c r="Q132" s="66"/>
      <c r="R132" s="66"/>
      <c r="S132" s="66"/>
      <c r="T132" s="66"/>
      <c r="U132" s="66"/>
      <c r="V132" s="123"/>
      <c r="W132" s="66"/>
      <c r="X132" s="411"/>
      <c r="Y132" s="411"/>
      <c r="Z132" s="123"/>
      <c r="AA132" s="123"/>
      <c r="AB132" s="395"/>
      <c r="AC132" s="379"/>
    </row>
    <row r="133" spans="2:29" ht="12.75" customHeight="1" x14ac:dyDescent="0.25">
      <c r="B133" s="42"/>
      <c r="D133" s="140"/>
      <c r="E133" s="141"/>
      <c r="F133" s="141"/>
      <c r="G133" s="142"/>
      <c r="H133" s="123" t="str">
        <f t="shared" si="13"/>
        <v/>
      </c>
      <c r="I133" s="123"/>
      <c r="J133" s="123"/>
      <c r="K133" s="66"/>
      <c r="L133" s="66"/>
      <c r="M133" s="123"/>
      <c r="N133" s="66"/>
      <c r="O133" s="66"/>
      <c r="P133" s="66"/>
      <c r="Q133" s="66"/>
      <c r="R133" s="66"/>
      <c r="S133" s="66"/>
      <c r="T133" s="66"/>
      <c r="U133" s="66"/>
      <c r="V133" s="123"/>
      <c r="W133" s="66"/>
      <c r="X133" s="411"/>
      <c r="Y133" s="411"/>
      <c r="Z133" s="123"/>
      <c r="AA133" s="123"/>
      <c r="AB133" s="395"/>
      <c r="AC133" s="379"/>
    </row>
    <row r="134" spans="2:29" ht="12.75" customHeight="1" x14ac:dyDescent="0.25">
      <c r="B134" s="42"/>
      <c r="D134" s="140"/>
      <c r="E134" s="141"/>
      <c r="F134" s="141"/>
      <c r="G134" s="142"/>
      <c r="H134" s="123" t="str">
        <f t="shared" si="13"/>
        <v/>
      </c>
      <c r="I134" s="123"/>
      <c r="J134" s="123"/>
      <c r="K134" s="66"/>
      <c r="L134" s="66"/>
      <c r="M134" s="123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411"/>
      <c r="Y134" s="411"/>
      <c r="Z134" s="123"/>
      <c r="AA134" s="123"/>
      <c r="AB134" s="395"/>
      <c r="AC134" s="379"/>
    </row>
    <row r="135" spans="2:29" ht="12.75" customHeight="1" x14ac:dyDescent="0.25">
      <c r="B135" s="42"/>
      <c r="D135" s="140"/>
      <c r="E135" s="141"/>
      <c r="F135" s="141"/>
      <c r="G135" s="142"/>
      <c r="H135" s="123" t="str">
        <f t="shared" si="13"/>
        <v/>
      </c>
      <c r="I135" s="123"/>
      <c r="J135" s="123"/>
      <c r="K135" s="66"/>
      <c r="L135" s="66"/>
      <c r="M135" s="123"/>
      <c r="N135" s="66"/>
      <c r="O135" s="66"/>
      <c r="P135" s="66"/>
      <c r="Q135" s="66"/>
      <c r="R135" s="66"/>
      <c r="S135" s="66"/>
      <c r="T135" s="66"/>
      <c r="U135" s="66"/>
      <c r="V135" s="123"/>
      <c r="W135" s="66"/>
      <c r="X135" s="411"/>
      <c r="Y135" s="411"/>
      <c r="Z135" s="123"/>
      <c r="AA135" s="123"/>
      <c r="AB135" s="395"/>
      <c r="AC135" s="379"/>
    </row>
    <row r="136" spans="2:29" ht="12.75" customHeight="1" x14ac:dyDescent="0.25">
      <c r="B136" s="42"/>
      <c r="D136" s="140"/>
      <c r="E136" s="141"/>
      <c r="F136" s="141"/>
      <c r="G136" s="142"/>
      <c r="H136" s="123" t="str">
        <f t="shared" si="13"/>
        <v/>
      </c>
      <c r="I136" s="123"/>
      <c r="J136" s="123"/>
      <c r="K136" s="66"/>
      <c r="L136" s="66"/>
      <c r="M136" s="123"/>
      <c r="N136" s="66"/>
      <c r="O136" s="66"/>
      <c r="P136" s="66"/>
      <c r="Q136" s="66"/>
      <c r="R136" s="66"/>
      <c r="S136" s="66"/>
      <c r="T136" s="66"/>
      <c r="U136" s="66"/>
      <c r="V136" s="123"/>
      <c r="W136" s="66"/>
      <c r="X136" s="411"/>
      <c r="Y136" s="411"/>
      <c r="Z136" s="123"/>
      <c r="AA136" s="123"/>
      <c r="AB136" s="395"/>
      <c r="AC136" s="379"/>
    </row>
    <row r="137" spans="2:29" ht="12.75" customHeight="1" x14ac:dyDescent="0.25">
      <c r="B137" s="42"/>
      <c r="D137" s="140"/>
      <c r="E137" s="141"/>
      <c r="F137" s="141"/>
      <c r="G137" s="142"/>
      <c r="H137" s="123" t="str">
        <f t="shared" si="13"/>
        <v/>
      </c>
      <c r="I137" s="123"/>
      <c r="J137" s="123"/>
      <c r="K137" s="66"/>
      <c r="L137" s="66"/>
      <c r="M137" s="123"/>
      <c r="N137" s="66"/>
      <c r="O137" s="66"/>
      <c r="P137" s="66"/>
      <c r="Q137" s="66"/>
      <c r="R137" s="66"/>
      <c r="S137" s="66"/>
      <c r="T137" s="66"/>
      <c r="U137" s="66"/>
      <c r="V137" s="123"/>
      <c r="W137" s="66"/>
      <c r="X137" s="411"/>
      <c r="Y137" s="411"/>
      <c r="Z137" s="123"/>
      <c r="AA137" s="123"/>
      <c r="AB137" s="395"/>
      <c r="AC137" s="379"/>
    </row>
    <row r="138" spans="2:29" ht="12.75" customHeight="1" x14ac:dyDescent="0.25">
      <c r="B138" s="42"/>
      <c r="D138" s="140"/>
      <c r="E138" s="141"/>
      <c r="F138" s="141"/>
      <c r="G138" s="142"/>
      <c r="H138" s="123" t="str">
        <f t="shared" si="13"/>
        <v/>
      </c>
      <c r="I138" s="123"/>
      <c r="J138" s="123"/>
      <c r="K138" s="66"/>
      <c r="L138" s="66"/>
      <c r="M138" s="123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411"/>
      <c r="Y138" s="411"/>
      <c r="Z138" s="123"/>
      <c r="AA138" s="123"/>
      <c r="AB138" s="395"/>
      <c r="AC138" s="379"/>
    </row>
    <row r="139" spans="2:29" ht="12.75" customHeight="1" x14ac:dyDescent="0.25">
      <c r="B139" s="42"/>
      <c r="D139" s="140"/>
      <c r="E139" s="141"/>
      <c r="F139" s="141"/>
      <c r="G139" s="142"/>
      <c r="H139" s="123" t="str">
        <f t="shared" si="13"/>
        <v/>
      </c>
      <c r="I139" s="123"/>
      <c r="J139" s="123"/>
      <c r="K139" s="66"/>
      <c r="L139" s="66"/>
      <c r="M139" s="123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411"/>
      <c r="Y139" s="411"/>
      <c r="Z139" s="123"/>
      <c r="AA139" s="123"/>
      <c r="AB139" s="395"/>
      <c r="AC139" s="379"/>
    </row>
    <row r="140" spans="2:29" ht="12.75" customHeight="1" x14ac:dyDescent="0.25">
      <c r="B140" s="42"/>
      <c r="D140" s="140"/>
      <c r="E140" s="141"/>
      <c r="F140" s="141"/>
      <c r="G140" s="142"/>
      <c r="H140" s="123" t="str">
        <f t="shared" si="13"/>
        <v/>
      </c>
      <c r="I140" s="123"/>
      <c r="J140" s="123"/>
      <c r="K140" s="66"/>
      <c r="L140" s="66"/>
      <c r="M140" s="123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411"/>
      <c r="Y140" s="411"/>
      <c r="Z140" s="123"/>
      <c r="AA140" s="123"/>
      <c r="AB140" s="395"/>
      <c r="AC140" s="379"/>
    </row>
    <row r="141" spans="2:29" ht="12.75" customHeight="1" x14ac:dyDescent="0.25">
      <c r="B141" s="42"/>
      <c r="D141" s="140"/>
      <c r="E141" s="141"/>
      <c r="F141" s="141"/>
      <c r="G141" s="142"/>
      <c r="H141" s="123" t="str">
        <f t="shared" si="13"/>
        <v/>
      </c>
      <c r="I141" s="123"/>
      <c r="J141" s="123"/>
      <c r="K141" s="66"/>
      <c r="L141" s="66"/>
      <c r="M141" s="123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411"/>
      <c r="Y141" s="411"/>
      <c r="Z141" s="123"/>
      <c r="AA141" s="123"/>
      <c r="AB141" s="395"/>
      <c r="AC141" s="379"/>
    </row>
    <row r="142" spans="2:29" ht="12.75" customHeight="1" x14ac:dyDescent="0.25">
      <c r="B142" s="42"/>
      <c r="D142" s="140"/>
      <c r="E142" s="141"/>
      <c r="F142" s="141"/>
      <c r="G142" s="142"/>
      <c r="H142" s="123" t="str">
        <f t="shared" si="13"/>
        <v/>
      </c>
      <c r="I142" s="123"/>
      <c r="J142" s="123"/>
      <c r="K142" s="66"/>
      <c r="L142" s="66"/>
      <c r="M142" s="123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411"/>
      <c r="Y142" s="411"/>
      <c r="Z142" s="123"/>
      <c r="AA142" s="123"/>
      <c r="AB142" s="395"/>
      <c r="AC142" s="379"/>
    </row>
    <row r="143" spans="2:29" ht="12.75" customHeight="1" x14ac:dyDescent="0.25">
      <c r="B143" s="42"/>
      <c r="D143" s="140"/>
      <c r="E143" s="141"/>
      <c r="F143" s="141"/>
      <c r="G143" s="142"/>
      <c r="H143" s="123" t="str">
        <f t="shared" si="13"/>
        <v/>
      </c>
      <c r="I143" s="123"/>
      <c r="J143" s="123"/>
      <c r="K143" s="66"/>
      <c r="L143" s="66"/>
      <c r="M143" s="123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411"/>
      <c r="Y143" s="411"/>
      <c r="Z143" s="123"/>
      <c r="AA143" s="123"/>
      <c r="AB143" s="395"/>
      <c r="AC143" s="379"/>
    </row>
    <row r="144" spans="2:29" ht="12.75" customHeight="1" x14ac:dyDescent="0.25">
      <c r="B144" s="42"/>
      <c r="D144" s="140"/>
      <c r="E144" s="141"/>
      <c r="F144" s="141"/>
      <c r="G144" s="142"/>
      <c r="H144" s="123" t="str">
        <f t="shared" si="13"/>
        <v/>
      </c>
      <c r="I144" s="123"/>
      <c r="J144" s="123"/>
      <c r="K144" s="66"/>
      <c r="L144" s="66"/>
      <c r="M144" s="123"/>
      <c r="N144" s="66"/>
      <c r="O144" s="66"/>
      <c r="P144" s="66"/>
      <c r="Q144" s="66"/>
      <c r="R144" s="66"/>
      <c r="S144" s="66"/>
      <c r="T144" s="66"/>
      <c r="U144" s="66"/>
      <c r="V144" s="66"/>
      <c r="W144" s="123"/>
      <c r="X144" s="411"/>
      <c r="Y144" s="411"/>
      <c r="Z144" s="123"/>
      <c r="AA144" s="123"/>
      <c r="AB144" s="411"/>
      <c r="AC144" s="379"/>
    </row>
    <row r="145" spans="2:29" ht="12.75" customHeight="1" x14ac:dyDescent="0.25">
      <c r="B145" s="42"/>
      <c r="D145" s="140"/>
      <c r="E145" s="141"/>
      <c r="F145" s="141"/>
      <c r="G145" s="142"/>
      <c r="H145" s="123" t="str">
        <f t="shared" si="13"/>
        <v/>
      </c>
      <c r="I145" s="123"/>
      <c r="J145" s="123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123"/>
      <c r="X145" s="66"/>
      <c r="Y145" s="66"/>
      <c r="Z145" s="66"/>
      <c r="AA145" s="123"/>
      <c r="AB145" s="395"/>
      <c r="AC145" s="379"/>
    </row>
    <row r="146" spans="2:29" ht="12.75" customHeight="1" x14ac:dyDescent="0.25">
      <c r="B146" s="42"/>
      <c r="D146" s="140"/>
      <c r="E146" s="141"/>
      <c r="F146" s="141"/>
      <c r="G146" s="142"/>
      <c r="H146" s="123" t="str">
        <f t="shared" si="13"/>
        <v/>
      </c>
      <c r="I146" s="123"/>
      <c r="J146" s="123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123"/>
      <c r="X146" s="66"/>
      <c r="Y146" s="66"/>
      <c r="Z146" s="66"/>
      <c r="AA146" s="123"/>
      <c r="AB146" s="395"/>
      <c r="AC146" s="379"/>
    </row>
    <row r="147" spans="2:29" ht="12.75" customHeight="1" x14ac:dyDescent="0.25">
      <c r="B147" s="42"/>
      <c r="D147" s="140"/>
      <c r="E147" s="141"/>
      <c r="F147" s="141"/>
      <c r="G147" s="142"/>
      <c r="H147" s="123" t="str">
        <f t="shared" si="13"/>
        <v/>
      </c>
      <c r="I147" s="123"/>
      <c r="J147" s="123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123"/>
      <c r="X147" s="66"/>
      <c r="Y147" s="66"/>
      <c r="Z147" s="66"/>
      <c r="AA147" s="123"/>
      <c r="AB147" s="395"/>
      <c r="AC147" s="379"/>
    </row>
    <row r="148" spans="2:29" ht="12.75" customHeight="1" x14ac:dyDescent="0.25">
      <c r="B148" s="42"/>
      <c r="D148" s="140"/>
      <c r="E148" s="141"/>
      <c r="F148" s="141"/>
      <c r="G148" s="142"/>
      <c r="H148" s="123" t="str">
        <f t="shared" ref="H148:H165" si="14">IF(E148&lt;&gt;"",F148-E148,"")</f>
        <v/>
      </c>
      <c r="I148" s="123"/>
      <c r="J148" s="123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123"/>
      <c r="X148" s="66"/>
      <c r="Y148" s="66"/>
      <c r="Z148" s="66"/>
      <c r="AA148" s="123"/>
      <c r="AB148" s="395"/>
      <c r="AC148" s="379"/>
    </row>
    <row r="149" spans="2:29" ht="12.75" customHeight="1" x14ac:dyDescent="0.25">
      <c r="B149" s="42"/>
      <c r="D149" s="140"/>
      <c r="E149" s="141"/>
      <c r="F149" s="141"/>
      <c r="G149" s="142"/>
      <c r="H149" s="123" t="str">
        <f t="shared" si="14"/>
        <v/>
      </c>
      <c r="I149" s="123"/>
      <c r="J149" s="123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123"/>
      <c r="X149" s="66"/>
      <c r="Y149" s="66"/>
      <c r="Z149" s="66"/>
      <c r="AA149" s="123"/>
      <c r="AB149" s="395"/>
      <c r="AC149" s="379"/>
    </row>
    <row r="150" spans="2:29" ht="12.75" customHeight="1" x14ac:dyDescent="0.25">
      <c r="B150" s="42"/>
      <c r="D150" s="140"/>
      <c r="E150" s="141"/>
      <c r="F150" s="141"/>
      <c r="G150" s="142"/>
      <c r="H150" s="123" t="str">
        <f t="shared" si="14"/>
        <v/>
      </c>
      <c r="I150" s="123"/>
      <c r="J150" s="123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123"/>
      <c r="AB150" s="395"/>
      <c r="AC150" s="379"/>
    </row>
    <row r="151" spans="2:29" ht="12.75" customHeight="1" x14ac:dyDescent="0.25">
      <c r="B151" s="42"/>
      <c r="D151" s="140"/>
      <c r="E151" s="141"/>
      <c r="F151" s="141"/>
      <c r="G151" s="142"/>
      <c r="H151" s="123" t="str">
        <f t="shared" si="14"/>
        <v/>
      </c>
      <c r="I151" s="123"/>
      <c r="J151" s="123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123"/>
      <c r="AB151" s="395"/>
      <c r="AC151" s="379"/>
    </row>
    <row r="152" spans="2:29" ht="12.75" customHeight="1" x14ac:dyDescent="0.25">
      <c r="B152" s="42"/>
      <c r="D152" s="140"/>
      <c r="E152" s="141"/>
      <c r="F152" s="141"/>
      <c r="G152" s="201"/>
      <c r="H152" s="123" t="str">
        <f t="shared" si="14"/>
        <v/>
      </c>
      <c r="I152" s="123"/>
      <c r="J152" s="123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123"/>
      <c r="AB152" s="395"/>
      <c r="AC152" s="379"/>
    </row>
    <row r="153" spans="2:29" ht="12.75" customHeight="1" x14ac:dyDescent="0.25">
      <c r="B153" s="42"/>
      <c r="D153" s="140"/>
      <c r="E153" s="141"/>
      <c r="F153" s="141"/>
      <c r="G153" s="201"/>
      <c r="H153" s="123" t="str">
        <f t="shared" si="14"/>
        <v/>
      </c>
      <c r="I153" s="123"/>
      <c r="J153" s="123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123"/>
      <c r="AB153" s="395"/>
      <c r="AC153" s="379"/>
    </row>
    <row r="154" spans="2:29" ht="12.75" customHeight="1" x14ac:dyDescent="0.25">
      <c r="B154" s="42"/>
      <c r="D154" s="140"/>
      <c r="E154" s="141"/>
      <c r="F154" s="141"/>
      <c r="G154" s="201"/>
      <c r="H154" s="123" t="str">
        <f t="shared" si="14"/>
        <v/>
      </c>
      <c r="I154" s="123"/>
      <c r="J154" s="123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123"/>
      <c r="AB154" s="395"/>
      <c r="AC154" s="379"/>
    </row>
    <row r="155" spans="2:29" ht="12.75" customHeight="1" x14ac:dyDescent="0.25">
      <c r="B155" s="42"/>
      <c r="D155" s="140"/>
      <c r="E155" s="141"/>
      <c r="F155" s="141"/>
      <c r="G155" s="142"/>
      <c r="H155" s="123" t="str">
        <f t="shared" si="14"/>
        <v/>
      </c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411"/>
      <c r="Y155" s="66"/>
      <c r="Z155" s="66"/>
      <c r="AA155" s="123"/>
      <c r="AB155" s="395"/>
      <c r="AC155" s="379"/>
    </row>
    <row r="156" spans="2:29" ht="12.75" customHeight="1" x14ac:dyDescent="0.25">
      <c r="B156" s="42"/>
      <c r="D156" s="140"/>
      <c r="E156" s="141"/>
      <c r="F156" s="141"/>
      <c r="G156" s="142"/>
      <c r="H156" s="123" t="str">
        <f t="shared" si="14"/>
        <v/>
      </c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411"/>
      <c r="Y156" s="66"/>
      <c r="Z156" s="66"/>
      <c r="AA156" s="123"/>
      <c r="AB156" s="395"/>
      <c r="AC156" s="379"/>
    </row>
    <row r="157" spans="2:29" ht="12.75" customHeight="1" x14ac:dyDescent="0.25">
      <c r="B157" s="42"/>
      <c r="D157" s="140"/>
      <c r="E157" s="141"/>
      <c r="F157" s="141"/>
      <c r="G157" s="142"/>
      <c r="H157" s="123" t="str">
        <f t="shared" si="14"/>
        <v/>
      </c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411"/>
      <c r="Y157" s="66"/>
      <c r="Z157" s="66"/>
      <c r="AA157" s="123"/>
      <c r="AB157" s="395"/>
      <c r="AC157" s="379"/>
    </row>
    <row r="158" spans="2:29" ht="12.75" customHeight="1" x14ac:dyDescent="0.25">
      <c r="B158" s="42"/>
      <c r="D158" s="140"/>
      <c r="E158" s="141"/>
      <c r="F158" s="141"/>
      <c r="G158" s="142"/>
      <c r="H158" s="123" t="str">
        <f t="shared" si="14"/>
        <v/>
      </c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411"/>
      <c r="Y158" s="66"/>
      <c r="Z158" s="66"/>
      <c r="AA158" s="123"/>
      <c r="AB158" s="395"/>
      <c r="AC158" s="379"/>
    </row>
    <row r="159" spans="2:29" ht="12.75" customHeight="1" x14ac:dyDescent="0.25">
      <c r="B159" s="42"/>
      <c r="D159" s="140"/>
      <c r="E159" s="141"/>
      <c r="F159" s="141"/>
      <c r="G159" s="142"/>
      <c r="H159" s="123" t="str">
        <f t="shared" si="14"/>
        <v/>
      </c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411"/>
      <c r="Y159" s="66"/>
      <c r="Z159" s="66"/>
      <c r="AA159" s="123"/>
      <c r="AB159" s="395"/>
      <c r="AC159" s="379"/>
    </row>
    <row r="160" spans="2:29" ht="12.75" customHeight="1" x14ac:dyDescent="0.25">
      <c r="B160" s="42"/>
      <c r="D160" s="140"/>
      <c r="E160" s="141"/>
      <c r="F160" s="141"/>
      <c r="G160" s="142"/>
      <c r="H160" s="123" t="str">
        <f t="shared" si="14"/>
        <v/>
      </c>
      <c r="I160" s="123"/>
      <c r="J160" s="123"/>
      <c r="K160" s="66"/>
      <c r="L160" s="66"/>
      <c r="M160" s="123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411"/>
      <c r="Y160" s="411"/>
      <c r="Z160" s="123"/>
      <c r="AA160" s="123"/>
      <c r="AB160" s="395"/>
      <c r="AC160" s="379"/>
    </row>
    <row r="161" spans="2:29" ht="12.75" customHeight="1" x14ac:dyDescent="0.25">
      <c r="B161" s="42"/>
      <c r="D161" s="140"/>
      <c r="E161" s="141"/>
      <c r="F161" s="141"/>
      <c r="G161" s="142"/>
      <c r="H161" s="123" t="str">
        <f t="shared" si="14"/>
        <v/>
      </c>
      <c r="I161" s="123"/>
      <c r="J161" s="123"/>
      <c r="K161" s="66"/>
      <c r="L161" s="66"/>
      <c r="M161" s="123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411"/>
      <c r="Y161" s="411"/>
      <c r="Z161" s="123"/>
      <c r="AA161" s="123"/>
      <c r="AB161" s="395"/>
      <c r="AC161" s="379"/>
    </row>
    <row r="162" spans="2:29" ht="12.75" customHeight="1" x14ac:dyDescent="0.25">
      <c r="B162" s="42"/>
      <c r="D162" s="140"/>
      <c r="E162" s="141"/>
      <c r="F162" s="141"/>
      <c r="G162" s="142"/>
      <c r="H162" s="123" t="str">
        <f t="shared" si="14"/>
        <v/>
      </c>
      <c r="I162" s="123"/>
      <c r="J162" s="123"/>
      <c r="K162" s="66"/>
      <c r="L162" s="66"/>
      <c r="M162" s="123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411"/>
      <c r="Y162" s="411"/>
      <c r="Z162" s="123"/>
      <c r="AA162" s="123"/>
      <c r="AB162" s="395"/>
      <c r="AC162" s="379"/>
    </row>
    <row r="163" spans="2:29" ht="12.75" customHeight="1" x14ac:dyDescent="0.25">
      <c r="B163" s="42"/>
      <c r="D163" s="140"/>
      <c r="E163" s="141"/>
      <c r="F163" s="141"/>
      <c r="G163" s="142"/>
      <c r="H163" s="123" t="str">
        <f t="shared" si="14"/>
        <v/>
      </c>
      <c r="I163" s="123"/>
      <c r="J163" s="123"/>
      <c r="K163" s="66"/>
      <c r="L163" s="66"/>
      <c r="M163" s="123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411"/>
      <c r="Y163" s="411"/>
      <c r="Z163" s="123"/>
      <c r="AA163" s="123"/>
      <c r="AB163" s="395"/>
      <c r="AC163" s="379"/>
    </row>
    <row r="164" spans="2:29" ht="12.75" customHeight="1" x14ac:dyDescent="0.25">
      <c r="B164" s="42"/>
      <c r="D164" s="140"/>
      <c r="E164" s="203"/>
      <c r="F164" s="203"/>
      <c r="G164" s="201"/>
      <c r="H164" s="128" t="str">
        <f t="shared" si="14"/>
        <v/>
      </c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412"/>
      <c r="Y164" s="412"/>
      <c r="Z164" s="128"/>
      <c r="AA164" s="128"/>
      <c r="AB164" s="412"/>
      <c r="AC164" s="388"/>
    </row>
    <row r="165" spans="2:29" ht="12.75" customHeight="1" thickBot="1" x14ac:dyDescent="0.3">
      <c r="B165" s="42"/>
      <c r="D165" s="198"/>
      <c r="E165" s="203"/>
      <c r="F165" s="203"/>
      <c r="G165" s="201"/>
      <c r="H165" s="128" t="str">
        <f t="shared" si="14"/>
        <v/>
      </c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412"/>
      <c r="Y165" s="412"/>
      <c r="Z165" s="128"/>
      <c r="AA165" s="128"/>
      <c r="AB165" s="412"/>
      <c r="AC165" s="388"/>
    </row>
    <row r="166" spans="2:29" ht="12.75" customHeight="1" thickBot="1" x14ac:dyDescent="0.3">
      <c r="B166" s="42"/>
      <c r="D166" s="518" t="s">
        <v>59</v>
      </c>
      <c r="E166" s="519"/>
      <c r="F166" s="519"/>
      <c r="G166" s="519"/>
      <c r="H166" s="47"/>
      <c r="I166" s="47"/>
      <c r="J166" s="47"/>
      <c r="K166" s="136">
        <f>SUM(K109:K165)</f>
        <v>1063.6056666666668</v>
      </c>
      <c r="L166" s="136">
        <f>SUM(L109:L165)</f>
        <v>386.12751851851846</v>
      </c>
      <c r="M166" s="136">
        <f t="shared" ref="M166:U166" si="15">SUM(M109:M165)</f>
        <v>386.12751851851846</v>
      </c>
      <c r="N166" s="136">
        <f t="shared" si="15"/>
        <v>0.58308088888888887</v>
      </c>
      <c r="O166" s="136">
        <f t="shared" si="15"/>
        <v>1155.2535555555557</v>
      </c>
      <c r="P166" s="136">
        <f t="shared" si="15"/>
        <v>117.28612962962963</v>
      </c>
      <c r="Q166" s="136">
        <f t="shared" si="15"/>
        <v>192.54225925925923</v>
      </c>
      <c r="R166" s="136">
        <f t="shared" si="15"/>
        <v>84.446013333333326</v>
      </c>
      <c r="S166" s="136">
        <f t="shared" si="15"/>
        <v>24.434610339506175</v>
      </c>
      <c r="T166" s="136">
        <f t="shared" si="15"/>
        <v>34.208454475308649</v>
      </c>
      <c r="U166" s="136">
        <f t="shared" si="15"/>
        <v>359.88888888888891</v>
      </c>
      <c r="V166" s="136"/>
      <c r="W166" s="136"/>
      <c r="X166" s="416"/>
      <c r="Y166" s="416"/>
      <c r="Z166" s="417"/>
      <c r="AA166" s="417"/>
      <c r="AB166" s="416"/>
      <c r="AC166" s="418"/>
    </row>
    <row r="167" spans="2:29" ht="12.75" customHeight="1" thickBot="1" x14ac:dyDescent="0.3">
      <c r="B167" s="43"/>
      <c r="D167" s="518" t="s">
        <v>60</v>
      </c>
      <c r="E167" s="519"/>
      <c r="F167" s="519"/>
      <c r="G167" s="445" t="s">
        <v>63</v>
      </c>
      <c r="H167" s="445"/>
      <c r="I167" s="47"/>
      <c r="J167" s="47"/>
      <c r="K167" s="419">
        <f t="shared" ref="K167:W167" si="16">K88</f>
        <v>4289.2031111111119</v>
      </c>
      <c r="L167" s="419">
        <f t="shared" si="16"/>
        <v>1727.2892592592593</v>
      </c>
      <c r="M167" s="419">
        <f t="shared" si="16"/>
        <v>1727.2892592592593</v>
      </c>
      <c r="N167" s="419">
        <f t="shared" si="16"/>
        <v>2.5909338888888884</v>
      </c>
      <c r="O167" s="419">
        <f t="shared" si="16"/>
        <v>5181.8677777777766</v>
      </c>
      <c r="P167" s="419">
        <f t="shared" si="16"/>
        <v>765.5102901234568</v>
      </c>
      <c r="Q167" s="419">
        <f t="shared" si="16"/>
        <v>847.48712345679019</v>
      </c>
      <c r="R167" s="419">
        <f t="shared" si="16"/>
        <v>545.35070666666661</v>
      </c>
      <c r="S167" s="419">
        <f t="shared" si="16"/>
        <v>143.57341820987654</v>
      </c>
      <c r="T167" s="419">
        <f t="shared" si="16"/>
        <v>201.00278549382716</v>
      </c>
      <c r="U167" s="419"/>
      <c r="V167" s="419">
        <f t="shared" si="16"/>
        <v>154.28866666666667</v>
      </c>
      <c r="W167" s="419">
        <f t="shared" si="16"/>
        <v>409.67477777777776</v>
      </c>
      <c r="X167" s="416"/>
      <c r="Y167" s="416"/>
      <c r="Z167" s="417"/>
      <c r="AA167" s="417"/>
      <c r="AB167" s="416"/>
      <c r="AC167" s="418"/>
    </row>
    <row r="168" spans="2:29" ht="12.75" customHeight="1" thickBot="1" x14ac:dyDescent="0.3">
      <c r="D168" s="444" t="s">
        <v>61</v>
      </c>
      <c r="E168" s="445"/>
      <c r="F168" s="445"/>
      <c r="G168" s="445"/>
      <c r="H168" s="445"/>
      <c r="I168" s="445"/>
      <c r="J168" s="445"/>
      <c r="K168" s="136"/>
      <c r="L168" s="135"/>
      <c r="M168" s="135"/>
      <c r="N168" s="134">
        <f>ROUNDUP(SUM(N166:N167),0)</f>
        <v>4</v>
      </c>
      <c r="O168" s="135"/>
      <c r="P168" s="135"/>
      <c r="Q168" s="135"/>
      <c r="R168" s="135"/>
      <c r="S168" s="135"/>
      <c r="T168" s="135"/>
      <c r="U168" s="135"/>
      <c r="V168" s="135"/>
      <c r="W168" s="135"/>
      <c r="X168" s="135" t="str">
        <f t="shared" ref="X168" si="17">IF(X91="","",IF(X108="","",IF(SUM(X109:X167)&lt;&gt;0,SUM(X109:X167),"")))</f>
        <v/>
      </c>
      <c r="Y168" s="135" t="str">
        <f t="shared" ref="Y168" si="18">IF(Y91="","",IF(Y108="","",IF(SUM(Y109:Y167)&lt;&gt;0,SUM(Y109:Y167),"")))</f>
        <v/>
      </c>
      <c r="Z168" s="135" t="str">
        <f t="shared" ref="Z168" si="19">IF(Z91="","",IF(Z108="","",IF(SUM(Z109:Z167)&lt;&gt;0,SUM(Z109:Z167),"")))</f>
        <v/>
      </c>
      <c r="AA168" s="135" t="str">
        <f t="shared" ref="AA168" si="20">IF(AA91="","",IF(AA108="","",IF(SUM(AA109:AA167)&lt;&gt;0,SUM(AA109:AA167),"")))</f>
        <v/>
      </c>
      <c r="AB168" s="135" t="str">
        <f t="shared" ref="AB168" si="21">IF(AB91="","",IF(AB108="","",IF(SUM(AB109:AB167)&lt;&gt;0,SUM(AB109:AB167),"")))</f>
        <v/>
      </c>
      <c r="AC168" s="420" t="str">
        <f t="shared" ref="AC168" si="22">IF(AC91="","",IF(AC108="","",IF(SUM(AC109:AC167)&lt;&gt;0,SUM(AC109:AC167),"")))</f>
        <v/>
      </c>
    </row>
    <row r="169" spans="2:29" ht="12.75" customHeight="1" thickBot="1" x14ac:dyDescent="0.3">
      <c r="B169" s="6" t="s">
        <v>17</v>
      </c>
      <c r="D169" s="444" t="s">
        <v>5</v>
      </c>
      <c r="E169" s="445"/>
      <c r="F169" s="445"/>
      <c r="G169" s="445"/>
      <c r="H169" s="445"/>
      <c r="I169" s="445"/>
      <c r="J169" s="445"/>
      <c r="K169" s="134">
        <f>ROUNDUP(SUM(K166:K167),0)</f>
        <v>5353</v>
      </c>
      <c r="L169" s="134">
        <f>SUM(L166:L167)</f>
        <v>2113.416777777778</v>
      </c>
      <c r="M169" s="134">
        <f>SUM(M166:M167)</f>
        <v>2113.416777777778</v>
      </c>
      <c r="N169" s="134"/>
      <c r="O169" s="134">
        <f>ROUNDUP(SUM(O166:O167),0)</f>
        <v>6338</v>
      </c>
      <c r="P169" s="134">
        <f t="shared" ref="P169:W169" si="23">ROUNDUP(SUM(P166:P167),0)</f>
        <v>883</v>
      </c>
      <c r="Q169" s="134">
        <f t="shared" si="23"/>
        <v>1041</v>
      </c>
      <c r="R169" s="134">
        <f t="shared" si="23"/>
        <v>630</v>
      </c>
      <c r="S169" s="134">
        <f>SUM(S166:S167)</f>
        <v>168.00802854938271</v>
      </c>
      <c r="T169" s="134">
        <f t="shared" si="23"/>
        <v>236</v>
      </c>
      <c r="U169" s="134">
        <f t="shared" si="23"/>
        <v>360</v>
      </c>
      <c r="V169" s="134">
        <f t="shared" si="23"/>
        <v>155</v>
      </c>
      <c r="W169" s="134">
        <f t="shared" si="23"/>
        <v>410</v>
      </c>
      <c r="X169" s="134" t="str">
        <f t="shared" ref="X169" si="24">IF(X91="","",IF(X108="",IF(SUM(COUNTIF(X109:X167,"LS")+COUNTIF(X109:X167,"LUMP"))&gt;0,"LS",""),IF(X168&lt;&gt;"",ROUNDUP(X168,0),"")))</f>
        <v/>
      </c>
      <c r="Y169" s="134" t="str">
        <f t="shared" ref="Y169" si="25">IF(Y91="","",IF(Y108="",IF(SUM(COUNTIF(Y109:Y167,"LS")+COUNTIF(Y109:Y167,"LUMP"))&gt;0,"LS",""),IF(Y168&lt;&gt;"",ROUNDUP(Y168,0),"")))</f>
        <v/>
      </c>
      <c r="Z169" s="134" t="str">
        <f t="shared" ref="Z169" si="26">IF(Z91="","",IF(Z108="",IF(SUM(COUNTIF(Z109:Z167,"LS")+COUNTIF(Z109:Z167,"LUMP"))&gt;0,"LS",""),IF(Z168&lt;&gt;"",ROUNDUP(Z168,0),"")))</f>
        <v/>
      </c>
      <c r="AA169" s="134" t="str">
        <f t="shared" ref="AA169" si="27">IF(AA91="","",IF(AA108="",IF(SUM(COUNTIF(AA109:AA167,"LS")+COUNTIF(AA109:AA167,"LUMP"))&gt;0,"LS",""),IF(AA168&lt;&gt;"",ROUNDUP(AA168,0),"")))</f>
        <v/>
      </c>
      <c r="AB169" s="134" t="str">
        <f t="shared" ref="AB169" si="28">IF(AB91="","",IF(AB108="",IF(SUM(COUNTIF(AB109:AB167,"LS")+COUNTIF(AB109:AB167,"LUMP"))&gt;0,"LS",""),IF(AB168&lt;&gt;"",ROUNDUP(AB168,0),"")))</f>
        <v/>
      </c>
      <c r="AC169" s="389" t="str">
        <f t="shared" ref="AC169" si="29">IF(AC91="","",IF(AC108="",IF(SUM(COUNTIF(AC109:AC167,"LS")+COUNTIF(AC109:AC167,"LUMP"))&gt;0,"LS",""),IF(AC168&lt;&gt;"",ROUNDUP(AC168,0),"")))</f>
        <v/>
      </c>
    </row>
    <row r="170" spans="2:29" ht="12.75" customHeight="1" thickBot="1" x14ac:dyDescent="0.3"/>
    <row r="171" spans="2:29" ht="12.75" customHeight="1" thickBot="1" x14ac:dyDescent="0.3">
      <c r="B171" s="39" t="s">
        <v>15</v>
      </c>
      <c r="E171" s="449">
        <f>E90+1</f>
        <v>3</v>
      </c>
      <c r="F171" s="449"/>
      <c r="G171" s="449"/>
      <c r="H171" s="449"/>
      <c r="I171" s="449"/>
      <c r="J171" s="449"/>
      <c r="K171" s="449"/>
      <c r="L171" s="449"/>
      <c r="M171" s="449"/>
      <c r="N171" s="449"/>
      <c r="O171" s="449"/>
      <c r="P171" s="449"/>
      <c r="Q171" s="449"/>
      <c r="R171" s="449"/>
      <c r="S171" s="449"/>
      <c r="T171" s="449"/>
      <c r="U171" s="449"/>
      <c r="V171" s="449"/>
      <c r="W171" s="449"/>
      <c r="X171" s="449"/>
      <c r="Y171" s="449"/>
      <c r="Z171" s="449"/>
      <c r="AA171" s="449"/>
      <c r="AB171" s="449"/>
      <c r="AC171" s="449"/>
    </row>
    <row r="172" spans="2:29" ht="12.75" customHeight="1" thickBot="1" x14ac:dyDescent="0.3">
      <c r="B172" s="40"/>
      <c r="E172" s="9"/>
      <c r="F172" s="9"/>
      <c r="G172" s="9"/>
      <c r="H172" s="10"/>
      <c r="I172" s="10"/>
      <c r="J172" s="11" t="s">
        <v>13</v>
      </c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</row>
    <row r="173" spans="2:29" ht="12.75" customHeight="1" x14ac:dyDescent="0.25">
      <c r="E173" s="9"/>
      <c r="F173" s="9"/>
      <c r="G173" s="9"/>
      <c r="H173" s="10"/>
      <c r="I173" s="10"/>
      <c r="J173" s="11" t="s">
        <v>14</v>
      </c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2:29" ht="12.75" customHeight="1" x14ac:dyDescent="0.25">
      <c r="E174" s="10"/>
      <c r="F174" s="1"/>
      <c r="G174" s="10"/>
      <c r="H174" s="9"/>
      <c r="I174" s="10"/>
      <c r="J174" s="11" t="s">
        <v>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spans="2:29" ht="12.75" customHeight="1" thickBot="1" x14ac:dyDescent="0.3">
      <c r="E175" s="10"/>
      <c r="F175" s="1"/>
      <c r="G175" s="10"/>
      <c r="H175" s="9"/>
      <c r="I175" s="10"/>
      <c r="J175" s="11" t="s">
        <v>8</v>
      </c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spans="2:29" ht="12.75" customHeight="1" x14ac:dyDescent="0.25">
      <c r="B176" s="450" t="s">
        <v>16</v>
      </c>
      <c r="E176" s="498" t="s">
        <v>2</v>
      </c>
      <c r="F176" s="499"/>
      <c r="G176" s="502" t="s">
        <v>0</v>
      </c>
      <c r="H176" s="502" t="s">
        <v>9</v>
      </c>
      <c r="I176" s="502" t="s">
        <v>23</v>
      </c>
      <c r="J176" s="502" t="s">
        <v>3</v>
      </c>
      <c r="K176" s="15" t="str">
        <f t="shared" ref="K176:AC176" si="30">IF(OR(TRIM(K172)=0,TRIM(K172)=""),"",IF(IFERROR(TRIM(INDEX(QryItemNamed,MATCH(TRIM(K172),ITEM,0),2)),"")="Y","SPECIAL",LEFT(IFERROR(TRIM(INDEX(ITEM,MATCH(TRIM(K172),ITEM,0))),""),3)))</f>
        <v/>
      </c>
      <c r="L176" s="15" t="str">
        <f t="shared" si="30"/>
        <v/>
      </c>
      <c r="M176" s="15" t="str">
        <f t="shared" si="30"/>
        <v/>
      </c>
      <c r="N176" s="15" t="str">
        <f t="shared" si="30"/>
        <v/>
      </c>
      <c r="O176" s="15" t="str">
        <f t="shared" si="30"/>
        <v/>
      </c>
      <c r="P176" s="15" t="str">
        <f t="shared" si="30"/>
        <v/>
      </c>
      <c r="Q176" s="15" t="str">
        <f t="shared" si="30"/>
        <v/>
      </c>
      <c r="R176" s="15" t="str">
        <f t="shared" si="30"/>
        <v/>
      </c>
      <c r="S176" s="15" t="str">
        <f t="shared" si="30"/>
        <v/>
      </c>
      <c r="T176" s="15"/>
      <c r="U176" s="15" t="str">
        <f t="shared" si="30"/>
        <v/>
      </c>
      <c r="V176" s="15" t="str">
        <f t="shared" si="30"/>
        <v/>
      </c>
      <c r="W176" s="15" t="str">
        <f t="shared" si="30"/>
        <v/>
      </c>
      <c r="X176" s="15" t="str">
        <f t="shared" si="30"/>
        <v/>
      </c>
      <c r="Y176" s="15" t="str">
        <f t="shared" si="30"/>
        <v/>
      </c>
      <c r="Z176" s="15" t="str">
        <f t="shared" si="30"/>
        <v/>
      </c>
      <c r="AA176" s="15" t="str">
        <f t="shared" si="30"/>
        <v/>
      </c>
      <c r="AB176" s="15" t="str">
        <f t="shared" si="30"/>
        <v/>
      </c>
      <c r="AC176" s="15" t="str">
        <f t="shared" si="30"/>
        <v/>
      </c>
    </row>
    <row r="177" spans="2:29" ht="12.75" customHeight="1" x14ac:dyDescent="0.25">
      <c r="B177" s="451"/>
      <c r="E177" s="500"/>
      <c r="F177" s="501"/>
      <c r="G177" s="503"/>
      <c r="H177" s="503"/>
      <c r="I177" s="503"/>
      <c r="J177" s="503"/>
      <c r="K177" s="504" t="str">
        <f t="shared" ref="K177:AC177" si="31">IF(OR(TRIM(K172)=0,TRIM(K172)=""),IF(K173="","",K173),IF(IFERROR(TRIM(INDEX(QryItemNamed,MATCH(TRIM(K172),ITEM,0),2)),"")="Y",TRIM(RIGHT(IFERROR(TRIM(INDEX(QryItemNamed,MATCH(TRIM(K172),ITEM,0),4)),"123456789012"),LEN(IFERROR(TRIM(INDEX(QryItemNamed,MATCH(TRIM(K172),ITEM,0),4)),"123456789012"))-9))&amp;K173,IFERROR(TRIM(INDEX(QryItemNamed,MATCH(TRIM(K172),ITEM,0),4))&amp;K173,"ITEM CODE DOES NOT EXIST IN ITEM MASTER")))</f>
        <v/>
      </c>
      <c r="L177" s="504" t="str">
        <f t="shared" si="31"/>
        <v/>
      </c>
      <c r="M177" s="504" t="str">
        <f t="shared" si="31"/>
        <v/>
      </c>
      <c r="N177" s="504" t="str">
        <f t="shared" si="31"/>
        <v/>
      </c>
      <c r="O177" s="504" t="str">
        <f t="shared" si="31"/>
        <v/>
      </c>
      <c r="P177" s="504" t="str">
        <f t="shared" si="31"/>
        <v/>
      </c>
      <c r="Q177" s="504" t="str">
        <f t="shared" si="31"/>
        <v/>
      </c>
      <c r="R177" s="504" t="str">
        <f t="shared" si="31"/>
        <v/>
      </c>
      <c r="S177" s="504" t="str">
        <f t="shared" si="31"/>
        <v/>
      </c>
      <c r="T177" s="44"/>
      <c r="U177" s="504" t="str">
        <f t="shared" si="31"/>
        <v/>
      </c>
      <c r="V177" s="504" t="str">
        <f t="shared" si="31"/>
        <v/>
      </c>
      <c r="W177" s="504" t="str">
        <f t="shared" si="31"/>
        <v/>
      </c>
      <c r="X177" s="504" t="str">
        <f t="shared" si="31"/>
        <v/>
      </c>
      <c r="Y177" s="504" t="str">
        <f t="shared" si="31"/>
        <v/>
      </c>
      <c r="Z177" s="504" t="str">
        <f t="shared" si="31"/>
        <v/>
      </c>
      <c r="AA177" s="504" t="str">
        <f t="shared" si="31"/>
        <v/>
      </c>
      <c r="AB177" s="504" t="str">
        <f t="shared" si="31"/>
        <v/>
      </c>
      <c r="AC177" s="504" t="str">
        <f t="shared" si="31"/>
        <v/>
      </c>
    </row>
    <row r="178" spans="2:29" ht="12.75" customHeight="1" x14ac:dyDescent="0.25">
      <c r="B178" s="451"/>
      <c r="E178" s="500"/>
      <c r="F178" s="501"/>
      <c r="G178" s="503"/>
      <c r="H178" s="503"/>
      <c r="I178" s="503"/>
      <c r="J178" s="503"/>
      <c r="K178" s="505"/>
      <c r="L178" s="505"/>
      <c r="M178" s="505"/>
      <c r="N178" s="505"/>
      <c r="O178" s="505"/>
      <c r="P178" s="505"/>
      <c r="Q178" s="505"/>
      <c r="R178" s="505"/>
      <c r="S178" s="505"/>
      <c r="T178" s="45"/>
      <c r="U178" s="505"/>
      <c r="V178" s="505"/>
      <c r="W178" s="505"/>
      <c r="X178" s="505"/>
      <c r="Y178" s="505"/>
      <c r="Z178" s="505"/>
      <c r="AA178" s="505"/>
      <c r="AB178" s="505"/>
      <c r="AC178" s="505"/>
    </row>
    <row r="179" spans="2:29" ht="12.75" customHeight="1" x14ac:dyDescent="0.25">
      <c r="B179" s="451"/>
      <c r="E179" s="500"/>
      <c r="F179" s="501"/>
      <c r="G179" s="503"/>
      <c r="H179" s="503"/>
      <c r="I179" s="503"/>
      <c r="J179" s="503"/>
      <c r="K179" s="505"/>
      <c r="L179" s="505"/>
      <c r="M179" s="505"/>
      <c r="N179" s="505"/>
      <c r="O179" s="505"/>
      <c r="P179" s="505"/>
      <c r="Q179" s="505"/>
      <c r="R179" s="505"/>
      <c r="S179" s="505"/>
      <c r="T179" s="45"/>
      <c r="U179" s="505"/>
      <c r="V179" s="505"/>
      <c r="W179" s="505"/>
      <c r="X179" s="505"/>
      <c r="Y179" s="505"/>
      <c r="Z179" s="505"/>
      <c r="AA179" s="505"/>
      <c r="AB179" s="505"/>
      <c r="AC179" s="505"/>
    </row>
    <row r="180" spans="2:29" ht="12.75" customHeight="1" x14ac:dyDescent="0.25">
      <c r="B180" s="451"/>
      <c r="E180" s="500"/>
      <c r="F180" s="501"/>
      <c r="G180" s="503"/>
      <c r="H180" s="503"/>
      <c r="I180" s="503"/>
      <c r="J180" s="503"/>
      <c r="K180" s="505"/>
      <c r="L180" s="505"/>
      <c r="M180" s="505"/>
      <c r="N180" s="505"/>
      <c r="O180" s="505"/>
      <c r="P180" s="505"/>
      <c r="Q180" s="505"/>
      <c r="R180" s="505"/>
      <c r="S180" s="505"/>
      <c r="T180" s="45"/>
      <c r="U180" s="505"/>
      <c r="V180" s="505"/>
      <c r="W180" s="505"/>
      <c r="X180" s="505"/>
      <c r="Y180" s="505"/>
      <c r="Z180" s="505"/>
      <c r="AA180" s="505"/>
      <c r="AB180" s="505"/>
      <c r="AC180" s="505"/>
    </row>
    <row r="181" spans="2:29" ht="12.75" customHeight="1" x14ac:dyDescent="0.25">
      <c r="B181" s="451"/>
      <c r="E181" s="500"/>
      <c r="F181" s="501"/>
      <c r="G181" s="503"/>
      <c r="H181" s="503"/>
      <c r="I181" s="503"/>
      <c r="J181" s="503"/>
      <c r="K181" s="505"/>
      <c r="L181" s="505"/>
      <c r="M181" s="505"/>
      <c r="N181" s="505"/>
      <c r="O181" s="505"/>
      <c r="P181" s="505"/>
      <c r="Q181" s="505"/>
      <c r="R181" s="505"/>
      <c r="S181" s="505"/>
      <c r="T181" s="45"/>
      <c r="U181" s="505"/>
      <c r="V181" s="505"/>
      <c r="W181" s="505"/>
      <c r="X181" s="505"/>
      <c r="Y181" s="505"/>
      <c r="Z181" s="505"/>
      <c r="AA181" s="505"/>
      <c r="AB181" s="505"/>
      <c r="AC181" s="505"/>
    </row>
    <row r="182" spans="2:29" ht="12.75" customHeight="1" x14ac:dyDescent="0.25">
      <c r="B182" s="451"/>
      <c r="E182" s="500"/>
      <c r="F182" s="501"/>
      <c r="G182" s="503"/>
      <c r="H182" s="503"/>
      <c r="I182" s="503"/>
      <c r="J182" s="503"/>
      <c r="K182" s="505"/>
      <c r="L182" s="505"/>
      <c r="M182" s="505"/>
      <c r="N182" s="505"/>
      <c r="O182" s="505"/>
      <c r="P182" s="505"/>
      <c r="Q182" s="505"/>
      <c r="R182" s="505"/>
      <c r="S182" s="505"/>
      <c r="T182" s="45"/>
      <c r="U182" s="505"/>
      <c r="V182" s="505"/>
      <c r="W182" s="505"/>
      <c r="X182" s="505"/>
      <c r="Y182" s="505"/>
      <c r="Z182" s="505"/>
      <c r="AA182" s="505"/>
      <c r="AB182" s="505"/>
      <c r="AC182" s="505"/>
    </row>
    <row r="183" spans="2:29" ht="12.75" customHeight="1" x14ac:dyDescent="0.25">
      <c r="B183" s="451"/>
      <c r="E183" s="500"/>
      <c r="F183" s="501"/>
      <c r="G183" s="503"/>
      <c r="H183" s="503"/>
      <c r="I183" s="503"/>
      <c r="J183" s="503"/>
      <c r="K183" s="505"/>
      <c r="L183" s="505"/>
      <c r="M183" s="505"/>
      <c r="N183" s="505"/>
      <c r="O183" s="505"/>
      <c r="P183" s="505"/>
      <c r="Q183" s="505"/>
      <c r="R183" s="505"/>
      <c r="S183" s="505"/>
      <c r="T183" s="45"/>
      <c r="U183" s="505"/>
      <c r="V183" s="505"/>
      <c r="W183" s="505"/>
      <c r="X183" s="505"/>
      <c r="Y183" s="505"/>
      <c r="Z183" s="505"/>
      <c r="AA183" s="505"/>
      <c r="AB183" s="505"/>
      <c r="AC183" s="505"/>
    </row>
    <row r="184" spans="2:29" ht="12.75" customHeight="1" x14ac:dyDescent="0.25">
      <c r="B184" s="451"/>
      <c r="E184" s="500"/>
      <c r="F184" s="501"/>
      <c r="G184" s="503"/>
      <c r="H184" s="503"/>
      <c r="I184" s="503"/>
      <c r="J184" s="503"/>
      <c r="K184" s="505"/>
      <c r="L184" s="505"/>
      <c r="M184" s="505"/>
      <c r="N184" s="505"/>
      <c r="O184" s="505"/>
      <c r="P184" s="505"/>
      <c r="Q184" s="505"/>
      <c r="R184" s="505"/>
      <c r="S184" s="505"/>
      <c r="T184" s="45"/>
      <c r="U184" s="505"/>
      <c r="V184" s="505"/>
      <c r="W184" s="505"/>
      <c r="X184" s="505"/>
      <c r="Y184" s="505"/>
      <c r="Z184" s="505"/>
      <c r="AA184" s="505"/>
      <c r="AB184" s="505"/>
      <c r="AC184" s="505"/>
    </row>
    <row r="185" spans="2:29" ht="12.75" customHeight="1" x14ac:dyDescent="0.25">
      <c r="B185" s="451"/>
      <c r="E185" s="500"/>
      <c r="F185" s="501"/>
      <c r="G185" s="503"/>
      <c r="H185" s="503"/>
      <c r="I185" s="503"/>
      <c r="J185" s="503"/>
      <c r="K185" s="505"/>
      <c r="L185" s="505"/>
      <c r="M185" s="505"/>
      <c r="N185" s="505"/>
      <c r="O185" s="505"/>
      <c r="P185" s="505"/>
      <c r="Q185" s="505"/>
      <c r="R185" s="505"/>
      <c r="S185" s="505"/>
      <c r="T185" s="45"/>
      <c r="U185" s="505"/>
      <c r="V185" s="505"/>
      <c r="W185" s="505"/>
      <c r="X185" s="505"/>
      <c r="Y185" s="505"/>
      <c r="Z185" s="505"/>
      <c r="AA185" s="505"/>
      <c r="AB185" s="505"/>
      <c r="AC185" s="505"/>
    </row>
    <row r="186" spans="2:29" ht="12.75" customHeight="1" x14ac:dyDescent="0.25">
      <c r="B186" s="451"/>
      <c r="E186" s="500"/>
      <c r="F186" s="501"/>
      <c r="G186" s="503"/>
      <c r="H186" s="503"/>
      <c r="I186" s="503"/>
      <c r="J186" s="503"/>
      <c r="K186" s="505"/>
      <c r="L186" s="505"/>
      <c r="M186" s="505"/>
      <c r="N186" s="505"/>
      <c r="O186" s="505"/>
      <c r="P186" s="505"/>
      <c r="Q186" s="505"/>
      <c r="R186" s="505"/>
      <c r="S186" s="505"/>
      <c r="T186" s="45"/>
      <c r="U186" s="505"/>
      <c r="V186" s="505"/>
      <c r="W186" s="505"/>
      <c r="X186" s="505"/>
      <c r="Y186" s="505"/>
      <c r="Z186" s="505"/>
      <c r="AA186" s="505"/>
      <c r="AB186" s="505"/>
      <c r="AC186" s="505"/>
    </row>
    <row r="187" spans="2:29" ht="12.75" customHeight="1" x14ac:dyDescent="0.25">
      <c r="B187" s="451"/>
      <c r="E187" s="500"/>
      <c r="F187" s="501"/>
      <c r="G187" s="503"/>
      <c r="H187" s="503"/>
      <c r="I187" s="503"/>
      <c r="J187" s="503"/>
      <c r="K187" s="505"/>
      <c r="L187" s="505"/>
      <c r="M187" s="505"/>
      <c r="N187" s="505"/>
      <c r="O187" s="505"/>
      <c r="P187" s="505"/>
      <c r="Q187" s="505"/>
      <c r="R187" s="505"/>
      <c r="S187" s="505"/>
      <c r="T187" s="45"/>
      <c r="U187" s="505"/>
      <c r="V187" s="505"/>
      <c r="W187" s="505"/>
      <c r="X187" s="505"/>
      <c r="Y187" s="505"/>
      <c r="Z187" s="505"/>
      <c r="AA187" s="505"/>
      <c r="AB187" s="505"/>
      <c r="AC187" s="505"/>
    </row>
    <row r="188" spans="2:29" ht="12.75" customHeight="1" x14ac:dyDescent="0.25">
      <c r="B188" s="451"/>
      <c r="E188" s="500"/>
      <c r="F188" s="501"/>
      <c r="G188" s="503"/>
      <c r="H188" s="503"/>
      <c r="I188" s="503"/>
      <c r="J188" s="503"/>
      <c r="K188" s="506"/>
      <c r="L188" s="506"/>
      <c r="M188" s="506"/>
      <c r="N188" s="506"/>
      <c r="O188" s="506"/>
      <c r="P188" s="506"/>
      <c r="Q188" s="506"/>
      <c r="R188" s="506"/>
      <c r="S188" s="506"/>
      <c r="T188" s="46"/>
      <c r="U188" s="506"/>
      <c r="V188" s="506"/>
      <c r="W188" s="506"/>
      <c r="X188" s="506"/>
      <c r="Y188" s="506"/>
      <c r="Z188" s="506"/>
      <c r="AA188" s="506"/>
      <c r="AB188" s="506"/>
      <c r="AC188" s="506"/>
    </row>
    <row r="189" spans="2:29" ht="12.75" customHeight="1" thickBot="1" x14ac:dyDescent="0.3">
      <c r="B189" s="452"/>
      <c r="E189" s="507"/>
      <c r="F189" s="507"/>
      <c r="G189" s="16"/>
      <c r="H189" s="17" t="s">
        <v>6</v>
      </c>
      <c r="I189" s="17" t="s">
        <v>6</v>
      </c>
      <c r="J189" s="17" t="s">
        <v>22</v>
      </c>
      <c r="K189" s="17" t="str">
        <f t="shared" ref="K189:AC189" si="32">IF(OR(TRIM(K172)=0,TRIM(K172)=""),"",IF(IFERROR(TRIM(INDEX(QryItemNamed,MATCH(TRIM(K172),ITEM,0),3)),"")="LS","",IFERROR(TRIM(INDEX(QryItemNamed,MATCH(TRIM(K172),ITEM,0),3)),"")))</f>
        <v/>
      </c>
      <c r="L189" s="17" t="str">
        <f t="shared" si="32"/>
        <v/>
      </c>
      <c r="M189" s="17" t="str">
        <f t="shared" si="32"/>
        <v/>
      </c>
      <c r="N189" s="17" t="str">
        <f t="shared" si="32"/>
        <v/>
      </c>
      <c r="O189" s="17" t="str">
        <f t="shared" si="32"/>
        <v/>
      </c>
      <c r="P189" s="17" t="str">
        <f t="shared" si="32"/>
        <v/>
      </c>
      <c r="Q189" s="17" t="str">
        <f t="shared" si="32"/>
        <v/>
      </c>
      <c r="R189" s="17" t="str">
        <f t="shared" si="32"/>
        <v/>
      </c>
      <c r="S189" s="17" t="str">
        <f t="shared" si="32"/>
        <v/>
      </c>
      <c r="T189" s="17"/>
      <c r="U189" s="17" t="str">
        <f t="shared" si="32"/>
        <v/>
      </c>
      <c r="V189" s="17" t="str">
        <f t="shared" si="32"/>
        <v/>
      </c>
      <c r="W189" s="17" t="str">
        <f t="shared" si="32"/>
        <v/>
      </c>
      <c r="X189" s="17" t="str">
        <f t="shared" si="32"/>
        <v/>
      </c>
      <c r="Y189" s="17" t="str">
        <f t="shared" si="32"/>
        <v/>
      </c>
      <c r="Z189" s="17" t="str">
        <f t="shared" si="32"/>
        <v/>
      </c>
      <c r="AA189" s="17" t="str">
        <f t="shared" si="32"/>
        <v/>
      </c>
      <c r="AB189" s="17" t="str">
        <f t="shared" si="32"/>
        <v/>
      </c>
      <c r="AC189" s="17" t="str">
        <f t="shared" si="32"/>
        <v/>
      </c>
    </row>
    <row r="190" spans="2:29" ht="12.75" customHeight="1" x14ac:dyDescent="0.25">
      <c r="B190" s="41"/>
      <c r="E190" s="18"/>
      <c r="F190" s="18"/>
      <c r="G190" s="19"/>
      <c r="H190" s="20" t="str">
        <f t="shared" ref="H190:H221" si="33">IF(E190&lt;&gt;"",F190-E190,"")</f>
        <v/>
      </c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1"/>
      <c r="AC190" s="20"/>
    </row>
    <row r="191" spans="2:29" ht="12.75" customHeight="1" x14ac:dyDescent="0.25">
      <c r="B191" s="42"/>
      <c r="E191" s="18"/>
      <c r="F191" s="18"/>
      <c r="G191" s="19"/>
      <c r="H191" s="20" t="str">
        <f t="shared" si="33"/>
        <v/>
      </c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1"/>
      <c r="AC191" s="22"/>
    </row>
    <row r="192" spans="2:29" ht="12.75" customHeight="1" x14ac:dyDescent="0.25">
      <c r="B192" s="42"/>
      <c r="E192" s="23"/>
      <c r="F192" s="23"/>
      <c r="G192" s="24"/>
      <c r="H192" s="22" t="str">
        <f t="shared" si="33"/>
        <v/>
      </c>
      <c r="I192" s="22"/>
      <c r="J192" s="22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2"/>
      <c r="AB192" s="21"/>
      <c r="AC192" s="22"/>
    </row>
    <row r="193" spans="2:29" ht="12.75" customHeight="1" x14ac:dyDescent="0.25">
      <c r="B193" s="42"/>
      <c r="E193" s="23"/>
      <c r="F193" s="23"/>
      <c r="G193" s="24"/>
      <c r="H193" s="22" t="str">
        <f t="shared" si="33"/>
        <v/>
      </c>
      <c r="I193" s="22"/>
      <c r="J193" s="22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2"/>
      <c r="AB193" s="21"/>
      <c r="AC193" s="22"/>
    </row>
    <row r="194" spans="2:29" ht="12.75" customHeight="1" x14ac:dyDescent="0.25">
      <c r="B194" s="42"/>
      <c r="E194" s="23"/>
      <c r="F194" s="23"/>
      <c r="G194" s="24"/>
      <c r="H194" s="22" t="str">
        <f t="shared" si="33"/>
        <v/>
      </c>
      <c r="I194" s="22"/>
      <c r="J194" s="22"/>
      <c r="K194" s="20"/>
      <c r="L194" s="20"/>
      <c r="M194" s="22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5"/>
      <c r="Y194" s="25"/>
      <c r="Z194" s="22"/>
      <c r="AA194" s="22"/>
      <c r="AB194" s="21"/>
      <c r="AC194" s="22"/>
    </row>
    <row r="195" spans="2:29" ht="12.75" customHeight="1" x14ac:dyDescent="0.25">
      <c r="B195" s="42"/>
      <c r="E195" s="23"/>
      <c r="F195" s="23"/>
      <c r="G195" s="24"/>
      <c r="H195" s="22" t="str">
        <f t="shared" si="33"/>
        <v/>
      </c>
      <c r="I195" s="22"/>
      <c r="J195" s="22"/>
      <c r="K195" s="20"/>
      <c r="L195" s="20"/>
      <c r="M195" s="22"/>
      <c r="N195" s="20"/>
      <c r="O195" s="20"/>
      <c r="P195" s="20"/>
      <c r="Q195" s="20"/>
      <c r="R195" s="20"/>
      <c r="S195" s="20"/>
      <c r="T195" s="20"/>
      <c r="U195" s="20"/>
      <c r="V195" s="22"/>
      <c r="W195" s="20"/>
      <c r="X195" s="25"/>
      <c r="Y195" s="25"/>
      <c r="Z195" s="22"/>
      <c r="AA195" s="22"/>
      <c r="AB195" s="21"/>
      <c r="AC195" s="22"/>
    </row>
    <row r="196" spans="2:29" ht="12.75" customHeight="1" x14ac:dyDescent="0.25">
      <c r="B196" s="42"/>
      <c r="E196" s="23"/>
      <c r="F196" s="23"/>
      <c r="G196" s="24"/>
      <c r="H196" s="22" t="str">
        <f t="shared" si="33"/>
        <v/>
      </c>
      <c r="I196" s="22"/>
      <c r="J196" s="22"/>
      <c r="K196" s="20"/>
      <c r="L196" s="20"/>
      <c r="M196" s="22"/>
      <c r="N196" s="20"/>
      <c r="O196" s="20"/>
      <c r="P196" s="20"/>
      <c r="Q196" s="20"/>
      <c r="R196" s="20"/>
      <c r="S196" s="20"/>
      <c r="T196" s="20"/>
      <c r="U196" s="20"/>
      <c r="V196" s="22"/>
      <c r="W196" s="20"/>
      <c r="X196" s="25"/>
      <c r="Y196" s="25"/>
      <c r="Z196" s="22"/>
      <c r="AA196" s="22"/>
      <c r="AB196" s="21"/>
      <c r="AC196" s="22"/>
    </row>
    <row r="197" spans="2:29" ht="12.75" customHeight="1" x14ac:dyDescent="0.25">
      <c r="B197" s="42"/>
      <c r="E197" s="23"/>
      <c r="F197" s="23"/>
      <c r="G197" s="24"/>
      <c r="H197" s="22" t="str">
        <f t="shared" si="33"/>
        <v/>
      </c>
      <c r="I197" s="22"/>
      <c r="J197" s="22"/>
      <c r="K197" s="20"/>
      <c r="L197" s="20"/>
      <c r="M197" s="22"/>
      <c r="N197" s="20"/>
      <c r="O197" s="20"/>
      <c r="P197" s="20"/>
      <c r="Q197" s="20"/>
      <c r="R197" s="20"/>
      <c r="S197" s="20"/>
      <c r="T197" s="20"/>
      <c r="U197" s="20"/>
      <c r="V197" s="22"/>
      <c r="W197" s="20"/>
      <c r="X197" s="25"/>
      <c r="Y197" s="25"/>
      <c r="Z197" s="22"/>
      <c r="AA197" s="22"/>
      <c r="AB197" s="21"/>
      <c r="AC197" s="22"/>
    </row>
    <row r="198" spans="2:29" ht="12.75" customHeight="1" x14ac:dyDescent="0.25">
      <c r="B198" s="42"/>
      <c r="E198" s="23"/>
      <c r="F198" s="23"/>
      <c r="G198" s="24"/>
      <c r="H198" s="22" t="str">
        <f t="shared" si="33"/>
        <v/>
      </c>
      <c r="I198" s="22"/>
      <c r="J198" s="22"/>
      <c r="K198" s="20"/>
      <c r="L198" s="20"/>
      <c r="M198" s="22"/>
      <c r="N198" s="20"/>
      <c r="O198" s="20"/>
      <c r="P198" s="20"/>
      <c r="Q198" s="20"/>
      <c r="R198" s="20"/>
      <c r="S198" s="20"/>
      <c r="T198" s="20"/>
      <c r="U198" s="20"/>
      <c r="V198" s="22"/>
      <c r="W198" s="20"/>
      <c r="X198" s="25"/>
      <c r="Y198" s="25"/>
      <c r="Z198" s="22"/>
      <c r="AA198" s="22"/>
      <c r="AB198" s="21"/>
      <c r="AC198" s="22"/>
    </row>
    <row r="199" spans="2:29" ht="12.75" customHeight="1" x14ac:dyDescent="0.25">
      <c r="B199" s="42"/>
      <c r="E199" s="23"/>
      <c r="F199" s="23"/>
      <c r="G199" s="24"/>
      <c r="H199" s="22" t="str">
        <f t="shared" si="33"/>
        <v/>
      </c>
      <c r="I199" s="22"/>
      <c r="J199" s="22"/>
      <c r="K199" s="20"/>
      <c r="L199" s="20"/>
      <c r="M199" s="22"/>
      <c r="N199" s="20"/>
      <c r="O199" s="20"/>
      <c r="P199" s="20"/>
      <c r="Q199" s="20"/>
      <c r="R199" s="20"/>
      <c r="S199" s="20"/>
      <c r="T199" s="20"/>
      <c r="U199" s="20"/>
      <c r="V199" s="22"/>
      <c r="W199" s="20"/>
      <c r="X199" s="25"/>
      <c r="Y199" s="25"/>
      <c r="Z199" s="22"/>
      <c r="AA199" s="22"/>
      <c r="AB199" s="21"/>
      <c r="AC199" s="22"/>
    </row>
    <row r="200" spans="2:29" ht="12.75" customHeight="1" x14ac:dyDescent="0.25">
      <c r="B200" s="42"/>
      <c r="E200" s="23"/>
      <c r="F200" s="23"/>
      <c r="G200" s="24"/>
      <c r="H200" s="22" t="str">
        <f t="shared" si="33"/>
        <v/>
      </c>
      <c r="I200" s="22"/>
      <c r="J200" s="22"/>
      <c r="K200" s="20"/>
      <c r="L200" s="20"/>
      <c r="M200" s="22"/>
      <c r="N200" s="20"/>
      <c r="O200" s="20"/>
      <c r="P200" s="20"/>
      <c r="Q200" s="20"/>
      <c r="R200" s="20"/>
      <c r="S200" s="20"/>
      <c r="T200" s="20"/>
      <c r="U200" s="20"/>
      <c r="V200" s="22"/>
      <c r="W200" s="20"/>
      <c r="X200" s="25"/>
      <c r="Y200" s="25"/>
      <c r="Z200" s="22"/>
      <c r="AA200" s="22"/>
      <c r="AB200" s="21"/>
      <c r="AC200" s="22"/>
    </row>
    <row r="201" spans="2:29" ht="12.75" customHeight="1" x14ac:dyDescent="0.25">
      <c r="B201" s="42"/>
      <c r="E201" s="23"/>
      <c r="F201" s="23"/>
      <c r="G201" s="24"/>
      <c r="H201" s="22" t="str">
        <f t="shared" si="33"/>
        <v/>
      </c>
      <c r="I201" s="22"/>
      <c r="J201" s="22"/>
      <c r="K201" s="20"/>
      <c r="L201" s="20"/>
      <c r="M201" s="22"/>
      <c r="N201" s="20"/>
      <c r="O201" s="20"/>
      <c r="P201" s="20"/>
      <c r="Q201" s="20"/>
      <c r="R201" s="20"/>
      <c r="S201" s="20"/>
      <c r="T201" s="20"/>
      <c r="U201" s="20"/>
      <c r="V201" s="22"/>
      <c r="W201" s="20"/>
      <c r="X201" s="25"/>
      <c r="Y201" s="25"/>
      <c r="Z201" s="22"/>
      <c r="AA201" s="22"/>
      <c r="AB201" s="21"/>
      <c r="AC201" s="22"/>
    </row>
    <row r="202" spans="2:29" ht="12.75" customHeight="1" x14ac:dyDescent="0.25">
      <c r="B202" s="42"/>
      <c r="E202" s="23"/>
      <c r="F202" s="23"/>
      <c r="G202" s="24"/>
      <c r="H202" s="22" t="str">
        <f t="shared" si="33"/>
        <v/>
      </c>
      <c r="I202" s="22"/>
      <c r="J202" s="22"/>
      <c r="K202" s="20"/>
      <c r="L202" s="20"/>
      <c r="M202" s="22"/>
      <c r="N202" s="20"/>
      <c r="O202" s="20"/>
      <c r="P202" s="20"/>
      <c r="Q202" s="20"/>
      <c r="R202" s="20"/>
      <c r="S202" s="20"/>
      <c r="T202" s="20"/>
      <c r="U202" s="20"/>
      <c r="V202" s="22"/>
      <c r="W202" s="20"/>
      <c r="X202" s="25"/>
      <c r="Y202" s="25"/>
      <c r="Z202" s="22"/>
      <c r="AA202" s="22"/>
      <c r="AB202" s="21"/>
      <c r="AC202" s="22"/>
    </row>
    <row r="203" spans="2:29" ht="12.75" customHeight="1" x14ac:dyDescent="0.25">
      <c r="B203" s="42"/>
      <c r="E203" s="23"/>
      <c r="F203" s="23"/>
      <c r="G203" s="24"/>
      <c r="H203" s="22" t="str">
        <f t="shared" si="33"/>
        <v/>
      </c>
      <c r="I203" s="22"/>
      <c r="J203" s="22"/>
      <c r="K203" s="20"/>
      <c r="L203" s="20"/>
      <c r="M203" s="22"/>
      <c r="N203" s="20"/>
      <c r="O203" s="20"/>
      <c r="P203" s="20"/>
      <c r="Q203" s="20"/>
      <c r="R203" s="20"/>
      <c r="S203" s="20"/>
      <c r="T203" s="20"/>
      <c r="U203" s="20"/>
      <c r="V203" s="22"/>
      <c r="W203" s="20"/>
      <c r="X203" s="25"/>
      <c r="Y203" s="25"/>
      <c r="Z203" s="22"/>
      <c r="AA203" s="22"/>
      <c r="AB203" s="21"/>
      <c r="AC203" s="22"/>
    </row>
    <row r="204" spans="2:29" ht="12.75" customHeight="1" x14ac:dyDescent="0.25">
      <c r="B204" s="42"/>
      <c r="E204" s="23"/>
      <c r="F204" s="23"/>
      <c r="G204" s="24"/>
      <c r="H204" s="22" t="str">
        <f t="shared" si="33"/>
        <v/>
      </c>
      <c r="I204" s="22"/>
      <c r="J204" s="22"/>
      <c r="K204" s="20"/>
      <c r="L204" s="20"/>
      <c r="M204" s="22"/>
      <c r="N204" s="20"/>
      <c r="O204" s="20"/>
      <c r="P204" s="20"/>
      <c r="Q204" s="20"/>
      <c r="R204" s="20"/>
      <c r="S204" s="20"/>
      <c r="T204" s="20"/>
      <c r="U204" s="20"/>
      <c r="V204" s="22"/>
      <c r="W204" s="20"/>
      <c r="X204" s="25"/>
      <c r="Y204" s="25"/>
      <c r="Z204" s="22"/>
      <c r="AA204" s="22"/>
      <c r="AB204" s="21"/>
      <c r="AC204" s="22"/>
    </row>
    <row r="205" spans="2:29" ht="12.75" customHeight="1" x14ac:dyDescent="0.25">
      <c r="B205" s="42"/>
      <c r="E205" s="23"/>
      <c r="F205" s="23"/>
      <c r="G205" s="24"/>
      <c r="H205" s="22" t="str">
        <f t="shared" si="33"/>
        <v/>
      </c>
      <c r="I205" s="22"/>
      <c r="J205" s="22"/>
      <c r="K205" s="20"/>
      <c r="L205" s="20"/>
      <c r="M205" s="22"/>
      <c r="N205" s="20"/>
      <c r="O205" s="20"/>
      <c r="P205" s="20"/>
      <c r="Q205" s="20"/>
      <c r="R205" s="20"/>
      <c r="S205" s="20"/>
      <c r="T205" s="20"/>
      <c r="U205" s="20"/>
      <c r="V205" s="22"/>
      <c r="W205" s="20"/>
      <c r="X205" s="25"/>
      <c r="Y205" s="25"/>
      <c r="Z205" s="22"/>
      <c r="AA205" s="22"/>
      <c r="AB205" s="21"/>
      <c r="AC205" s="22"/>
    </row>
    <row r="206" spans="2:29" ht="12.75" customHeight="1" x14ac:dyDescent="0.25">
      <c r="B206" s="42"/>
      <c r="E206" s="23"/>
      <c r="F206" s="23"/>
      <c r="G206" s="24"/>
      <c r="H206" s="22" t="str">
        <f t="shared" si="33"/>
        <v/>
      </c>
      <c r="I206" s="22"/>
      <c r="J206" s="22"/>
      <c r="K206" s="20"/>
      <c r="L206" s="20"/>
      <c r="M206" s="22"/>
      <c r="N206" s="20"/>
      <c r="O206" s="20"/>
      <c r="P206" s="20"/>
      <c r="Q206" s="20"/>
      <c r="R206" s="20"/>
      <c r="S206" s="20"/>
      <c r="T206" s="20"/>
      <c r="U206" s="20"/>
      <c r="V206" s="22"/>
      <c r="W206" s="20"/>
      <c r="X206" s="25"/>
      <c r="Y206" s="25"/>
      <c r="Z206" s="22"/>
      <c r="AA206" s="22"/>
      <c r="AB206" s="21"/>
      <c r="AC206" s="22"/>
    </row>
    <row r="207" spans="2:29" ht="12.75" customHeight="1" x14ac:dyDescent="0.25">
      <c r="B207" s="42"/>
      <c r="E207" s="23"/>
      <c r="F207" s="23"/>
      <c r="G207" s="24"/>
      <c r="H207" s="22" t="str">
        <f t="shared" si="33"/>
        <v/>
      </c>
      <c r="I207" s="22"/>
      <c r="J207" s="22"/>
      <c r="K207" s="20"/>
      <c r="L207" s="20"/>
      <c r="M207" s="22"/>
      <c r="N207" s="20"/>
      <c r="O207" s="20"/>
      <c r="P207" s="20"/>
      <c r="Q207" s="20"/>
      <c r="R207" s="20"/>
      <c r="S207" s="20"/>
      <c r="T207" s="20"/>
      <c r="U207" s="20"/>
      <c r="V207" s="22"/>
      <c r="W207" s="20"/>
      <c r="X207" s="25"/>
      <c r="Y207" s="25"/>
      <c r="Z207" s="22"/>
      <c r="AA207" s="22"/>
      <c r="AB207" s="21"/>
      <c r="AC207" s="22"/>
    </row>
    <row r="208" spans="2:29" ht="12.75" customHeight="1" x14ac:dyDescent="0.25">
      <c r="B208" s="42"/>
      <c r="E208" s="23"/>
      <c r="F208" s="23"/>
      <c r="G208" s="24"/>
      <c r="H208" s="22" t="str">
        <f t="shared" si="33"/>
        <v/>
      </c>
      <c r="I208" s="22"/>
      <c r="J208" s="22"/>
      <c r="K208" s="20"/>
      <c r="L208" s="20"/>
      <c r="M208" s="22"/>
      <c r="N208" s="20"/>
      <c r="O208" s="20"/>
      <c r="P208" s="20"/>
      <c r="Q208" s="20"/>
      <c r="R208" s="20"/>
      <c r="S208" s="20"/>
      <c r="T208" s="20"/>
      <c r="U208" s="20"/>
      <c r="V208" s="22"/>
      <c r="W208" s="20"/>
      <c r="X208" s="25"/>
      <c r="Y208" s="25"/>
      <c r="Z208" s="22"/>
      <c r="AA208" s="22"/>
      <c r="AB208" s="21"/>
      <c r="AC208" s="22"/>
    </row>
    <row r="209" spans="2:29" ht="12.75" customHeight="1" x14ac:dyDescent="0.25">
      <c r="B209" s="42"/>
      <c r="E209" s="23"/>
      <c r="F209" s="23"/>
      <c r="G209" s="24"/>
      <c r="H209" s="22" t="str">
        <f t="shared" si="33"/>
        <v/>
      </c>
      <c r="I209" s="22"/>
      <c r="J209" s="22"/>
      <c r="K209" s="20"/>
      <c r="L209" s="20"/>
      <c r="M209" s="22"/>
      <c r="N209" s="20"/>
      <c r="O209" s="20"/>
      <c r="P209" s="20"/>
      <c r="Q209" s="20"/>
      <c r="R209" s="20"/>
      <c r="S209" s="20"/>
      <c r="T209" s="20"/>
      <c r="U209" s="20"/>
      <c r="V209" s="22"/>
      <c r="W209" s="20"/>
      <c r="X209" s="25"/>
      <c r="Y209" s="25"/>
      <c r="Z209" s="22"/>
      <c r="AA209" s="22"/>
      <c r="AB209" s="21"/>
      <c r="AC209" s="22"/>
    </row>
    <row r="210" spans="2:29" ht="12.75" customHeight="1" x14ac:dyDescent="0.25">
      <c r="B210" s="42"/>
      <c r="E210" s="23"/>
      <c r="F210" s="23"/>
      <c r="G210" s="24"/>
      <c r="H210" s="22" t="str">
        <f t="shared" si="33"/>
        <v/>
      </c>
      <c r="I210" s="22"/>
      <c r="J210" s="22"/>
      <c r="K210" s="20"/>
      <c r="L210" s="20"/>
      <c r="M210" s="22"/>
      <c r="N210" s="20"/>
      <c r="O210" s="20"/>
      <c r="P210" s="20"/>
      <c r="Q210" s="20"/>
      <c r="R210" s="20"/>
      <c r="S210" s="20"/>
      <c r="T210" s="20"/>
      <c r="U210" s="20"/>
      <c r="V210" s="22"/>
      <c r="W210" s="20"/>
      <c r="X210" s="25"/>
      <c r="Y210" s="25"/>
      <c r="Z210" s="22"/>
      <c r="AA210" s="22"/>
      <c r="AB210" s="21"/>
      <c r="AC210" s="22"/>
    </row>
    <row r="211" spans="2:29" ht="12.75" customHeight="1" x14ac:dyDescent="0.25">
      <c r="B211" s="42"/>
      <c r="E211" s="23"/>
      <c r="F211" s="23"/>
      <c r="G211" s="24"/>
      <c r="H211" s="22" t="str">
        <f t="shared" si="33"/>
        <v/>
      </c>
      <c r="I211" s="22"/>
      <c r="J211" s="22"/>
      <c r="K211" s="20"/>
      <c r="L211" s="20"/>
      <c r="M211" s="22"/>
      <c r="N211" s="20"/>
      <c r="O211" s="20"/>
      <c r="P211" s="20"/>
      <c r="Q211" s="20"/>
      <c r="R211" s="20"/>
      <c r="S211" s="20"/>
      <c r="T211" s="20"/>
      <c r="U211" s="20"/>
      <c r="V211" s="22"/>
      <c r="W211" s="20"/>
      <c r="X211" s="25"/>
      <c r="Y211" s="25"/>
      <c r="Z211" s="22"/>
      <c r="AA211" s="22"/>
      <c r="AB211" s="21"/>
      <c r="AC211" s="22"/>
    </row>
    <row r="212" spans="2:29" ht="12.75" customHeight="1" x14ac:dyDescent="0.25">
      <c r="B212" s="42"/>
      <c r="E212" s="23"/>
      <c r="F212" s="23"/>
      <c r="G212" s="24"/>
      <c r="H212" s="22" t="str">
        <f t="shared" si="33"/>
        <v/>
      </c>
      <c r="I212" s="22"/>
      <c r="J212" s="22"/>
      <c r="K212" s="20"/>
      <c r="L212" s="20"/>
      <c r="M212" s="22"/>
      <c r="N212" s="20"/>
      <c r="O212" s="20"/>
      <c r="P212" s="20"/>
      <c r="Q212" s="20"/>
      <c r="R212" s="20"/>
      <c r="S212" s="20"/>
      <c r="T212" s="20"/>
      <c r="U212" s="20"/>
      <c r="V212" s="22"/>
      <c r="W212" s="20"/>
      <c r="X212" s="25"/>
      <c r="Y212" s="25"/>
      <c r="Z212" s="22"/>
      <c r="AA212" s="22"/>
      <c r="AB212" s="21"/>
      <c r="AC212" s="22"/>
    </row>
    <row r="213" spans="2:29" ht="12.75" customHeight="1" x14ac:dyDescent="0.25">
      <c r="B213" s="42"/>
      <c r="E213" s="23"/>
      <c r="F213" s="23"/>
      <c r="G213" s="24"/>
      <c r="H213" s="22" t="str">
        <f t="shared" si="33"/>
        <v/>
      </c>
      <c r="I213" s="22"/>
      <c r="J213" s="22"/>
      <c r="K213" s="20"/>
      <c r="L213" s="20"/>
      <c r="M213" s="22"/>
      <c r="N213" s="20"/>
      <c r="O213" s="20"/>
      <c r="P213" s="20"/>
      <c r="Q213" s="20"/>
      <c r="R213" s="20"/>
      <c r="S213" s="20"/>
      <c r="T213" s="20"/>
      <c r="U213" s="20"/>
      <c r="V213" s="22"/>
      <c r="W213" s="20"/>
      <c r="X213" s="25"/>
      <c r="Y213" s="25"/>
      <c r="Z213" s="22"/>
      <c r="AA213" s="22"/>
      <c r="AB213" s="21"/>
      <c r="AC213" s="22"/>
    </row>
    <row r="214" spans="2:29" ht="12.75" customHeight="1" x14ac:dyDescent="0.25">
      <c r="B214" s="42"/>
      <c r="E214" s="23"/>
      <c r="F214" s="23"/>
      <c r="G214" s="24"/>
      <c r="H214" s="22" t="str">
        <f t="shared" si="33"/>
        <v/>
      </c>
      <c r="I214" s="22"/>
      <c r="J214" s="22"/>
      <c r="K214" s="20"/>
      <c r="L214" s="20"/>
      <c r="M214" s="22"/>
      <c r="N214" s="20"/>
      <c r="O214" s="20"/>
      <c r="P214" s="20"/>
      <c r="Q214" s="20"/>
      <c r="R214" s="20"/>
      <c r="S214" s="20"/>
      <c r="T214" s="20"/>
      <c r="U214" s="20"/>
      <c r="V214" s="22"/>
      <c r="W214" s="20"/>
      <c r="X214" s="25"/>
      <c r="Y214" s="25"/>
      <c r="Z214" s="22"/>
      <c r="AA214" s="22"/>
      <c r="AB214" s="21"/>
      <c r="AC214" s="22"/>
    </row>
    <row r="215" spans="2:29" ht="12.75" customHeight="1" x14ac:dyDescent="0.25">
      <c r="B215" s="42"/>
      <c r="E215" s="23"/>
      <c r="F215" s="23"/>
      <c r="G215" s="24"/>
      <c r="H215" s="22" t="str">
        <f t="shared" si="33"/>
        <v/>
      </c>
      <c r="I215" s="22"/>
      <c r="J215" s="22"/>
      <c r="K215" s="20"/>
      <c r="L215" s="20"/>
      <c r="M215" s="22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5"/>
      <c r="Y215" s="25"/>
      <c r="Z215" s="22"/>
      <c r="AA215" s="22"/>
      <c r="AB215" s="21"/>
      <c r="AC215" s="22"/>
    </row>
    <row r="216" spans="2:29" ht="12.75" customHeight="1" x14ac:dyDescent="0.25">
      <c r="B216" s="42"/>
      <c r="E216" s="23"/>
      <c r="F216" s="23"/>
      <c r="G216" s="24"/>
      <c r="H216" s="22" t="str">
        <f t="shared" si="33"/>
        <v/>
      </c>
      <c r="I216" s="22"/>
      <c r="J216" s="22"/>
      <c r="K216" s="20"/>
      <c r="L216" s="20"/>
      <c r="M216" s="22"/>
      <c r="N216" s="20"/>
      <c r="O216" s="20"/>
      <c r="P216" s="20"/>
      <c r="Q216" s="20"/>
      <c r="R216" s="20"/>
      <c r="S216" s="20"/>
      <c r="T216" s="20"/>
      <c r="U216" s="20"/>
      <c r="V216" s="22"/>
      <c r="W216" s="20"/>
      <c r="X216" s="25"/>
      <c r="Y216" s="25"/>
      <c r="Z216" s="22"/>
      <c r="AA216" s="22"/>
      <c r="AB216" s="21"/>
      <c r="AC216" s="22"/>
    </row>
    <row r="217" spans="2:29" ht="12.75" customHeight="1" x14ac:dyDescent="0.25">
      <c r="B217" s="42"/>
      <c r="E217" s="23"/>
      <c r="F217" s="23"/>
      <c r="G217" s="24"/>
      <c r="H217" s="22" t="str">
        <f t="shared" si="33"/>
        <v/>
      </c>
      <c r="I217" s="22"/>
      <c r="J217" s="22"/>
      <c r="K217" s="20"/>
      <c r="L217" s="20"/>
      <c r="M217" s="22"/>
      <c r="N217" s="20"/>
      <c r="O217" s="20"/>
      <c r="P217" s="20"/>
      <c r="Q217" s="20"/>
      <c r="R217" s="20"/>
      <c r="S217" s="20"/>
      <c r="T217" s="20"/>
      <c r="U217" s="20"/>
      <c r="V217" s="22"/>
      <c r="W217" s="20"/>
      <c r="X217" s="25"/>
      <c r="Y217" s="25"/>
      <c r="Z217" s="22"/>
      <c r="AA217" s="22"/>
      <c r="AB217" s="21"/>
      <c r="AC217" s="22"/>
    </row>
    <row r="218" spans="2:29" ht="12.75" customHeight="1" x14ac:dyDescent="0.25">
      <c r="B218" s="42"/>
      <c r="E218" s="23"/>
      <c r="F218" s="23"/>
      <c r="G218" s="24"/>
      <c r="H218" s="22" t="str">
        <f t="shared" si="33"/>
        <v/>
      </c>
      <c r="I218" s="22"/>
      <c r="J218" s="22"/>
      <c r="K218" s="20"/>
      <c r="L218" s="20"/>
      <c r="M218" s="22"/>
      <c r="N218" s="20"/>
      <c r="O218" s="20"/>
      <c r="P218" s="20"/>
      <c r="Q218" s="20"/>
      <c r="R218" s="20"/>
      <c r="S218" s="20"/>
      <c r="T218" s="20"/>
      <c r="U218" s="20"/>
      <c r="V218" s="22"/>
      <c r="W218" s="20"/>
      <c r="X218" s="25"/>
      <c r="Y218" s="25"/>
      <c r="Z218" s="22"/>
      <c r="AA218" s="22"/>
      <c r="AB218" s="21"/>
      <c r="AC218" s="22"/>
    </row>
    <row r="219" spans="2:29" ht="12.75" customHeight="1" x14ac:dyDescent="0.25">
      <c r="B219" s="42"/>
      <c r="E219" s="23"/>
      <c r="F219" s="23"/>
      <c r="G219" s="24"/>
      <c r="H219" s="22" t="str">
        <f t="shared" si="33"/>
        <v/>
      </c>
      <c r="I219" s="22"/>
      <c r="J219" s="22"/>
      <c r="K219" s="20"/>
      <c r="L219" s="20"/>
      <c r="M219" s="22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5"/>
      <c r="Y219" s="25"/>
      <c r="Z219" s="22"/>
      <c r="AA219" s="22"/>
      <c r="AB219" s="21"/>
      <c r="AC219" s="22"/>
    </row>
    <row r="220" spans="2:29" ht="12.75" customHeight="1" x14ac:dyDescent="0.25">
      <c r="B220" s="42"/>
      <c r="E220" s="23"/>
      <c r="F220" s="23"/>
      <c r="G220" s="24"/>
      <c r="H220" s="22" t="str">
        <f t="shared" si="33"/>
        <v/>
      </c>
      <c r="I220" s="22"/>
      <c r="J220" s="22"/>
      <c r="K220" s="20"/>
      <c r="L220" s="20"/>
      <c r="M220" s="22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5"/>
      <c r="Y220" s="25"/>
      <c r="Z220" s="22"/>
      <c r="AA220" s="22"/>
      <c r="AB220" s="21"/>
      <c r="AC220" s="22"/>
    </row>
    <row r="221" spans="2:29" ht="12.75" customHeight="1" x14ac:dyDescent="0.25">
      <c r="B221" s="42"/>
      <c r="E221" s="23"/>
      <c r="F221" s="23"/>
      <c r="G221" s="24"/>
      <c r="H221" s="22" t="str">
        <f t="shared" si="33"/>
        <v/>
      </c>
      <c r="I221" s="22"/>
      <c r="J221" s="22"/>
      <c r="K221" s="20"/>
      <c r="L221" s="20"/>
      <c r="M221" s="22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5"/>
      <c r="Y221" s="25"/>
      <c r="Z221" s="22"/>
      <c r="AA221" s="22"/>
      <c r="AB221" s="21"/>
      <c r="AC221" s="22"/>
    </row>
    <row r="222" spans="2:29" ht="12.75" customHeight="1" x14ac:dyDescent="0.25">
      <c r="B222" s="42"/>
      <c r="E222" s="23"/>
      <c r="F222" s="23"/>
      <c r="G222" s="24"/>
      <c r="H222" s="22" t="str">
        <f t="shared" ref="H222:H248" si="34">IF(E222&lt;&gt;"",F222-E222,"")</f>
        <v/>
      </c>
      <c r="I222" s="22"/>
      <c r="J222" s="22"/>
      <c r="K222" s="20"/>
      <c r="L222" s="20"/>
      <c r="M222" s="22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5"/>
      <c r="Y222" s="25"/>
      <c r="Z222" s="22"/>
      <c r="AA222" s="22"/>
      <c r="AB222" s="21"/>
      <c r="AC222" s="22"/>
    </row>
    <row r="223" spans="2:29" ht="12.75" customHeight="1" x14ac:dyDescent="0.25">
      <c r="B223" s="42"/>
      <c r="E223" s="23"/>
      <c r="F223" s="23"/>
      <c r="G223" s="24"/>
      <c r="H223" s="22" t="str">
        <f t="shared" si="34"/>
        <v/>
      </c>
      <c r="I223" s="22"/>
      <c r="J223" s="22"/>
      <c r="K223" s="20"/>
      <c r="L223" s="20"/>
      <c r="M223" s="22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5"/>
      <c r="Y223" s="25"/>
      <c r="Z223" s="22"/>
      <c r="AA223" s="22"/>
      <c r="AB223" s="21"/>
      <c r="AC223" s="22"/>
    </row>
    <row r="224" spans="2:29" ht="12.75" customHeight="1" x14ac:dyDescent="0.25">
      <c r="B224" s="42"/>
      <c r="E224" s="23"/>
      <c r="F224" s="23"/>
      <c r="G224" s="24"/>
      <c r="H224" s="22" t="str">
        <f t="shared" si="34"/>
        <v/>
      </c>
      <c r="I224" s="22"/>
      <c r="J224" s="22"/>
      <c r="K224" s="20"/>
      <c r="L224" s="20"/>
      <c r="M224" s="22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5"/>
      <c r="Y224" s="25"/>
      <c r="Z224" s="22"/>
      <c r="AA224" s="22"/>
      <c r="AB224" s="21"/>
      <c r="AC224" s="22"/>
    </row>
    <row r="225" spans="2:29" ht="12.75" customHeight="1" x14ac:dyDescent="0.25">
      <c r="B225" s="42"/>
      <c r="E225" s="23"/>
      <c r="F225" s="23"/>
      <c r="G225" s="24"/>
      <c r="H225" s="22" t="str">
        <f t="shared" si="34"/>
        <v/>
      </c>
      <c r="I225" s="22"/>
      <c r="J225" s="22"/>
      <c r="K225" s="20"/>
      <c r="L225" s="20"/>
      <c r="M225" s="22"/>
      <c r="N225" s="20"/>
      <c r="O225" s="20"/>
      <c r="P225" s="20"/>
      <c r="Q225" s="20"/>
      <c r="R225" s="20"/>
      <c r="S225" s="20"/>
      <c r="T225" s="20"/>
      <c r="U225" s="20"/>
      <c r="V225" s="20"/>
      <c r="W225" s="22"/>
      <c r="X225" s="25"/>
      <c r="Y225" s="25"/>
      <c r="Z225" s="22"/>
      <c r="AA225" s="22"/>
      <c r="AB225" s="25"/>
      <c r="AC225" s="22"/>
    </row>
    <row r="226" spans="2:29" ht="12.75" customHeight="1" x14ac:dyDescent="0.25">
      <c r="B226" s="42"/>
      <c r="E226" s="23"/>
      <c r="F226" s="23"/>
      <c r="G226" s="24"/>
      <c r="H226" s="22" t="str">
        <f t="shared" si="34"/>
        <v/>
      </c>
      <c r="I226" s="22"/>
      <c r="J226" s="22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2"/>
      <c r="X226" s="20"/>
      <c r="Y226" s="20"/>
      <c r="Z226" s="20"/>
      <c r="AA226" s="22"/>
      <c r="AB226" s="21"/>
      <c r="AC226" s="22"/>
    </row>
    <row r="227" spans="2:29" ht="12.75" customHeight="1" x14ac:dyDescent="0.25">
      <c r="B227" s="42"/>
      <c r="E227" s="23"/>
      <c r="F227" s="23"/>
      <c r="G227" s="24"/>
      <c r="H227" s="22" t="str">
        <f t="shared" si="34"/>
        <v/>
      </c>
      <c r="I227" s="22"/>
      <c r="J227" s="22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2"/>
      <c r="X227" s="20"/>
      <c r="Y227" s="20"/>
      <c r="Z227" s="20"/>
      <c r="AA227" s="22"/>
      <c r="AB227" s="21"/>
      <c r="AC227" s="22"/>
    </row>
    <row r="228" spans="2:29" ht="12.75" customHeight="1" x14ac:dyDescent="0.25">
      <c r="B228" s="42"/>
      <c r="E228" s="23"/>
      <c r="F228" s="23"/>
      <c r="G228" s="24"/>
      <c r="H228" s="22" t="str">
        <f t="shared" si="34"/>
        <v/>
      </c>
      <c r="I228" s="22"/>
      <c r="J228" s="22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2"/>
      <c r="X228" s="20"/>
      <c r="Y228" s="20"/>
      <c r="Z228" s="20"/>
      <c r="AA228" s="22"/>
      <c r="AB228" s="21"/>
      <c r="AC228" s="22"/>
    </row>
    <row r="229" spans="2:29" ht="12.75" customHeight="1" x14ac:dyDescent="0.25">
      <c r="B229" s="42"/>
      <c r="E229" s="23"/>
      <c r="F229" s="23"/>
      <c r="G229" s="24"/>
      <c r="H229" s="22" t="str">
        <f t="shared" si="34"/>
        <v/>
      </c>
      <c r="I229" s="22"/>
      <c r="J229" s="22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2"/>
      <c r="X229" s="20"/>
      <c r="Y229" s="20"/>
      <c r="Z229" s="20"/>
      <c r="AA229" s="22"/>
      <c r="AB229" s="21"/>
      <c r="AC229" s="22"/>
    </row>
    <row r="230" spans="2:29" ht="12.75" customHeight="1" x14ac:dyDescent="0.25">
      <c r="B230" s="42"/>
      <c r="E230" s="23"/>
      <c r="F230" s="23"/>
      <c r="G230" s="24"/>
      <c r="H230" s="22" t="str">
        <f t="shared" si="34"/>
        <v/>
      </c>
      <c r="I230" s="22"/>
      <c r="J230" s="22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2"/>
      <c r="X230" s="20"/>
      <c r="Y230" s="20"/>
      <c r="Z230" s="20"/>
      <c r="AA230" s="22"/>
      <c r="AB230" s="21"/>
      <c r="AC230" s="22"/>
    </row>
    <row r="231" spans="2:29" ht="12.75" customHeight="1" x14ac:dyDescent="0.25">
      <c r="B231" s="42"/>
      <c r="E231" s="23"/>
      <c r="F231" s="23"/>
      <c r="G231" s="24"/>
      <c r="H231" s="22" t="str">
        <f t="shared" si="34"/>
        <v/>
      </c>
      <c r="I231" s="22"/>
      <c r="J231" s="22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2"/>
      <c r="AB231" s="21"/>
      <c r="AC231" s="22"/>
    </row>
    <row r="232" spans="2:29" ht="12.75" customHeight="1" x14ac:dyDescent="0.25">
      <c r="B232" s="42"/>
      <c r="E232" s="23"/>
      <c r="F232" s="23"/>
      <c r="G232" s="24"/>
      <c r="H232" s="22" t="str">
        <f t="shared" si="34"/>
        <v/>
      </c>
      <c r="I232" s="22"/>
      <c r="J232" s="22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2"/>
      <c r="AB232" s="21"/>
      <c r="AC232" s="22"/>
    </row>
    <row r="233" spans="2:29" ht="12.75" customHeight="1" x14ac:dyDescent="0.25">
      <c r="B233" s="42"/>
      <c r="E233" s="23"/>
      <c r="F233" s="23"/>
      <c r="G233" s="26"/>
      <c r="H233" s="22" t="str">
        <f t="shared" si="34"/>
        <v/>
      </c>
      <c r="I233" s="22"/>
      <c r="J233" s="22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2"/>
      <c r="AB233" s="21"/>
      <c r="AC233" s="22"/>
    </row>
    <row r="234" spans="2:29" ht="12.75" customHeight="1" x14ac:dyDescent="0.25">
      <c r="B234" s="42"/>
      <c r="E234" s="23"/>
      <c r="F234" s="23"/>
      <c r="G234" s="26"/>
      <c r="H234" s="22" t="str">
        <f t="shared" si="34"/>
        <v/>
      </c>
      <c r="I234" s="22"/>
      <c r="J234" s="22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2"/>
      <c r="AB234" s="21"/>
      <c r="AC234" s="22"/>
    </row>
    <row r="235" spans="2:29" ht="12.75" customHeight="1" x14ac:dyDescent="0.25">
      <c r="B235" s="42"/>
      <c r="E235" s="23"/>
      <c r="F235" s="23"/>
      <c r="G235" s="26"/>
      <c r="H235" s="22" t="str">
        <f t="shared" si="34"/>
        <v/>
      </c>
      <c r="I235" s="22"/>
      <c r="J235" s="22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2"/>
      <c r="AB235" s="21"/>
      <c r="AC235" s="22"/>
    </row>
    <row r="236" spans="2:29" ht="12.75" customHeight="1" x14ac:dyDescent="0.25">
      <c r="B236" s="42"/>
      <c r="E236" s="23"/>
      <c r="F236" s="23"/>
      <c r="G236" s="24"/>
      <c r="H236" s="22" t="str">
        <f t="shared" si="34"/>
        <v/>
      </c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5"/>
      <c r="Y236" s="20"/>
      <c r="Z236" s="20"/>
      <c r="AA236" s="22"/>
      <c r="AB236" s="21"/>
      <c r="AC236" s="22"/>
    </row>
    <row r="237" spans="2:29" ht="12.75" customHeight="1" x14ac:dyDescent="0.25">
      <c r="B237" s="42"/>
      <c r="E237" s="23"/>
      <c r="F237" s="23"/>
      <c r="G237" s="24"/>
      <c r="H237" s="22" t="str">
        <f t="shared" si="34"/>
        <v/>
      </c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5"/>
      <c r="Y237" s="20"/>
      <c r="Z237" s="20"/>
      <c r="AA237" s="22"/>
      <c r="AB237" s="21"/>
      <c r="AC237" s="22"/>
    </row>
    <row r="238" spans="2:29" ht="12.75" customHeight="1" x14ac:dyDescent="0.25">
      <c r="B238" s="42"/>
      <c r="E238" s="23"/>
      <c r="F238" s="23"/>
      <c r="G238" s="24"/>
      <c r="H238" s="22" t="str">
        <f t="shared" si="34"/>
        <v/>
      </c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5"/>
      <c r="Y238" s="20"/>
      <c r="Z238" s="20"/>
      <c r="AA238" s="22"/>
      <c r="AB238" s="21"/>
      <c r="AC238" s="22"/>
    </row>
    <row r="239" spans="2:29" ht="12.75" customHeight="1" x14ac:dyDescent="0.25">
      <c r="B239" s="42"/>
      <c r="E239" s="23"/>
      <c r="F239" s="23"/>
      <c r="G239" s="24"/>
      <c r="H239" s="22" t="str">
        <f t="shared" si="34"/>
        <v/>
      </c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5"/>
      <c r="Y239" s="20"/>
      <c r="Z239" s="20"/>
      <c r="AA239" s="22"/>
      <c r="AB239" s="21"/>
      <c r="AC239" s="22"/>
    </row>
    <row r="240" spans="2:29" ht="12.75" customHeight="1" x14ac:dyDescent="0.25">
      <c r="B240" s="42"/>
      <c r="E240" s="23"/>
      <c r="F240" s="23"/>
      <c r="G240" s="24"/>
      <c r="H240" s="22" t="str">
        <f t="shared" si="34"/>
        <v/>
      </c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5"/>
      <c r="Y240" s="20"/>
      <c r="Z240" s="20"/>
      <c r="AA240" s="22"/>
      <c r="AB240" s="21"/>
      <c r="AC240" s="22"/>
    </row>
    <row r="241" spans="2:29" ht="12.75" customHeight="1" x14ac:dyDescent="0.25">
      <c r="B241" s="42"/>
      <c r="E241" s="23"/>
      <c r="F241" s="23"/>
      <c r="G241" s="24"/>
      <c r="H241" s="22" t="str">
        <f t="shared" si="34"/>
        <v/>
      </c>
      <c r="I241" s="22"/>
      <c r="J241" s="22"/>
      <c r="K241" s="20"/>
      <c r="L241" s="20"/>
      <c r="M241" s="22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5"/>
      <c r="Y241" s="25"/>
      <c r="Z241" s="22"/>
      <c r="AA241" s="22"/>
      <c r="AB241" s="21"/>
      <c r="AC241" s="22"/>
    </row>
    <row r="242" spans="2:29" ht="12.75" customHeight="1" x14ac:dyDescent="0.25">
      <c r="B242" s="42"/>
      <c r="E242" s="23"/>
      <c r="F242" s="23"/>
      <c r="G242" s="24"/>
      <c r="H242" s="22" t="str">
        <f t="shared" si="34"/>
        <v/>
      </c>
      <c r="I242" s="22"/>
      <c r="J242" s="22"/>
      <c r="K242" s="20"/>
      <c r="L242" s="20"/>
      <c r="M242" s="22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5"/>
      <c r="Y242" s="25"/>
      <c r="Z242" s="22"/>
      <c r="AA242" s="22"/>
      <c r="AB242" s="21"/>
      <c r="AC242" s="22"/>
    </row>
    <row r="243" spans="2:29" ht="12.75" customHeight="1" x14ac:dyDescent="0.25">
      <c r="B243" s="42"/>
      <c r="E243" s="23"/>
      <c r="F243" s="23"/>
      <c r="G243" s="24"/>
      <c r="H243" s="22" t="str">
        <f t="shared" si="34"/>
        <v/>
      </c>
      <c r="I243" s="22"/>
      <c r="J243" s="22"/>
      <c r="K243" s="20"/>
      <c r="L243" s="20"/>
      <c r="M243" s="22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5"/>
      <c r="Y243" s="25"/>
      <c r="Z243" s="22"/>
      <c r="AA243" s="22"/>
      <c r="AB243" s="21"/>
      <c r="AC243" s="22"/>
    </row>
    <row r="244" spans="2:29" ht="12.75" customHeight="1" x14ac:dyDescent="0.25">
      <c r="B244" s="42"/>
      <c r="E244" s="23"/>
      <c r="F244" s="23"/>
      <c r="G244" s="24"/>
      <c r="H244" s="22" t="str">
        <f t="shared" si="34"/>
        <v/>
      </c>
      <c r="I244" s="22"/>
      <c r="J244" s="22"/>
      <c r="K244" s="20"/>
      <c r="L244" s="20"/>
      <c r="M244" s="22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5"/>
      <c r="Y244" s="25"/>
      <c r="Z244" s="22"/>
      <c r="AA244" s="22"/>
      <c r="AB244" s="21"/>
      <c r="AC244" s="22"/>
    </row>
    <row r="245" spans="2:29" ht="12.75" customHeight="1" x14ac:dyDescent="0.25">
      <c r="B245" s="42"/>
      <c r="E245" s="27"/>
      <c r="F245" s="27"/>
      <c r="G245" s="26"/>
      <c r="H245" s="28" t="str">
        <f t="shared" si="34"/>
        <v/>
      </c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9"/>
      <c r="Y245" s="29"/>
      <c r="Z245" s="28"/>
      <c r="AA245" s="28"/>
      <c r="AB245" s="29"/>
      <c r="AC245" s="28"/>
    </row>
    <row r="246" spans="2:29" ht="12.75" customHeight="1" x14ac:dyDescent="0.25">
      <c r="B246" s="42"/>
      <c r="E246" s="27"/>
      <c r="F246" s="27"/>
      <c r="G246" s="26"/>
      <c r="H246" s="28" t="str">
        <f t="shared" si="34"/>
        <v/>
      </c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9"/>
      <c r="Y246" s="29"/>
      <c r="Z246" s="28"/>
      <c r="AA246" s="28"/>
      <c r="AB246" s="29"/>
      <c r="AC246" s="28"/>
    </row>
    <row r="247" spans="2:29" ht="12.75" customHeight="1" x14ac:dyDescent="0.25">
      <c r="B247" s="42"/>
      <c r="E247" s="27"/>
      <c r="F247" s="27"/>
      <c r="G247" s="26"/>
      <c r="H247" s="28" t="str">
        <f t="shared" si="34"/>
        <v/>
      </c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9"/>
      <c r="Y247" s="29"/>
      <c r="Z247" s="28"/>
      <c r="AA247" s="28"/>
      <c r="AB247" s="29"/>
      <c r="AC247" s="28"/>
    </row>
    <row r="248" spans="2:29" ht="12.75" customHeight="1" thickBot="1" x14ac:dyDescent="0.3">
      <c r="B248" s="43"/>
      <c r="E248" s="30"/>
      <c r="F248" s="31"/>
      <c r="G248" s="26"/>
      <c r="H248" s="26" t="str">
        <f t="shared" si="34"/>
        <v/>
      </c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9"/>
      <c r="Y248" s="29"/>
      <c r="Z248" s="28"/>
      <c r="AA248" s="28"/>
      <c r="AB248" s="29"/>
      <c r="AC248" s="28"/>
    </row>
    <row r="249" spans="2:29" ht="12.75" customHeight="1" thickBot="1" x14ac:dyDescent="0.3">
      <c r="E249" s="508" t="s">
        <v>4</v>
      </c>
      <c r="F249" s="509"/>
      <c r="G249" s="509"/>
      <c r="H249" s="509"/>
      <c r="I249" s="509"/>
      <c r="J249" s="510"/>
      <c r="K249" s="32" t="str">
        <f>IF(K172="","",IF(K189="","",IF(SUM(K190:K248)&lt;&gt;0,SUM(K190:K248),"")))</f>
        <v/>
      </c>
      <c r="L249" s="32" t="str">
        <f t="shared" ref="L249" si="35">IF(L172="","",IF(L189="","",IF(SUM(L190:L248)&lt;&gt;0,SUM(L190:L248),"")))</f>
        <v/>
      </c>
      <c r="M249" s="32" t="str">
        <f t="shared" ref="M249" si="36">IF(M172="","",IF(M189="","",IF(SUM(M190:M248)&lt;&gt;0,SUM(M190:M248),"")))</f>
        <v/>
      </c>
      <c r="N249" s="32" t="str">
        <f t="shared" ref="N249" si="37">IF(N172="","",IF(N189="","",IF(SUM(N190:N248)&lt;&gt;0,SUM(N190:N248),"")))</f>
        <v/>
      </c>
      <c r="O249" s="32" t="str">
        <f t="shared" ref="O249" si="38">IF(O172="","",IF(O189="","",IF(SUM(O190:O248)&lt;&gt;0,SUM(O190:O248),"")))</f>
        <v/>
      </c>
      <c r="P249" s="32" t="str">
        <f t="shared" ref="P249" si="39">IF(P172="","",IF(P189="","",IF(SUM(P190:P248)&lt;&gt;0,SUM(P190:P248),"")))</f>
        <v/>
      </c>
      <c r="Q249" s="32" t="str">
        <f t="shared" ref="Q249" si="40">IF(Q172="","",IF(Q189="","",IF(SUM(Q190:Q248)&lt;&gt;0,SUM(Q190:Q248),"")))</f>
        <v/>
      </c>
      <c r="R249" s="32" t="str">
        <f t="shared" ref="R249" si="41">IF(R172="","",IF(R189="","",IF(SUM(R190:R248)&lt;&gt;0,SUM(R190:R248),"")))</f>
        <v/>
      </c>
      <c r="S249" s="32" t="str">
        <f t="shared" ref="S249" si="42">IF(S172="","",IF(S189="","",IF(SUM(S190:S248)&lt;&gt;0,SUM(S190:S248),"")))</f>
        <v/>
      </c>
      <c r="T249" s="32"/>
      <c r="U249" s="32" t="str">
        <f t="shared" ref="U249" si="43">IF(U172="","",IF(U189="","",IF(SUM(U190:U248)&lt;&gt;0,SUM(U190:U248),"")))</f>
        <v/>
      </c>
      <c r="V249" s="32" t="str">
        <f t="shared" ref="V249" si="44">IF(V172="","",IF(V189="","",IF(SUM(V190:V248)&lt;&gt;0,SUM(V190:V248),"")))</f>
        <v/>
      </c>
      <c r="W249" s="32" t="str">
        <f t="shared" ref="W249" si="45">IF(W172="","",IF(W189="","",IF(SUM(W190:W248)&lt;&gt;0,SUM(W190:W248),"")))</f>
        <v/>
      </c>
      <c r="X249" s="32" t="str">
        <f t="shared" ref="X249" si="46">IF(X172="","",IF(X189="","",IF(SUM(X190:X248)&lt;&gt;0,SUM(X190:X248),"")))</f>
        <v/>
      </c>
      <c r="Y249" s="32" t="str">
        <f t="shared" ref="Y249" si="47">IF(Y172="","",IF(Y189="","",IF(SUM(Y190:Y248)&lt;&gt;0,SUM(Y190:Y248),"")))</f>
        <v/>
      </c>
      <c r="Z249" s="32" t="str">
        <f t="shared" ref="Z249" si="48">IF(Z172="","",IF(Z189="","",IF(SUM(Z190:Z248)&lt;&gt;0,SUM(Z190:Z248),"")))</f>
        <v/>
      </c>
      <c r="AA249" s="32" t="str">
        <f t="shared" ref="AA249" si="49">IF(AA172="","",IF(AA189="","",IF(SUM(AA190:AA248)&lt;&gt;0,SUM(AA190:AA248),"")))</f>
        <v/>
      </c>
      <c r="AB249" s="32" t="str">
        <f t="shared" ref="AB249" si="50">IF(AB172="","",IF(AB189="","",IF(SUM(AB190:AB248)&lt;&gt;0,SUM(AB190:AB248),"")))</f>
        <v/>
      </c>
      <c r="AC249" s="32" t="str">
        <f t="shared" ref="AC249" si="51">IF(AC172="","",IF(AC189="","",IF(SUM(AC190:AC248)&lt;&gt;0,SUM(AC190:AC248),"")))</f>
        <v/>
      </c>
    </row>
    <row r="250" spans="2:29" ht="12.75" customHeight="1" x14ac:dyDescent="0.25">
      <c r="B250" s="6" t="s">
        <v>17</v>
      </c>
      <c r="E250" s="511" t="s">
        <v>5</v>
      </c>
      <c r="F250" s="512"/>
      <c r="G250" s="512"/>
      <c r="H250" s="512"/>
      <c r="I250" s="512"/>
      <c r="J250" s="513"/>
      <c r="K250" s="33" t="str">
        <f>IF(K172="","",IF(K189="",IF(SUM(COUNTIF(K190:K248,"LS")+COUNTIF(K190:K248,"LUMP"))&gt;0,"LS",""),IF(K249&lt;&gt;"",ROUNDUP(K249,0),"")))</f>
        <v/>
      </c>
      <c r="L250" s="33" t="str">
        <f t="shared" ref="L250" si="52">IF(L172="","",IF(L189="",IF(SUM(COUNTIF(L190:L248,"LS")+COUNTIF(L190:L248,"LUMP"))&gt;0,"LS",""),IF(L249&lt;&gt;"",ROUNDUP(L249,0),"")))</f>
        <v/>
      </c>
      <c r="M250" s="33" t="str">
        <f t="shared" ref="M250" si="53">IF(M172="","",IF(M189="",IF(SUM(COUNTIF(M190:M248,"LS")+COUNTIF(M190:M248,"LUMP"))&gt;0,"LS",""),IF(M249&lt;&gt;"",ROUNDUP(M249,0),"")))</f>
        <v/>
      </c>
      <c r="N250" s="33" t="str">
        <f t="shared" ref="N250" si="54">IF(N172="","",IF(N189="",IF(SUM(COUNTIF(N190:N248,"LS")+COUNTIF(N190:N248,"LUMP"))&gt;0,"LS",""),IF(N249&lt;&gt;"",ROUNDUP(N249,0),"")))</f>
        <v/>
      </c>
      <c r="O250" s="33" t="str">
        <f t="shared" ref="O250" si="55">IF(O172="","",IF(O189="",IF(SUM(COUNTIF(O190:O248,"LS")+COUNTIF(O190:O248,"LUMP"))&gt;0,"LS",""),IF(O249&lt;&gt;"",ROUNDUP(O249,0),"")))</f>
        <v/>
      </c>
      <c r="P250" s="33" t="str">
        <f t="shared" ref="P250" si="56">IF(P172="","",IF(P189="",IF(SUM(COUNTIF(P190:P248,"LS")+COUNTIF(P190:P248,"LUMP"))&gt;0,"LS",""),IF(P249&lt;&gt;"",ROUNDUP(P249,0),"")))</f>
        <v/>
      </c>
      <c r="Q250" s="33" t="str">
        <f t="shared" ref="Q250" si="57">IF(Q172="","",IF(Q189="",IF(SUM(COUNTIF(Q190:Q248,"LS")+COUNTIF(Q190:Q248,"LUMP"))&gt;0,"LS",""),IF(Q249&lt;&gt;"",ROUNDUP(Q249,0),"")))</f>
        <v/>
      </c>
      <c r="R250" s="33" t="str">
        <f t="shared" ref="R250" si="58">IF(R172="","",IF(R189="",IF(SUM(COUNTIF(R190:R248,"LS")+COUNTIF(R190:R248,"LUMP"))&gt;0,"LS",""),IF(R249&lt;&gt;"",ROUNDUP(R249,0),"")))</f>
        <v/>
      </c>
      <c r="S250" s="33" t="str">
        <f t="shared" ref="S250" si="59">IF(S172="","",IF(S189="",IF(SUM(COUNTIF(S190:S248,"LS")+COUNTIF(S190:S248,"LUMP"))&gt;0,"LS",""),IF(S249&lt;&gt;"",ROUNDUP(S249,0),"")))</f>
        <v/>
      </c>
      <c r="T250" s="33"/>
      <c r="U250" s="33" t="str">
        <f t="shared" ref="U250" si="60">IF(U172="","",IF(U189="",IF(SUM(COUNTIF(U190:U248,"LS")+COUNTIF(U190:U248,"LUMP"))&gt;0,"LS",""),IF(U249&lt;&gt;"",ROUNDUP(U249,0),"")))</f>
        <v/>
      </c>
      <c r="V250" s="33" t="str">
        <f t="shared" ref="V250" si="61">IF(V172="","",IF(V189="",IF(SUM(COUNTIF(V190:V248,"LS")+COUNTIF(V190:V248,"LUMP"))&gt;0,"LS",""),IF(V249&lt;&gt;"",ROUNDUP(V249,0),"")))</f>
        <v/>
      </c>
      <c r="W250" s="33" t="str">
        <f t="shared" ref="W250" si="62">IF(W172="","",IF(W189="",IF(SUM(COUNTIF(W190:W248,"LS")+COUNTIF(W190:W248,"LUMP"))&gt;0,"LS",""),IF(W249&lt;&gt;"",ROUNDUP(W249,0),"")))</f>
        <v/>
      </c>
      <c r="X250" s="33" t="str">
        <f t="shared" ref="X250" si="63">IF(X172="","",IF(X189="",IF(SUM(COUNTIF(X190:X248,"LS")+COUNTIF(X190:X248,"LUMP"))&gt;0,"LS",""),IF(X249&lt;&gt;"",ROUNDUP(X249,0),"")))</f>
        <v/>
      </c>
      <c r="Y250" s="33" t="str">
        <f t="shared" ref="Y250" si="64">IF(Y172="","",IF(Y189="",IF(SUM(COUNTIF(Y190:Y248,"LS")+COUNTIF(Y190:Y248,"LUMP"))&gt;0,"LS",""),IF(Y249&lt;&gt;"",ROUNDUP(Y249,0),"")))</f>
        <v/>
      </c>
      <c r="Z250" s="33" t="str">
        <f t="shared" ref="Z250" si="65">IF(Z172="","",IF(Z189="",IF(SUM(COUNTIF(Z190:Z248,"LS")+COUNTIF(Z190:Z248,"LUMP"))&gt;0,"LS",""),IF(Z249&lt;&gt;"",ROUNDUP(Z249,0),"")))</f>
        <v/>
      </c>
      <c r="AA250" s="33" t="str">
        <f t="shared" ref="AA250" si="66">IF(AA172="","",IF(AA189="",IF(SUM(COUNTIF(AA190:AA248,"LS")+COUNTIF(AA190:AA248,"LUMP"))&gt;0,"LS",""),IF(AA249&lt;&gt;"",ROUNDUP(AA249,0),"")))</f>
        <v/>
      </c>
      <c r="AB250" s="33" t="str">
        <f t="shared" ref="AB250" si="67">IF(AB172="","",IF(AB189="",IF(SUM(COUNTIF(AB190:AB248,"LS")+COUNTIF(AB190:AB248,"LUMP"))&gt;0,"LS",""),IF(AB249&lt;&gt;"",ROUNDUP(AB249,0),"")))</f>
        <v/>
      </c>
      <c r="AC250" s="33" t="str">
        <f t="shared" ref="AC250" si="68">IF(AC172="","",IF(AC189="",IF(SUM(COUNTIF(AC190:AC248,"LS")+COUNTIF(AC190:AC248,"LUMP"))&gt;0,"LS",""),IF(AC249&lt;&gt;"",ROUNDUP(AC249,0),"")))</f>
        <v/>
      </c>
    </row>
    <row r="251" spans="2:29" ht="12.75" customHeight="1" thickBot="1" x14ac:dyDescent="0.3"/>
    <row r="252" spans="2:29" ht="12.75" customHeight="1" thickBot="1" x14ac:dyDescent="0.3">
      <c r="B252" s="39" t="s">
        <v>15</v>
      </c>
      <c r="E252" s="449">
        <f>E171+1</f>
        <v>4</v>
      </c>
      <c r="F252" s="449"/>
      <c r="G252" s="449"/>
      <c r="H252" s="449"/>
      <c r="I252" s="449"/>
      <c r="J252" s="449"/>
      <c r="K252" s="449"/>
      <c r="L252" s="449"/>
      <c r="M252" s="449"/>
      <c r="N252" s="449"/>
      <c r="O252" s="449"/>
      <c r="P252" s="449"/>
      <c r="Q252" s="449"/>
      <c r="R252" s="449"/>
      <c r="S252" s="449"/>
      <c r="T252" s="449"/>
      <c r="U252" s="449"/>
      <c r="V252" s="449"/>
      <c r="W252" s="449"/>
      <c r="X252" s="449"/>
      <c r="Y252" s="449"/>
      <c r="Z252" s="449"/>
      <c r="AA252" s="449"/>
      <c r="AB252" s="449"/>
      <c r="AC252" s="449"/>
    </row>
    <row r="253" spans="2:29" ht="12.75" customHeight="1" thickBot="1" x14ac:dyDescent="0.3">
      <c r="B253" s="40"/>
      <c r="E253" s="9"/>
      <c r="F253" s="9"/>
      <c r="G253" s="9"/>
      <c r="H253" s="10"/>
      <c r="I253" s="10"/>
      <c r="J253" s="11" t="s">
        <v>13</v>
      </c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</row>
    <row r="254" spans="2:29" ht="12.75" customHeight="1" x14ac:dyDescent="0.25">
      <c r="E254" s="9"/>
      <c r="F254" s="9"/>
      <c r="G254" s="9"/>
      <c r="H254" s="10"/>
      <c r="I254" s="10"/>
      <c r="J254" s="11" t="s">
        <v>14</v>
      </c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2:29" ht="12.75" customHeight="1" x14ac:dyDescent="0.25">
      <c r="E255" s="10"/>
      <c r="F255" s="1"/>
      <c r="G255" s="10"/>
      <c r="H255" s="9"/>
      <c r="I255" s="10"/>
      <c r="J255" s="11" t="s">
        <v>7</v>
      </c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</row>
    <row r="256" spans="2:29" ht="12.75" customHeight="1" thickBot="1" x14ac:dyDescent="0.3">
      <c r="E256" s="10"/>
      <c r="F256" s="1"/>
      <c r="G256" s="10"/>
      <c r="H256" s="9"/>
      <c r="I256" s="10"/>
      <c r="J256" s="11" t="s">
        <v>8</v>
      </c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spans="2:29" ht="12.75" customHeight="1" x14ac:dyDescent="0.25">
      <c r="B257" s="450" t="s">
        <v>16</v>
      </c>
      <c r="E257" s="498" t="s">
        <v>2</v>
      </c>
      <c r="F257" s="499"/>
      <c r="G257" s="502" t="s">
        <v>0</v>
      </c>
      <c r="H257" s="502" t="s">
        <v>9</v>
      </c>
      <c r="I257" s="502" t="s">
        <v>23</v>
      </c>
      <c r="J257" s="502" t="s">
        <v>3</v>
      </c>
      <c r="K257" s="15" t="str">
        <f t="shared" ref="K257:AC257" si="69">IF(OR(TRIM(K253)=0,TRIM(K253)=""),"",IF(IFERROR(TRIM(INDEX(QryItemNamed,MATCH(TRIM(K253),ITEM,0),2)),"")="Y","SPECIAL",LEFT(IFERROR(TRIM(INDEX(ITEM,MATCH(TRIM(K253),ITEM,0))),""),3)))</f>
        <v/>
      </c>
      <c r="L257" s="15" t="str">
        <f t="shared" si="69"/>
        <v/>
      </c>
      <c r="M257" s="15" t="str">
        <f t="shared" si="69"/>
        <v/>
      </c>
      <c r="N257" s="15" t="str">
        <f t="shared" si="69"/>
        <v/>
      </c>
      <c r="O257" s="15" t="str">
        <f t="shared" si="69"/>
        <v/>
      </c>
      <c r="P257" s="15" t="str">
        <f t="shared" si="69"/>
        <v/>
      </c>
      <c r="Q257" s="15" t="str">
        <f t="shared" si="69"/>
        <v/>
      </c>
      <c r="R257" s="15" t="str">
        <f t="shared" si="69"/>
        <v/>
      </c>
      <c r="S257" s="15" t="str">
        <f t="shared" si="69"/>
        <v/>
      </c>
      <c r="T257" s="15"/>
      <c r="U257" s="15" t="str">
        <f t="shared" si="69"/>
        <v/>
      </c>
      <c r="V257" s="15" t="str">
        <f t="shared" si="69"/>
        <v/>
      </c>
      <c r="W257" s="15" t="str">
        <f t="shared" si="69"/>
        <v/>
      </c>
      <c r="X257" s="15" t="str">
        <f t="shared" si="69"/>
        <v/>
      </c>
      <c r="Y257" s="15" t="str">
        <f t="shared" si="69"/>
        <v/>
      </c>
      <c r="Z257" s="15" t="str">
        <f t="shared" si="69"/>
        <v/>
      </c>
      <c r="AA257" s="15" t="str">
        <f t="shared" si="69"/>
        <v/>
      </c>
      <c r="AB257" s="15" t="str">
        <f t="shared" si="69"/>
        <v/>
      </c>
      <c r="AC257" s="15" t="str">
        <f t="shared" si="69"/>
        <v/>
      </c>
    </row>
    <row r="258" spans="2:29" ht="12.75" customHeight="1" x14ac:dyDescent="0.25">
      <c r="B258" s="451"/>
      <c r="E258" s="500"/>
      <c r="F258" s="501"/>
      <c r="G258" s="503"/>
      <c r="H258" s="503"/>
      <c r="I258" s="503"/>
      <c r="J258" s="503"/>
      <c r="K258" s="504" t="str">
        <f t="shared" ref="K258:AC258" si="70">IF(OR(TRIM(K253)=0,TRIM(K253)=""),IF(K254="","",K254),IF(IFERROR(TRIM(INDEX(QryItemNamed,MATCH(TRIM(K253),ITEM,0),2)),"")="Y",TRIM(RIGHT(IFERROR(TRIM(INDEX(QryItemNamed,MATCH(TRIM(K253),ITEM,0),4)),"123456789012"),LEN(IFERROR(TRIM(INDEX(QryItemNamed,MATCH(TRIM(K253),ITEM,0),4)),"123456789012"))-9))&amp;K254,IFERROR(TRIM(INDEX(QryItemNamed,MATCH(TRIM(K253),ITEM,0),4))&amp;K254,"ITEM CODE DOES NOT EXIST IN ITEM MASTER")))</f>
        <v/>
      </c>
      <c r="L258" s="504" t="str">
        <f t="shared" si="70"/>
        <v/>
      </c>
      <c r="M258" s="504" t="str">
        <f t="shared" si="70"/>
        <v/>
      </c>
      <c r="N258" s="504" t="str">
        <f t="shared" si="70"/>
        <v/>
      </c>
      <c r="O258" s="504" t="str">
        <f t="shared" si="70"/>
        <v/>
      </c>
      <c r="P258" s="504" t="str">
        <f t="shared" si="70"/>
        <v/>
      </c>
      <c r="Q258" s="504" t="str">
        <f t="shared" si="70"/>
        <v/>
      </c>
      <c r="R258" s="504" t="str">
        <f t="shared" si="70"/>
        <v/>
      </c>
      <c r="S258" s="504" t="str">
        <f t="shared" si="70"/>
        <v/>
      </c>
      <c r="T258" s="44"/>
      <c r="U258" s="504" t="str">
        <f t="shared" si="70"/>
        <v/>
      </c>
      <c r="V258" s="504" t="str">
        <f t="shared" si="70"/>
        <v/>
      </c>
      <c r="W258" s="504" t="str">
        <f t="shared" si="70"/>
        <v/>
      </c>
      <c r="X258" s="504" t="str">
        <f t="shared" si="70"/>
        <v/>
      </c>
      <c r="Y258" s="504" t="str">
        <f t="shared" si="70"/>
        <v/>
      </c>
      <c r="Z258" s="504" t="str">
        <f t="shared" si="70"/>
        <v/>
      </c>
      <c r="AA258" s="504" t="str">
        <f t="shared" si="70"/>
        <v/>
      </c>
      <c r="AB258" s="504" t="str">
        <f t="shared" si="70"/>
        <v/>
      </c>
      <c r="AC258" s="504" t="str">
        <f t="shared" si="70"/>
        <v/>
      </c>
    </row>
    <row r="259" spans="2:29" ht="12.75" customHeight="1" x14ac:dyDescent="0.25">
      <c r="B259" s="451"/>
      <c r="E259" s="500"/>
      <c r="F259" s="501"/>
      <c r="G259" s="503"/>
      <c r="H259" s="503"/>
      <c r="I259" s="503"/>
      <c r="J259" s="503"/>
      <c r="K259" s="505"/>
      <c r="L259" s="505"/>
      <c r="M259" s="505"/>
      <c r="N259" s="505"/>
      <c r="O259" s="505"/>
      <c r="P259" s="505"/>
      <c r="Q259" s="505"/>
      <c r="R259" s="505"/>
      <c r="S259" s="505"/>
      <c r="T259" s="45"/>
      <c r="U259" s="505"/>
      <c r="V259" s="505"/>
      <c r="W259" s="505"/>
      <c r="X259" s="505"/>
      <c r="Y259" s="505"/>
      <c r="Z259" s="505"/>
      <c r="AA259" s="505"/>
      <c r="AB259" s="505"/>
      <c r="AC259" s="505"/>
    </row>
    <row r="260" spans="2:29" ht="12.75" customHeight="1" x14ac:dyDescent="0.25">
      <c r="B260" s="451"/>
      <c r="E260" s="500"/>
      <c r="F260" s="501"/>
      <c r="G260" s="503"/>
      <c r="H260" s="503"/>
      <c r="I260" s="503"/>
      <c r="J260" s="503"/>
      <c r="K260" s="505"/>
      <c r="L260" s="505"/>
      <c r="M260" s="505"/>
      <c r="N260" s="505"/>
      <c r="O260" s="505"/>
      <c r="P260" s="505"/>
      <c r="Q260" s="505"/>
      <c r="R260" s="505"/>
      <c r="S260" s="505"/>
      <c r="T260" s="45"/>
      <c r="U260" s="505"/>
      <c r="V260" s="505"/>
      <c r="W260" s="505"/>
      <c r="X260" s="505"/>
      <c r="Y260" s="505"/>
      <c r="Z260" s="505"/>
      <c r="AA260" s="505"/>
      <c r="AB260" s="505"/>
      <c r="AC260" s="505"/>
    </row>
    <row r="261" spans="2:29" ht="12.75" customHeight="1" x14ac:dyDescent="0.25">
      <c r="B261" s="451"/>
      <c r="E261" s="500"/>
      <c r="F261" s="501"/>
      <c r="G261" s="503"/>
      <c r="H261" s="503"/>
      <c r="I261" s="503"/>
      <c r="J261" s="503"/>
      <c r="K261" s="505"/>
      <c r="L261" s="505"/>
      <c r="M261" s="505"/>
      <c r="N261" s="505"/>
      <c r="O261" s="505"/>
      <c r="P261" s="505"/>
      <c r="Q261" s="505"/>
      <c r="R261" s="505"/>
      <c r="S261" s="505"/>
      <c r="T261" s="45"/>
      <c r="U261" s="505"/>
      <c r="V261" s="505"/>
      <c r="W261" s="505"/>
      <c r="X261" s="505"/>
      <c r="Y261" s="505"/>
      <c r="Z261" s="505"/>
      <c r="AA261" s="505"/>
      <c r="AB261" s="505"/>
      <c r="AC261" s="505"/>
    </row>
    <row r="262" spans="2:29" ht="12.75" customHeight="1" x14ac:dyDescent="0.25">
      <c r="B262" s="451"/>
      <c r="E262" s="500"/>
      <c r="F262" s="501"/>
      <c r="G262" s="503"/>
      <c r="H262" s="503"/>
      <c r="I262" s="503"/>
      <c r="J262" s="503"/>
      <c r="K262" s="505"/>
      <c r="L262" s="505"/>
      <c r="M262" s="505"/>
      <c r="N262" s="505"/>
      <c r="O262" s="505"/>
      <c r="P262" s="505"/>
      <c r="Q262" s="505"/>
      <c r="R262" s="505"/>
      <c r="S262" s="505"/>
      <c r="T262" s="45"/>
      <c r="U262" s="505"/>
      <c r="V262" s="505"/>
      <c r="W262" s="505"/>
      <c r="X262" s="505"/>
      <c r="Y262" s="505"/>
      <c r="Z262" s="505"/>
      <c r="AA262" s="505"/>
      <c r="AB262" s="505"/>
      <c r="AC262" s="505"/>
    </row>
    <row r="263" spans="2:29" ht="12.75" customHeight="1" x14ac:dyDescent="0.25">
      <c r="B263" s="451"/>
      <c r="E263" s="500"/>
      <c r="F263" s="501"/>
      <c r="G263" s="503"/>
      <c r="H263" s="503"/>
      <c r="I263" s="503"/>
      <c r="J263" s="503"/>
      <c r="K263" s="505"/>
      <c r="L263" s="505"/>
      <c r="M263" s="505"/>
      <c r="N263" s="505"/>
      <c r="O263" s="505"/>
      <c r="P263" s="505"/>
      <c r="Q263" s="505"/>
      <c r="R263" s="505"/>
      <c r="S263" s="505"/>
      <c r="T263" s="45"/>
      <c r="U263" s="505"/>
      <c r="V263" s="505"/>
      <c r="W263" s="505"/>
      <c r="X263" s="505"/>
      <c r="Y263" s="505"/>
      <c r="Z263" s="505"/>
      <c r="AA263" s="505"/>
      <c r="AB263" s="505"/>
      <c r="AC263" s="505"/>
    </row>
    <row r="264" spans="2:29" ht="12.75" customHeight="1" x14ac:dyDescent="0.25">
      <c r="B264" s="451"/>
      <c r="E264" s="500"/>
      <c r="F264" s="501"/>
      <c r="G264" s="503"/>
      <c r="H264" s="503"/>
      <c r="I264" s="503"/>
      <c r="J264" s="503"/>
      <c r="K264" s="505"/>
      <c r="L264" s="505"/>
      <c r="M264" s="505"/>
      <c r="N264" s="505"/>
      <c r="O264" s="505"/>
      <c r="P264" s="505"/>
      <c r="Q264" s="505"/>
      <c r="R264" s="505"/>
      <c r="S264" s="505"/>
      <c r="T264" s="45"/>
      <c r="U264" s="505"/>
      <c r="V264" s="505"/>
      <c r="W264" s="505"/>
      <c r="X264" s="505"/>
      <c r="Y264" s="505"/>
      <c r="Z264" s="505"/>
      <c r="AA264" s="505"/>
      <c r="AB264" s="505"/>
      <c r="AC264" s="505"/>
    </row>
    <row r="265" spans="2:29" ht="12.75" customHeight="1" x14ac:dyDescent="0.25">
      <c r="B265" s="451"/>
      <c r="E265" s="500"/>
      <c r="F265" s="501"/>
      <c r="G265" s="503"/>
      <c r="H265" s="503"/>
      <c r="I265" s="503"/>
      <c r="J265" s="503"/>
      <c r="K265" s="505"/>
      <c r="L265" s="505"/>
      <c r="M265" s="505"/>
      <c r="N265" s="505"/>
      <c r="O265" s="505"/>
      <c r="P265" s="505"/>
      <c r="Q265" s="505"/>
      <c r="R265" s="505"/>
      <c r="S265" s="505"/>
      <c r="T265" s="45"/>
      <c r="U265" s="505"/>
      <c r="V265" s="505"/>
      <c r="W265" s="505"/>
      <c r="X265" s="505"/>
      <c r="Y265" s="505"/>
      <c r="Z265" s="505"/>
      <c r="AA265" s="505"/>
      <c r="AB265" s="505"/>
      <c r="AC265" s="505"/>
    </row>
    <row r="266" spans="2:29" ht="12.75" customHeight="1" x14ac:dyDescent="0.25">
      <c r="B266" s="451"/>
      <c r="E266" s="500"/>
      <c r="F266" s="501"/>
      <c r="G266" s="503"/>
      <c r="H266" s="503"/>
      <c r="I266" s="503"/>
      <c r="J266" s="503"/>
      <c r="K266" s="505"/>
      <c r="L266" s="505"/>
      <c r="M266" s="505"/>
      <c r="N266" s="505"/>
      <c r="O266" s="505"/>
      <c r="P266" s="505"/>
      <c r="Q266" s="505"/>
      <c r="R266" s="505"/>
      <c r="S266" s="505"/>
      <c r="T266" s="45"/>
      <c r="U266" s="505"/>
      <c r="V266" s="505"/>
      <c r="W266" s="505"/>
      <c r="X266" s="505"/>
      <c r="Y266" s="505"/>
      <c r="Z266" s="505"/>
      <c r="AA266" s="505"/>
      <c r="AB266" s="505"/>
      <c r="AC266" s="505"/>
    </row>
    <row r="267" spans="2:29" ht="12.75" customHeight="1" x14ac:dyDescent="0.25">
      <c r="B267" s="451"/>
      <c r="E267" s="500"/>
      <c r="F267" s="501"/>
      <c r="G267" s="503"/>
      <c r="H267" s="503"/>
      <c r="I267" s="503"/>
      <c r="J267" s="503"/>
      <c r="K267" s="505"/>
      <c r="L267" s="505"/>
      <c r="M267" s="505"/>
      <c r="N267" s="505"/>
      <c r="O267" s="505"/>
      <c r="P267" s="505"/>
      <c r="Q267" s="505"/>
      <c r="R267" s="505"/>
      <c r="S267" s="505"/>
      <c r="T267" s="45"/>
      <c r="U267" s="505"/>
      <c r="V267" s="505"/>
      <c r="W267" s="505"/>
      <c r="X267" s="505"/>
      <c r="Y267" s="505"/>
      <c r="Z267" s="505"/>
      <c r="AA267" s="505"/>
      <c r="AB267" s="505"/>
      <c r="AC267" s="505"/>
    </row>
    <row r="268" spans="2:29" ht="12.75" customHeight="1" x14ac:dyDescent="0.25">
      <c r="B268" s="451"/>
      <c r="E268" s="500"/>
      <c r="F268" s="501"/>
      <c r="G268" s="503"/>
      <c r="H268" s="503"/>
      <c r="I268" s="503"/>
      <c r="J268" s="503"/>
      <c r="K268" s="505"/>
      <c r="L268" s="505"/>
      <c r="M268" s="505"/>
      <c r="N268" s="505"/>
      <c r="O268" s="505"/>
      <c r="P268" s="505"/>
      <c r="Q268" s="505"/>
      <c r="R268" s="505"/>
      <c r="S268" s="505"/>
      <c r="T268" s="45"/>
      <c r="U268" s="505"/>
      <c r="V268" s="505"/>
      <c r="W268" s="505"/>
      <c r="X268" s="505"/>
      <c r="Y268" s="505"/>
      <c r="Z268" s="505"/>
      <c r="AA268" s="505"/>
      <c r="AB268" s="505"/>
      <c r="AC268" s="505"/>
    </row>
    <row r="269" spans="2:29" ht="12.75" customHeight="1" x14ac:dyDescent="0.25">
      <c r="B269" s="451"/>
      <c r="E269" s="500"/>
      <c r="F269" s="501"/>
      <c r="G269" s="503"/>
      <c r="H269" s="503"/>
      <c r="I269" s="503"/>
      <c r="J269" s="503"/>
      <c r="K269" s="506"/>
      <c r="L269" s="506"/>
      <c r="M269" s="506"/>
      <c r="N269" s="506"/>
      <c r="O269" s="506"/>
      <c r="P269" s="506"/>
      <c r="Q269" s="506"/>
      <c r="R269" s="506"/>
      <c r="S269" s="506"/>
      <c r="T269" s="46"/>
      <c r="U269" s="506"/>
      <c r="V269" s="506"/>
      <c r="W269" s="506"/>
      <c r="X269" s="506"/>
      <c r="Y269" s="506"/>
      <c r="Z269" s="506"/>
      <c r="AA269" s="506"/>
      <c r="AB269" s="506"/>
      <c r="AC269" s="506"/>
    </row>
    <row r="270" spans="2:29" ht="12.75" customHeight="1" thickBot="1" x14ac:dyDescent="0.3">
      <c r="B270" s="452"/>
      <c r="E270" s="507"/>
      <c r="F270" s="507"/>
      <c r="G270" s="16"/>
      <c r="H270" s="17" t="s">
        <v>6</v>
      </c>
      <c r="I270" s="17" t="s">
        <v>6</v>
      </c>
      <c r="J270" s="17" t="s">
        <v>22</v>
      </c>
      <c r="K270" s="17" t="str">
        <f t="shared" ref="K270:AC270" si="71">IF(OR(TRIM(K253)=0,TRIM(K253)=""),"",IF(IFERROR(TRIM(INDEX(QryItemNamed,MATCH(TRIM(K253),ITEM,0),3)),"")="LS","",IFERROR(TRIM(INDEX(QryItemNamed,MATCH(TRIM(K253),ITEM,0),3)),"")))</f>
        <v/>
      </c>
      <c r="L270" s="17" t="str">
        <f t="shared" si="71"/>
        <v/>
      </c>
      <c r="M270" s="17" t="str">
        <f t="shared" si="71"/>
        <v/>
      </c>
      <c r="N270" s="17" t="str">
        <f t="shared" si="71"/>
        <v/>
      </c>
      <c r="O270" s="17" t="str">
        <f t="shared" si="71"/>
        <v/>
      </c>
      <c r="P270" s="17" t="str">
        <f t="shared" si="71"/>
        <v/>
      </c>
      <c r="Q270" s="17" t="str">
        <f t="shared" si="71"/>
        <v/>
      </c>
      <c r="R270" s="17" t="str">
        <f t="shared" si="71"/>
        <v/>
      </c>
      <c r="S270" s="17" t="str">
        <f t="shared" si="71"/>
        <v/>
      </c>
      <c r="T270" s="17"/>
      <c r="U270" s="17" t="str">
        <f t="shared" si="71"/>
        <v/>
      </c>
      <c r="V270" s="17" t="str">
        <f t="shared" si="71"/>
        <v/>
      </c>
      <c r="W270" s="17" t="str">
        <f t="shared" si="71"/>
        <v/>
      </c>
      <c r="X270" s="17" t="str">
        <f t="shared" si="71"/>
        <v/>
      </c>
      <c r="Y270" s="17" t="str">
        <f t="shared" si="71"/>
        <v/>
      </c>
      <c r="Z270" s="17" t="str">
        <f t="shared" si="71"/>
        <v/>
      </c>
      <c r="AA270" s="17" t="str">
        <f t="shared" si="71"/>
        <v/>
      </c>
      <c r="AB270" s="17" t="str">
        <f t="shared" si="71"/>
        <v/>
      </c>
      <c r="AC270" s="17" t="str">
        <f t="shared" si="71"/>
        <v/>
      </c>
    </row>
    <row r="271" spans="2:29" ht="12.75" customHeight="1" x14ac:dyDescent="0.25">
      <c r="B271" s="41"/>
      <c r="E271" s="18"/>
      <c r="F271" s="18"/>
      <c r="G271" s="19"/>
      <c r="H271" s="20" t="str">
        <f t="shared" ref="H271:H302" si="72">IF(E271&lt;&gt;"",F271-E271,"")</f>
        <v/>
      </c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1"/>
      <c r="AC271" s="20"/>
    </row>
    <row r="272" spans="2:29" ht="12.75" customHeight="1" x14ac:dyDescent="0.25">
      <c r="B272" s="42"/>
      <c r="E272" s="18"/>
      <c r="F272" s="18"/>
      <c r="G272" s="19"/>
      <c r="H272" s="20" t="str">
        <f t="shared" si="72"/>
        <v/>
      </c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1"/>
      <c r="AC272" s="22"/>
    </row>
    <row r="273" spans="2:29" ht="12.75" customHeight="1" x14ac:dyDescent="0.25">
      <c r="B273" s="42"/>
      <c r="E273" s="23"/>
      <c r="F273" s="23"/>
      <c r="G273" s="24"/>
      <c r="H273" s="22" t="str">
        <f t="shared" si="72"/>
        <v/>
      </c>
      <c r="I273" s="22"/>
      <c r="J273" s="22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2"/>
      <c r="AB273" s="21"/>
      <c r="AC273" s="22"/>
    </row>
    <row r="274" spans="2:29" ht="12.75" customHeight="1" x14ac:dyDescent="0.25">
      <c r="B274" s="42"/>
      <c r="E274" s="23"/>
      <c r="F274" s="23"/>
      <c r="G274" s="24"/>
      <c r="H274" s="22" t="str">
        <f t="shared" si="72"/>
        <v/>
      </c>
      <c r="I274" s="22"/>
      <c r="J274" s="22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2"/>
      <c r="AB274" s="21"/>
      <c r="AC274" s="22"/>
    </row>
    <row r="275" spans="2:29" ht="12.75" customHeight="1" x14ac:dyDescent="0.25">
      <c r="B275" s="42"/>
      <c r="E275" s="23"/>
      <c r="F275" s="23"/>
      <c r="G275" s="24"/>
      <c r="H275" s="22" t="str">
        <f t="shared" si="72"/>
        <v/>
      </c>
      <c r="I275" s="22"/>
      <c r="J275" s="22"/>
      <c r="K275" s="20"/>
      <c r="L275" s="20"/>
      <c r="M275" s="22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5"/>
      <c r="Y275" s="25"/>
      <c r="Z275" s="22"/>
      <c r="AA275" s="22"/>
      <c r="AB275" s="21"/>
      <c r="AC275" s="22"/>
    </row>
    <row r="276" spans="2:29" ht="12.75" customHeight="1" x14ac:dyDescent="0.25">
      <c r="B276" s="42"/>
      <c r="E276" s="23"/>
      <c r="F276" s="23"/>
      <c r="G276" s="24"/>
      <c r="H276" s="22" t="str">
        <f t="shared" si="72"/>
        <v/>
      </c>
      <c r="I276" s="22"/>
      <c r="J276" s="22"/>
      <c r="K276" s="20"/>
      <c r="L276" s="20"/>
      <c r="M276" s="22"/>
      <c r="N276" s="20"/>
      <c r="O276" s="20"/>
      <c r="P276" s="20"/>
      <c r="Q276" s="20"/>
      <c r="R276" s="20"/>
      <c r="S276" s="20"/>
      <c r="T276" s="20"/>
      <c r="U276" s="20"/>
      <c r="V276" s="22"/>
      <c r="W276" s="20"/>
      <c r="X276" s="25"/>
      <c r="Y276" s="25"/>
      <c r="Z276" s="22"/>
      <c r="AA276" s="22"/>
      <c r="AB276" s="21"/>
      <c r="AC276" s="22"/>
    </row>
    <row r="277" spans="2:29" ht="12.75" customHeight="1" x14ac:dyDescent="0.25">
      <c r="B277" s="42"/>
      <c r="E277" s="23"/>
      <c r="F277" s="23"/>
      <c r="G277" s="24"/>
      <c r="H277" s="22" t="str">
        <f t="shared" si="72"/>
        <v/>
      </c>
      <c r="I277" s="22"/>
      <c r="J277" s="22"/>
      <c r="K277" s="20"/>
      <c r="L277" s="20"/>
      <c r="M277" s="22"/>
      <c r="N277" s="20"/>
      <c r="O277" s="20"/>
      <c r="P277" s="20"/>
      <c r="Q277" s="20"/>
      <c r="R277" s="20"/>
      <c r="S277" s="20"/>
      <c r="T277" s="20"/>
      <c r="U277" s="20"/>
      <c r="V277" s="22"/>
      <c r="W277" s="20"/>
      <c r="X277" s="25"/>
      <c r="Y277" s="25"/>
      <c r="Z277" s="22"/>
      <c r="AA277" s="22"/>
      <c r="AB277" s="21"/>
      <c r="AC277" s="22"/>
    </row>
    <row r="278" spans="2:29" ht="12.75" customHeight="1" x14ac:dyDescent="0.25">
      <c r="B278" s="42"/>
      <c r="E278" s="23"/>
      <c r="F278" s="23"/>
      <c r="G278" s="24"/>
      <c r="H278" s="22" t="str">
        <f t="shared" si="72"/>
        <v/>
      </c>
      <c r="I278" s="22"/>
      <c r="J278" s="22"/>
      <c r="K278" s="20"/>
      <c r="L278" s="20"/>
      <c r="M278" s="22"/>
      <c r="N278" s="20"/>
      <c r="O278" s="20"/>
      <c r="P278" s="20"/>
      <c r="Q278" s="20"/>
      <c r="R278" s="20"/>
      <c r="S278" s="20"/>
      <c r="T278" s="20"/>
      <c r="U278" s="20"/>
      <c r="V278" s="22"/>
      <c r="W278" s="20"/>
      <c r="X278" s="25"/>
      <c r="Y278" s="25"/>
      <c r="Z278" s="22"/>
      <c r="AA278" s="22"/>
      <c r="AB278" s="21"/>
      <c r="AC278" s="22"/>
    </row>
    <row r="279" spans="2:29" ht="12.75" customHeight="1" x14ac:dyDescent="0.25">
      <c r="B279" s="42"/>
      <c r="E279" s="23"/>
      <c r="F279" s="23"/>
      <c r="G279" s="24"/>
      <c r="H279" s="22" t="str">
        <f t="shared" si="72"/>
        <v/>
      </c>
      <c r="I279" s="22"/>
      <c r="J279" s="22"/>
      <c r="K279" s="20"/>
      <c r="L279" s="20"/>
      <c r="M279" s="22"/>
      <c r="N279" s="20"/>
      <c r="O279" s="20"/>
      <c r="P279" s="20"/>
      <c r="Q279" s="20"/>
      <c r="R279" s="20"/>
      <c r="S279" s="20"/>
      <c r="T279" s="20"/>
      <c r="U279" s="20"/>
      <c r="V279" s="22"/>
      <c r="W279" s="20"/>
      <c r="X279" s="25"/>
      <c r="Y279" s="25"/>
      <c r="Z279" s="22"/>
      <c r="AA279" s="22"/>
      <c r="AB279" s="21"/>
      <c r="AC279" s="22"/>
    </row>
    <row r="280" spans="2:29" ht="12.75" customHeight="1" x14ac:dyDescent="0.25">
      <c r="B280" s="42"/>
      <c r="E280" s="23"/>
      <c r="F280" s="23"/>
      <c r="G280" s="24"/>
      <c r="H280" s="22" t="str">
        <f t="shared" si="72"/>
        <v/>
      </c>
      <c r="I280" s="22"/>
      <c r="J280" s="22"/>
      <c r="K280" s="20"/>
      <c r="L280" s="20"/>
      <c r="M280" s="22"/>
      <c r="N280" s="20"/>
      <c r="O280" s="20"/>
      <c r="P280" s="20"/>
      <c r="Q280" s="20"/>
      <c r="R280" s="20"/>
      <c r="S280" s="20"/>
      <c r="T280" s="20"/>
      <c r="U280" s="20"/>
      <c r="V280" s="22"/>
      <c r="W280" s="20"/>
      <c r="X280" s="25"/>
      <c r="Y280" s="25"/>
      <c r="Z280" s="22"/>
      <c r="AA280" s="22"/>
      <c r="AB280" s="21"/>
      <c r="AC280" s="22"/>
    </row>
    <row r="281" spans="2:29" ht="12.75" customHeight="1" x14ac:dyDescent="0.25">
      <c r="B281" s="42"/>
      <c r="E281" s="23"/>
      <c r="F281" s="23"/>
      <c r="G281" s="24"/>
      <c r="H281" s="22" t="str">
        <f t="shared" si="72"/>
        <v/>
      </c>
      <c r="I281" s="22"/>
      <c r="J281" s="22"/>
      <c r="K281" s="20"/>
      <c r="L281" s="20"/>
      <c r="M281" s="22"/>
      <c r="N281" s="20"/>
      <c r="O281" s="20"/>
      <c r="P281" s="20"/>
      <c r="Q281" s="20"/>
      <c r="R281" s="20"/>
      <c r="S281" s="20"/>
      <c r="T281" s="20"/>
      <c r="U281" s="20"/>
      <c r="V281" s="22"/>
      <c r="W281" s="20"/>
      <c r="X281" s="25"/>
      <c r="Y281" s="25"/>
      <c r="Z281" s="22"/>
      <c r="AA281" s="22"/>
      <c r="AB281" s="21"/>
      <c r="AC281" s="22"/>
    </row>
    <row r="282" spans="2:29" ht="12.75" customHeight="1" x14ac:dyDescent="0.25">
      <c r="B282" s="42"/>
      <c r="E282" s="23"/>
      <c r="F282" s="23"/>
      <c r="G282" s="24"/>
      <c r="H282" s="22" t="str">
        <f t="shared" si="72"/>
        <v/>
      </c>
      <c r="I282" s="22"/>
      <c r="J282" s="22"/>
      <c r="K282" s="20"/>
      <c r="L282" s="20"/>
      <c r="M282" s="22"/>
      <c r="N282" s="20"/>
      <c r="O282" s="20"/>
      <c r="P282" s="20"/>
      <c r="Q282" s="20"/>
      <c r="R282" s="20"/>
      <c r="S282" s="20"/>
      <c r="T282" s="20"/>
      <c r="U282" s="20"/>
      <c r="V282" s="22"/>
      <c r="W282" s="20"/>
      <c r="X282" s="25"/>
      <c r="Y282" s="25"/>
      <c r="Z282" s="22"/>
      <c r="AA282" s="22"/>
      <c r="AB282" s="21"/>
      <c r="AC282" s="22"/>
    </row>
    <row r="283" spans="2:29" ht="12.75" customHeight="1" x14ac:dyDescent="0.25">
      <c r="B283" s="42"/>
      <c r="E283" s="23"/>
      <c r="F283" s="23"/>
      <c r="G283" s="24"/>
      <c r="H283" s="22" t="str">
        <f t="shared" si="72"/>
        <v/>
      </c>
      <c r="I283" s="22"/>
      <c r="J283" s="22"/>
      <c r="K283" s="20"/>
      <c r="L283" s="20"/>
      <c r="M283" s="22"/>
      <c r="N283" s="20"/>
      <c r="O283" s="20"/>
      <c r="P283" s="20"/>
      <c r="Q283" s="20"/>
      <c r="R283" s="20"/>
      <c r="S283" s="20"/>
      <c r="T283" s="20"/>
      <c r="U283" s="20"/>
      <c r="V283" s="22"/>
      <c r="W283" s="20"/>
      <c r="X283" s="25"/>
      <c r="Y283" s="25"/>
      <c r="Z283" s="22"/>
      <c r="AA283" s="22"/>
      <c r="AB283" s="21"/>
      <c r="AC283" s="22"/>
    </row>
    <row r="284" spans="2:29" ht="12.75" customHeight="1" x14ac:dyDescent="0.25">
      <c r="B284" s="42"/>
      <c r="E284" s="23"/>
      <c r="F284" s="23"/>
      <c r="G284" s="24"/>
      <c r="H284" s="22" t="str">
        <f t="shared" si="72"/>
        <v/>
      </c>
      <c r="I284" s="22"/>
      <c r="J284" s="22"/>
      <c r="K284" s="20"/>
      <c r="L284" s="20"/>
      <c r="M284" s="22"/>
      <c r="N284" s="20"/>
      <c r="O284" s="20"/>
      <c r="P284" s="20"/>
      <c r="Q284" s="20"/>
      <c r="R284" s="20"/>
      <c r="S284" s="20"/>
      <c r="T284" s="20"/>
      <c r="U284" s="20"/>
      <c r="V284" s="22"/>
      <c r="W284" s="20"/>
      <c r="X284" s="25"/>
      <c r="Y284" s="25"/>
      <c r="Z284" s="22"/>
      <c r="AA284" s="22"/>
      <c r="AB284" s="21"/>
      <c r="AC284" s="22"/>
    </row>
    <row r="285" spans="2:29" ht="12.75" customHeight="1" x14ac:dyDescent="0.25">
      <c r="B285" s="42"/>
      <c r="E285" s="23"/>
      <c r="F285" s="23"/>
      <c r="G285" s="24"/>
      <c r="H285" s="22" t="str">
        <f t="shared" si="72"/>
        <v/>
      </c>
      <c r="I285" s="22"/>
      <c r="J285" s="22"/>
      <c r="K285" s="20"/>
      <c r="L285" s="20"/>
      <c r="M285" s="22"/>
      <c r="N285" s="20"/>
      <c r="O285" s="20"/>
      <c r="P285" s="20"/>
      <c r="Q285" s="20"/>
      <c r="R285" s="20"/>
      <c r="S285" s="20"/>
      <c r="T285" s="20"/>
      <c r="U285" s="20"/>
      <c r="V285" s="22"/>
      <c r="W285" s="20"/>
      <c r="X285" s="25"/>
      <c r="Y285" s="25"/>
      <c r="Z285" s="22"/>
      <c r="AA285" s="22"/>
      <c r="AB285" s="21"/>
      <c r="AC285" s="22"/>
    </row>
    <row r="286" spans="2:29" ht="12.75" customHeight="1" x14ac:dyDescent="0.25">
      <c r="B286" s="42"/>
      <c r="E286" s="23"/>
      <c r="F286" s="23"/>
      <c r="G286" s="24"/>
      <c r="H286" s="22" t="str">
        <f t="shared" si="72"/>
        <v/>
      </c>
      <c r="I286" s="22"/>
      <c r="J286" s="22"/>
      <c r="K286" s="20"/>
      <c r="L286" s="20"/>
      <c r="M286" s="22"/>
      <c r="N286" s="20"/>
      <c r="O286" s="20"/>
      <c r="P286" s="20"/>
      <c r="Q286" s="20"/>
      <c r="R286" s="20"/>
      <c r="S286" s="20"/>
      <c r="T286" s="20"/>
      <c r="U286" s="20"/>
      <c r="V286" s="22"/>
      <c r="W286" s="20"/>
      <c r="X286" s="25"/>
      <c r="Y286" s="25"/>
      <c r="Z286" s="22"/>
      <c r="AA286" s="22"/>
      <c r="AB286" s="21"/>
      <c r="AC286" s="22"/>
    </row>
    <row r="287" spans="2:29" ht="12.75" customHeight="1" x14ac:dyDescent="0.25">
      <c r="B287" s="42"/>
      <c r="E287" s="23"/>
      <c r="F287" s="23"/>
      <c r="G287" s="24"/>
      <c r="H287" s="22" t="str">
        <f t="shared" si="72"/>
        <v/>
      </c>
      <c r="I287" s="22"/>
      <c r="J287" s="22"/>
      <c r="K287" s="20"/>
      <c r="L287" s="20"/>
      <c r="M287" s="22"/>
      <c r="N287" s="20"/>
      <c r="O287" s="20"/>
      <c r="P287" s="20"/>
      <c r="Q287" s="20"/>
      <c r="R287" s="20"/>
      <c r="S287" s="20"/>
      <c r="T287" s="20"/>
      <c r="U287" s="20"/>
      <c r="V287" s="22"/>
      <c r="W287" s="20"/>
      <c r="X287" s="25"/>
      <c r="Y287" s="25"/>
      <c r="Z287" s="22"/>
      <c r="AA287" s="22"/>
      <c r="AB287" s="21"/>
      <c r="AC287" s="22"/>
    </row>
    <row r="288" spans="2:29" ht="12.75" customHeight="1" x14ac:dyDescent="0.25">
      <c r="B288" s="42"/>
      <c r="E288" s="23"/>
      <c r="F288" s="23"/>
      <c r="G288" s="24"/>
      <c r="H288" s="22" t="str">
        <f t="shared" si="72"/>
        <v/>
      </c>
      <c r="I288" s="22"/>
      <c r="J288" s="22"/>
      <c r="K288" s="20"/>
      <c r="L288" s="20"/>
      <c r="M288" s="22"/>
      <c r="N288" s="20"/>
      <c r="O288" s="20"/>
      <c r="P288" s="20"/>
      <c r="Q288" s="20"/>
      <c r="R288" s="20"/>
      <c r="S288" s="20"/>
      <c r="T288" s="20"/>
      <c r="U288" s="20"/>
      <c r="V288" s="22"/>
      <c r="W288" s="20"/>
      <c r="X288" s="25"/>
      <c r="Y288" s="25"/>
      <c r="Z288" s="22"/>
      <c r="AA288" s="22"/>
      <c r="AB288" s="21"/>
      <c r="AC288" s="22"/>
    </row>
    <row r="289" spans="2:29" ht="12.75" customHeight="1" x14ac:dyDescent="0.25">
      <c r="B289" s="42"/>
      <c r="E289" s="23"/>
      <c r="F289" s="23"/>
      <c r="G289" s="24"/>
      <c r="H289" s="22" t="str">
        <f t="shared" si="72"/>
        <v/>
      </c>
      <c r="I289" s="22"/>
      <c r="J289" s="22"/>
      <c r="K289" s="20"/>
      <c r="L289" s="20"/>
      <c r="M289" s="22"/>
      <c r="N289" s="20"/>
      <c r="O289" s="20"/>
      <c r="P289" s="20"/>
      <c r="Q289" s="20"/>
      <c r="R289" s="20"/>
      <c r="S289" s="20"/>
      <c r="T289" s="20"/>
      <c r="U289" s="20"/>
      <c r="V289" s="22"/>
      <c r="W289" s="20"/>
      <c r="X289" s="25"/>
      <c r="Y289" s="25"/>
      <c r="Z289" s="22"/>
      <c r="AA289" s="22"/>
      <c r="AB289" s="21"/>
      <c r="AC289" s="22"/>
    </row>
    <row r="290" spans="2:29" ht="12.75" customHeight="1" x14ac:dyDescent="0.25">
      <c r="B290" s="42"/>
      <c r="E290" s="23"/>
      <c r="F290" s="23"/>
      <c r="G290" s="24"/>
      <c r="H290" s="22" t="str">
        <f t="shared" si="72"/>
        <v/>
      </c>
      <c r="I290" s="22"/>
      <c r="J290" s="22"/>
      <c r="K290" s="20"/>
      <c r="L290" s="20"/>
      <c r="M290" s="22"/>
      <c r="N290" s="20"/>
      <c r="O290" s="20"/>
      <c r="P290" s="20"/>
      <c r="Q290" s="20"/>
      <c r="R290" s="20"/>
      <c r="S290" s="20"/>
      <c r="T290" s="20"/>
      <c r="U290" s="20"/>
      <c r="V290" s="22"/>
      <c r="W290" s="20"/>
      <c r="X290" s="25"/>
      <c r="Y290" s="25"/>
      <c r="Z290" s="22"/>
      <c r="AA290" s="22"/>
      <c r="AB290" s="21"/>
      <c r="AC290" s="22"/>
    </row>
    <row r="291" spans="2:29" ht="12.75" customHeight="1" x14ac:dyDescent="0.25">
      <c r="B291" s="42"/>
      <c r="E291" s="23"/>
      <c r="F291" s="23"/>
      <c r="G291" s="24"/>
      <c r="H291" s="22" t="str">
        <f t="shared" si="72"/>
        <v/>
      </c>
      <c r="I291" s="22"/>
      <c r="J291" s="22"/>
      <c r="K291" s="20"/>
      <c r="L291" s="20"/>
      <c r="M291" s="22"/>
      <c r="N291" s="20"/>
      <c r="O291" s="20"/>
      <c r="P291" s="20"/>
      <c r="Q291" s="20"/>
      <c r="R291" s="20"/>
      <c r="S291" s="20"/>
      <c r="T291" s="20"/>
      <c r="U291" s="20"/>
      <c r="V291" s="22"/>
      <c r="W291" s="20"/>
      <c r="X291" s="25"/>
      <c r="Y291" s="25"/>
      <c r="Z291" s="22"/>
      <c r="AA291" s="22"/>
      <c r="AB291" s="21"/>
      <c r="AC291" s="22"/>
    </row>
    <row r="292" spans="2:29" ht="12.75" customHeight="1" x14ac:dyDescent="0.25">
      <c r="B292" s="42"/>
      <c r="E292" s="23"/>
      <c r="F292" s="23"/>
      <c r="G292" s="24"/>
      <c r="H292" s="22" t="str">
        <f t="shared" si="72"/>
        <v/>
      </c>
      <c r="I292" s="22"/>
      <c r="J292" s="22"/>
      <c r="K292" s="20"/>
      <c r="L292" s="20"/>
      <c r="M292" s="22"/>
      <c r="N292" s="20"/>
      <c r="O292" s="20"/>
      <c r="P292" s="20"/>
      <c r="Q292" s="20"/>
      <c r="R292" s="20"/>
      <c r="S292" s="20"/>
      <c r="T292" s="20"/>
      <c r="U292" s="20"/>
      <c r="V292" s="22"/>
      <c r="W292" s="20"/>
      <c r="X292" s="25"/>
      <c r="Y292" s="25"/>
      <c r="Z292" s="22"/>
      <c r="AA292" s="22"/>
      <c r="AB292" s="21"/>
      <c r="AC292" s="22"/>
    </row>
    <row r="293" spans="2:29" ht="12.75" customHeight="1" x14ac:dyDescent="0.25">
      <c r="B293" s="42"/>
      <c r="E293" s="23"/>
      <c r="F293" s="23"/>
      <c r="G293" s="24"/>
      <c r="H293" s="22" t="str">
        <f t="shared" si="72"/>
        <v/>
      </c>
      <c r="I293" s="22"/>
      <c r="J293" s="22"/>
      <c r="K293" s="20"/>
      <c r="L293" s="20"/>
      <c r="M293" s="22"/>
      <c r="N293" s="20"/>
      <c r="O293" s="20"/>
      <c r="P293" s="20"/>
      <c r="Q293" s="20"/>
      <c r="R293" s="20"/>
      <c r="S293" s="20"/>
      <c r="T293" s="20"/>
      <c r="U293" s="20"/>
      <c r="V293" s="22"/>
      <c r="W293" s="20"/>
      <c r="X293" s="25"/>
      <c r="Y293" s="25"/>
      <c r="Z293" s="22"/>
      <c r="AA293" s="22"/>
      <c r="AB293" s="21"/>
      <c r="AC293" s="22"/>
    </row>
    <row r="294" spans="2:29" ht="12.75" customHeight="1" x14ac:dyDescent="0.25">
      <c r="B294" s="42"/>
      <c r="E294" s="23"/>
      <c r="F294" s="23"/>
      <c r="G294" s="24"/>
      <c r="H294" s="22" t="str">
        <f t="shared" si="72"/>
        <v/>
      </c>
      <c r="I294" s="22"/>
      <c r="J294" s="22"/>
      <c r="K294" s="20"/>
      <c r="L294" s="20"/>
      <c r="M294" s="22"/>
      <c r="N294" s="20"/>
      <c r="O294" s="20"/>
      <c r="P294" s="20"/>
      <c r="Q294" s="20"/>
      <c r="R294" s="20"/>
      <c r="S294" s="20"/>
      <c r="T294" s="20"/>
      <c r="U294" s="20"/>
      <c r="V294" s="22"/>
      <c r="W294" s="20"/>
      <c r="X294" s="25"/>
      <c r="Y294" s="25"/>
      <c r="Z294" s="22"/>
      <c r="AA294" s="22"/>
      <c r="AB294" s="21"/>
      <c r="AC294" s="22"/>
    </row>
    <row r="295" spans="2:29" ht="12.75" customHeight="1" x14ac:dyDescent="0.25">
      <c r="B295" s="42"/>
      <c r="E295" s="23"/>
      <c r="F295" s="23"/>
      <c r="G295" s="24"/>
      <c r="H295" s="22" t="str">
        <f t="shared" si="72"/>
        <v/>
      </c>
      <c r="I295" s="22"/>
      <c r="J295" s="22"/>
      <c r="K295" s="20"/>
      <c r="L295" s="20"/>
      <c r="M295" s="22"/>
      <c r="N295" s="20"/>
      <c r="O295" s="20"/>
      <c r="P295" s="20"/>
      <c r="Q295" s="20"/>
      <c r="R295" s="20"/>
      <c r="S295" s="20"/>
      <c r="T295" s="20"/>
      <c r="U295" s="20"/>
      <c r="V295" s="22"/>
      <c r="W295" s="20"/>
      <c r="X295" s="25"/>
      <c r="Y295" s="25"/>
      <c r="Z295" s="22"/>
      <c r="AA295" s="22"/>
      <c r="AB295" s="21"/>
      <c r="AC295" s="22"/>
    </row>
    <row r="296" spans="2:29" ht="12.75" customHeight="1" x14ac:dyDescent="0.25">
      <c r="B296" s="42"/>
      <c r="E296" s="23"/>
      <c r="F296" s="23"/>
      <c r="G296" s="24"/>
      <c r="H296" s="22" t="str">
        <f t="shared" si="72"/>
        <v/>
      </c>
      <c r="I296" s="22"/>
      <c r="J296" s="22"/>
      <c r="K296" s="20"/>
      <c r="L296" s="20"/>
      <c r="M296" s="22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5"/>
      <c r="Y296" s="25"/>
      <c r="Z296" s="22"/>
      <c r="AA296" s="22"/>
      <c r="AB296" s="21"/>
      <c r="AC296" s="22"/>
    </row>
    <row r="297" spans="2:29" ht="12.75" customHeight="1" x14ac:dyDescent="0.25">
      <c r="B297" s="42"/>
      <c r="E297" s="23"/>
      <c r="F297" s="23"/>
      <c r="G297" s="24"/>
      <c r="H297" s="22" t="str">
        <f t="shared" si="72"/>
        <v/>
      </c>
      <c r="I297" s="22"/>
      <c r="J297" s="22"/>
      <c r="K297" s="20"/>
      <c r="L297" s="20"/>
      <c r="M297" s="22"/>
      <c r="N297" s="20"/>
      <c r="O297" s="20"/>
      <c r="P297" s="20"/>
      <c r="Q297" s="20"/>
      <c r="R297" s="20"/>
      <c r="S297" s="20"/>
      <c r="T297" s="20"/>
      <c r="U297" s="20"/>
      <c r="V297" s="22"/>
      <c r="W297" s="20"/>
      <c r="X297" s="25"/>
      <c r="Y297" s="25"/>
      <c r="Z297" s="22"/>
      <c r="AA297" s="22"/>
      <c r="AB297" s="21"/>
      <c r="AC297" s="22"/>
    </row>
    <row r="298" spans="2:29" ht="12.75" customHeight="1" x14ac:dyDescent="0.25">
      <c r="B298" s="42"/>
      <c r="E298" s="23"/>
      <c r="F298" s="23"/>
      <c r="G298" s="24"/>
      <c r="H298" s="22" t="str">
        <f t="shared" si="72"/>
        <v/>
      </c>
      <c r="I298" s="22"/>
      <c r="J298" s="22"/>
      <c r="K298" s="20"/>
      <c r="L298" s="20"/>
      <c r="M298" s="22"/>
      <c r="N298" s="20"/>
      <c r="O298" s="20"/>
      <c r="P298" s="20"/>
      <c r="Q298" s="20"/>
      <c r="R298" s="20"/>
      <c r="S298" s="20"/>
      <c r="T298" s="20"/>
      <c r="U298" s="20"/>
      <c r="V298" s="22"/>
      <c r="W298" s="20"/>
      <c r="X298" s="25"/>
      <c r="Y298" s="25"/>
      <c r="Z298" s="22"/>
      <c r="AA298" s="22"/>
      <c r="AB298" s="21"/>
      <c r="AC298" s="22"/>
    </row>
    <row r="299" spans="2:29" ht="12.75" customHeight="1" x14ac:dyDescent="0.25">
      <c r="B299" s="42"/>
      <c r="E299" s="23"/>
      <c r="F299" s="23"/>
      <c r="G299" s="24"/>
      <c r="H299" s="22" t="str">
        <f t="shared" si="72"/>
        <v/>
      </c>
      <c r="I299" s="22"/>
      <c r="J299" s="22"/>
      <c r="K299" s="20"/>
      <c r="L299" s="20"/>
      <c r="M299" s="22"/>
      <c r="N299" s="20"/>
      <c r="O299" s="20"/>
      <c r="P299" s="20"/>
      <c r="Q299" s="20"/>
      <c r="R299" s="20"/>
      <c r="S299" s="20"/>
      <c r="T299" s="20"/>
      <c r="U299" s="20"/>
      <c r="V299" s="22"/>
      <c r="W299" s="20"/>
      <c r="X299" s="25"/>
      <c r="Y299" s="25"/>
      <c r="Z299" s="22"/>
      <c r="AA299" s="22"/>
      <c r="AB299" s="21"/>
      <c r="AC299" s="22"/>
    </row>
    <row r="300" spans="2:29" ht="12.75" customHeight="1" x14ac:dyDescent="0.25">
      <c r="B300" s="42"/>
      <c r="E300" s="23"/>
      <c r="F300" s="23"/>
      <c r="G300" s="24"/>
      <c r="H300" s="22" t="str">
        <f t="shared" si="72"/>
        <v/>
      </c>
      <c r="I300" s="22"/>
      <c r="J300" s="22"/>
      <c r="K300" s="20"/>
      <c r="L300" s="20"/>
      <c r="M300" s="22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5"/>
      <c r="Y300" s="25"/>
      <c r="Z300" s="22"/>
      <c r="AA300" s="22"/>
      <c r="AB300" s="21"/>
      <c r="AC300" s="22"/>
    </row>
    <row r="301" spans="2:29" ht="12.75" customHeight="1" x14ac:dyDescent="0.25">
      <c r="B301" s="42"/>
      <c r="E301" s="23"/>
      <c r="F301" s="23"/>
      <c r="G301" s="24"/>
      <c r="H301" s="22" t="str">
        <f t="shared" si="72"/>
        <v/>
      </c>
      <c r="I301" s="22"/>
      <c r="J301" s="22"/>
      <c r="K301" s="20"/>
      <c r="L301" s="20"/>
      <c r="M301" s="22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5"/>
      <c r="Y301" s="25"/>
      <c r="Z301" s="22"/>
      <c r="AA301" s="22"/>
      <c r="AB301" s="21"/>
      <c r="AC301" s="22"/>
    </row>
    <row r="302" spans="2:29" ht="12.75" customHeight="1" x14ac:dyDescent="0.25">
      <c r="B302" s="42"/>
      <c r="E302" s="23"/>
      <c r="F302" s="23"/>
      <c r="G302" s="24"/>
      <c r="H302" s="22" t="str">
        <f t="shared" si="72"/>
        <v/>
      </c>
      <c r="I302" s="22"/>
      <c r="J302" s="22"/>
      <c r="K302" s="20"/>
      <c r="L302" s="20"/>
      <c r="M302" s="22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5"/>
      <c r="Y302" s="25"/>
      <c r="Z302" s="22"/>
      <c r="AA302" s="22"/>
      <c r="AB302" s="21"/>
      <c r="AC302" s="22"/>
    </row>
    <row r="303" spans="2:29" ht="12.75" customHeight="1" x14ac:dyDescent="0.25">
      <c r="B303" s="42"/>
      <c r="E303" s="23"/>
      <c r="F303" s="23"/>
      <c r="G303" s="24"/>
      <c r="H303" s="22" t="str">
        <f t="shared" ref="H303:H329" si="73">IF(E303&lt;&gt;"",F303-E303,"")</f>
        <v/>
      </c>
      <c r="I303" s="22"/>
      <c r="J303" s="22"/>
      <c r="K303" s="20"/>
      <c r="L303" s="20"/>
      <c r="M303" s="22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5"/>
      <c r="Y303" s="25"/>
      <c r="Z303" s="22"/>
      <c r="AA303" s="22"/>
      <c r="AB303" s="21"/>
      <c r="AC303" s="22"/>
    </row>
    <row r="304" spans="2:29" ht="12.75" customHeight="1" x14ac:dyDescent="0.25">
      <c r="B304" s="42"/>
      <c r="E304" s="23"/>
      <c r="F304" s="23"/>
      <c r="G304" s="24"/>
      <c r="H304" s="22" t="str">
        <f t="shared" si="73"/>
        <v/>
      </c>
      <c r="I304" s="22"/>
      <c r="J304" s="22"/>
      <c r="K304" s="20"/>
      <c r="L304" s="20"/>
      <c r="M304" s="22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5"/>
      <c r="Y304" s="25"/>
      <c r="Z304" s="22"/>
      <c r="AA304" s="22"/>
      <c r="AB304" s="21"/>
      <c r="AC304" s="22"/>
    </row>
    <row r="305" spans="2:29" ht="12.75" customHeight="1" x14ac:dyDescent="0.25">
      <c r="B305" s="42"/>
      <c r="E305" s="23"/>
      <c r="F305" s="23"/>
      <c r="G305" s="24"/>
      <c r="H305" s="22" t="str">
        <f t="shared" si="73"/>
        <v/>
      </c>
      <c r="I305" s="22"/>
      <c r="J305" s="22"/>
      <c r="K305" s="20"/>
      <c r="L305" s="20"/>
      <c r="M305" s="22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5"/>
      <c r="Y305" s="25"/>
      <c r="Z305" s="22"/>
      <c r="AA305" s="22"/>
      <c r="AB305" s="21"/>
      <c r="AC305" s="22"/>
    </row>
    <row r="306" spans="2:29" ht="12.75" customHeight="1" x14ac:dyDescent="0.25">
      <c r="B306" s="42"/>
      <c r="E306" s="23"/>
      <c r="F306" s="23"/>
      <c r="G306" s="24"/>
      <c r="H306" s="22" t="str">
        <f t="shared" si="73"/>
        <v/>
      </c>
      <c r="I306" s="22"/>
      <c r="J306" s="22"/>
      <c r="K306" s="20"/>
      <c r="L306" s="20"/>
      <c r="M306" s="22"/>
      <c r="N306" s="20"/>
      <c r="O306" s="20"/>
      <c r="P306" s="20"/>
      <c r="Q306" s="20"/>
      <c r="R306" s="20"/>
      <c r="S306" s="20"/>
      <c r="T306" s="20"/>
      <c r="U306" s="20"/>
      <c r="V306" s="20"/>
      <c r="W306" s="22"/>
      <c r="X306" s="25"/>
      <c r="Y306" s="25"/>
      <c r="Z306" s="22"/>
      <c r="AA306" s="22"/>
      <c r="AB306" s="25"/>
      <c r="AC306" s="22"/>
    </row>
    <row r="307" spans="2:29" ht="12.75" customHeight="1" x14ac:dyDescent="0.25">
      <c r="B307" s="42"/>
      <c r="E307" s="23"/>
      <c r="F307" s="23"/>
      <c r="G307" s="24"/>
      <c r="H307" s="22" t="str">
        <f t="shared" si="73"/>
        <v/>
      </c>
      <c r="I307" s="22"/>
      <c r="J307" s="22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2"/>
      <c r="X307" s="20"/>
      <c r="Y307" s="20"/>
      <c r="Z307" s="20"/>
      <c r="AA307" s="22"/>
      <c r="AB307" s="21"/>
      <c r="AC307" s="22"/>
    </row>
    <row r="308" spans="2:29" ht="12.75" customHeight="1" x14ac:dyDescent="0.25">
      <c r="B308" s="42"/>
      <c r="E308" s="23"/>
      <c r="F308" s="23"/>
      <c r="G308" s="24"/>
      <c r="H308" s="22" t="str">
        <f t="shared" si="73"/>
        <v/>
      </c>
      <c r="I308" s="22"/>
      <c r="J308" s="22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2"/>
      <c r="X308" s="20"/>
      <c r="Y308" s="20"/>
      <c r="Z308" s="20"/>
      <c r="AA308" s="22"/>
      <c r="AB308" s="21"/>
      <c r="AC308" s="22"/>
    </row>
    <row r="309" spans="2:29" ht="12.75" customHeight="1" x14ac:dyDescent="0.25">
      <c r="B309" s="42"/>
      <c r="E309" s="23"/>
      <c r="F309" s="23"/>
      <c r="G309" s="24"/>
      <c r="H309" s="22" t="str">
        <f t="shared" si="73"/>
        <v/>
      </c>
      <c r="I309" s="22"/>
      <c r="J309" s="22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2"/>
      <c r="X309" s="20"/>
      <c r="Y309" s="20"/>
      <c r="Z309" s="20"/>
      <c r="AA309" s="22"/>
      <c r="AB309" s="21"/>
      <c r="AC309" s="22"/>
    </row>
    <row r="310" spans="2:29" ht="12.75" customHeight="1" x14ac:dyDescent="0.25">
      <c r="B310" s="42"/>
      <c r="E310" s="23"/>
      <c r="F310" s="23"/>
      <c r="G310" s="24"/>
      <c r="H310" s="22" t="str">
        <f t="shared" si="73"/>
        <v/>
      </c>
      <c r="I310" s="22"/>
      <c r="J310" s="22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2"/>
      <c r="X310" s="20"/>
      <c r="Y310" s="20"/>
      <c r="Z310" s="20"/>
      <c r="AA310" s="22"/>
      <c r="AB310" s="21"/>
      <c r="AC310" s="22"/>
    </row>
    <row r="311" spans="2:29" ht="12.75" customHeight="1" x14ac:dyDescent="0.25">
      <c r="B311" s="42"/>
      <c r="E311" s="23"/>
      <c r="F311" s="23"/>
      <c r="G311" s="24"/>
      <c r="H311" s="22" t="str">
        <f t="shared" si="73"/>
        <v/>
      </c>
      <c r="I311" s="22"/>
      <c r="J311" s="22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2"/>
      <c r="X311" s="20"/>
      <c r="Y311" s="20"/>
      <c r="Z311" s="20"/>
      <c r="AA311" s="22"/>
      <c r="AB311" s="21"/>
      <c r="AC311" s="22"/>
    </row>
    <row r="312" spans="2:29" ht="12.75" customHeight="1" x14ac:dyDescent="0.25">
      <c r="B312" s="42"/>
      <c r="E312" s="23"/>
      <c r="F312" s="23"/>
      <c r="G312" s="24"/>
      <c r="H312" s="22" t="str">
        <f t="shared" si="73"/>
        <v/>
      </c>
      <c r="I312" s="22"/>
      <c r="J312" s="22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2"/>
      <c r="AB312" s="21"/>
      <c r="AC312" s="22"/>
    </row>
    <row r="313" spans="2:29" ht="12.75" customHeight="1" x14ac:dyDescent="0.25">
      <c r="B313" s="42"/>
      <c r="E313" s="23"/>
      <c r="F313" s="23"/>
      <c r="G313" s="24"/>
      <c r="H313" s="22" t="str">
        <f t="shared" si="73"/>
        <v/>
      </c>
      <c r="I313" s="22"/>
      <c r="J313" s="22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2"/>
      <c r="AB313" s="21"/>
      <c r="AC313" s="22"/>
    </row>
    <row r="314" spans="2:29" ht="12.75" customHeight="1" x14ac:dyDescent="0.25">
      <c r="B314" s="42"/>
      <c r="E314" s="23"/>
      <c r="F314" s="23"/>
      <c r="G314" s="26"/>
      <c r="H314" s="22" t="str">
        <f t="shared" si="73"/>
        <v/>
      </c>
      <c r="I314" s="22"/>
      <c r="J314" s="22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2"/>
      <c r="AB314" s="21"/>
      <c r="AC314" s="22"/>
    </row>
    <row r="315" spans="2:29" ht="12.75" customHeight="1" x14ac:dyDescent="0.25">
      <c r="B315" s="42"/>
      <c r="E315" s="23"/>
      <c r="F315" s="23"/>
      <c r="G315" s="26"/>
      <c r="H315" s="22" t="str">
        <f t="shared" si="73"/>
        <v/>
      </c>
      <c r="I315" s="22"/>
      <c r="J315" s="22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2"/>
      <c r="AB315" s="21"/>
      <c r="AC315" s="22"/>
    </row>
    <row r="316" spans="2:29" ht="12.75" customHeight="1" x14ac:dyDescent="0.25">
      <c r="B316" s="42"/>
      <c r="E316" s="23"/>
      <c r="F316" s="23"/>
      <c r="G316" s="26"/>
      <c r="H316" s="22" t="str">
        <f t="shared" si="73"/>
        <v/>
      </c>
      <c r="I316" s="22"/>
      <c r="J316" s="22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2"/>
      <c r="AB316" s="21"/>
      <c r="AC316" s="22"/>
    </row>
    <row r="317" spans="2:29" ht="12.75" customHeight="1" x14ac:dyDescent="0.25">
      <c r="B317" s="42"/>
      <c r="E317" s="23"/>
      <c r="F317" s="23"/>
      <c r="G317" s="24"/>
      <c r="H317" s="22" t="str">
        <f t="shared" si="73"/>
        <v/>
      </c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5"/>
      <c r="Y317" s="20"/>
      <c r="Z317" s="20"/>
      <c r="AA317" s="22"/>
      <c r="AB317" s="21"/>
      <c r="AC317" s="22"/>
    </row>
    <row r="318" spans="2:29" ht="12.75" customHeight="1" x14ac:dyDescent="0.25">
      <c r="B318" s="42"/>
      <c r="E318" s="23"/>
      <c r="F318" s="23"/>
      <c r="G318" s="24"/>
      <c r="H318" s="22" t="str">
        <f t="shared" si="73"/>
        <v/>
      </c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5"/>
      <c r="Y318" s="20"/>
      <c r="Z318" s="20"/>
      <c r="AA318" s="22"/>
      <c r="AB318" s="21"/>
      <c r="AC318" s="22"/>
    </row>
    <row r="319" spans="2:29" ht="12.75" customHeight="1" x14ac:dyDescent="0.25">
      <c r="B319" s="42"/>
      <c r="E319" s="23"/>
      <c r="F319" s="23"/>
      <c r="G319" s="24"/>
      <c r="H319" s="22" t="str">
        <f t="shared" si="73"/>
        <v/>
      </c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5"/>
      <c r="Y319" s="20"/>
      <c r="Z319" s="20"/>
      <c r="AA319" s="22"/>
      <c r="AB319" s="21"/>
      <c r="AC319" s="22"/>
    </row>
    <row r="320" spans="2:29" ht="12.75" customHeight="1" x14ac:dyDescent="0.25">
      <c r="B320" s="42"/>
      <c r="E320" s="23"/>
      <c r="F320" s="23"/>
      <c r="G320" s="24"/>
      <c r="H320" s="22" t="str">
        <f t="shared" si="73"/>
        <v/>
      </c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5"/>
      <c r="Y320" s="20"/>
      <c r="Z320" s="20"/>
      <c r="AA320" s="22"/>
      <c r="AB320" s="21"/>
      <c r="AC320" s="22"/>
    </row>
    <row r="321" spans="2:29" ht="12.75" customHeight="1" x14ac:dyDescent="0.25">
      <c r="B321" s="42"/>
      <c r="E321" s="23"/>
      <c r="F321" s="23"/>
      <c r="G321" s="24"/>
      <c r="H321" s="22" t="str">
        <f t="shared" si="73"/>
        <v/>
      </c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5"/>
      <c r="Y321" s="20"/>
      <c r="Z321" s="20"/>
      <c r="AA321" s="22"/>
      <c r="AB321" s="21"/>
      <c r="AC321" s="22"/>
    </row>
    <row r="322" spans="2:29" ht="12.75" customHeight="1" x14ac:dyDescent="0.25">
      <c r="B322" s="42"/>
      <c r="E322" s="23"/>
      <c r="F322" s="23"/>
      <c r="G322" s="24"/>
      <c r="H322" s="22" t="str">
        <f t="shared" si="73"/>
        <v/>
      </c>
      <c r="I322" s="22"/>
      <c r="J322" s="22"/>
      <c r="K322" s="20"/>
      <c r="L322" s="20"/>
      <c r="M322" s="22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5"/>
      <c r="Y322" s="25"/>
      <c r="Z322" s="22"/>
      <c r="AA322" s="22"/>
      <c r="AB322" s="21"/>
      <c r="AC322" s="22"/>
    </row>
    <row r="323" spans="2:29" ht="12.75" customHeight="1" x14ac:dyDescent="0.25">
      <c r="B323" s="42"/>
      <c r="E323" s="23"/>
      <c r="F323" s="23"/>
      <c r="G323" s="24"/>
      <c r="H323" s="22" t="str">
        <f t="shared" si="73"/>
        <v/>
      </c>
      <c r="I323" s="22"/>
      <c r="J323" s="22"/>
      <c r="K323" s="20"/>
      <c r="L323" s="20"/>
      <c r="M323" s="22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5"/>
      <c r="Y323" s="25"/>
      <c r="Z323" s="22"/>
      <c r="AA323" s="22"/>
      <c r="AB323" s="21"/>
      <c r="AC323" s="22"/>
    </row>
    <row r="324" spans="2:29" ht="12.75" customHeight="1" x14ac:dyDescent="0.25">
      <c r="B324" s="42"/>
      <c r="E324" s="23"/>
      <c r="F324" s="23"/>
      <c r="G324" s="24"/>
      <c r="H324" s="22" t="str">
        <f t="shared" si="73"/>
        <v/>
      </c>
      <c r="I324" s="22"/>
      <c r="J324" s="22"/>
      <c r="K324" s="20"/>
      <c r="L324" s="20"/>
      <c r="M324" s="22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5"/>
      <c r="Y324" s="25"/>
      <c r="Z324" s="22"/>
      <c r="AA324" s="22"/>
      <c r="AB324" s="21"/>
      <c r="AC324" s="22"/>
    </row>
    <row r="325" spans="2:29" ht="12.75" customHeight="1" x14ac:dyDescent="0.25">
      <c r="B325" s="42"/>
      <c r="E325" s="23"/>
      <c r="F325" s="23"/>
      <c r="G325" s="24"/>
      <c r="H325" s="22" t="str">
        <f t="shared" si="73"/>
        <v/>
      </c>
      <c r="I325" s="22"/>
      <c r="J325" s="22"/>
      <c r="K325" s="20"/>
      <c r="L325" s="20"/>
      <c r="M325" s="22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5"/>
      <c r="Y325" s="25"/>
      <c r="Z325" s="22"/>
      <c r="AA325" s="22"/>
      <c r="AB325" s="21"/>
      <c r="AC325" s="22"/>
    </row>
    <row r="326" spans="2:29" ht="12.75" customHeight="1" x14ac:dyDescent="0.25">
      <c r="B326" s="42"/>
      <c r="E326" s="27"/>
      <c r="F326" s="27"/>
      <c r="G326" s="26"/>
      <c r="H326" s="28" t="str">
        <f t="shared" si="73"/>
        <v/>
      </c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9"/>
      <c r="Y326" s="29"/>
      <c r="Z326" s="28"/>
      <c r="AA326" s="28"/>
      <c r="AB326" s="29"/>
      <c r="AC326" s="28"/>
    </row>
    <row r="327" spans="2:29" ht="12.75" customHeight="1" x14ac:dyDescent="0.25">
      <c r="B327" s="42"/>
      <c r="E327" s="27"/>
      <c r="F327" s="27"/>
      <c r="G327" s="26"/>
      <c r="H327" s="28" t="str">
        <f t="shared" si="73"/>
        <v/>
      </c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9"/>
      <c r="Y327" s="29"/>
      <c r="Z327" s="28"/>
      <c r="AA327" s="28"/>
      <c r="AB327" s="29"/>
      <c r="AC327" s="28"/>
    </row>
    <row r="328" spans="2:29" ht="12.75" customHeight="1" x14ac:dyDescent="0.25">
      <c r="B328" s="42"/>
      <c r="E328" s="27"/>
      <c r="F328" s="27"/>
      <c r="G328" s="26"/>
      <c r="H328" s="28" t="str">
        <f t="shared" si="73"/>
        <v/>
      </c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9"/>
      <c r="Y328" s="29"/>
      <c r="Z328" s="28"/>
      <c r="AA328" s="28"/>
      <c r="AB328" s="29"/>
      <c r="AC328" s="28"/>
    </row>
    <row r="329" spans="2:29" ht="12.75" customHeight="1" thickBot="1" x14ac:dyDescent="0.3">
      <c r="B329" s="43"/>
      <c r="E329" s="30"/>
      <c r="F329" s="31"/>
      <c r="G329" s="26"/>
      <c r="H329" s="26" t="str">
        <f t="shared" si="73"/>
        <v/>
      </c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9"/>
      <c r="Y329" s="29"/>
      <c r="Z329" s="28"/>
      <c r="AA329" s="28"/>
      <c r="AB329" s="29"/>
      <c r="AC329" s="28"/>
    </row>
    <row r="330" spans="2:29" ht="12.75" customHeight="1" thickBot="1" x14ac:dyDescent="0.3">
      <c r="E330" s="508" t="s">
        <v>4</v>
      </c>
      <c r="F330" s="509"/>
      <c r="G330" s="509"/>
      <c r="H330" s="509"/>
      <c r="I330" s="509"/>
      <c r="J330" s="510"/>
      <c r="K330" s="32" t="str">
        <f>IF(K253="","",IF(K270="","",IF(SUM(K271:K329)&lt;&gt;0,SUM(K271:K329),"")))</f>
        <v/>
      </c>
      <c r="L330" s="32" t="str">
        <f t="shared" ref="L330" si="74">IF(L253="","",IF(L270="","",IF(SUM(L271:L329)&lt;&gt;0,SUM(L271:L329),"")))</f>
        <v/>
      </c>
      <c r="M330" s="32" t="str">
        <f t="shared" ref="M330" si="75">IF(M253="","",IF(M270="","",IF(SUM(M271:M329)&lt;&gt;0,SUM(M271:M329),"")))</f>
        <v/>
      </c>
      <c r="N330" s="32" t="str">
        <f t="shared" ref="N330" si="76">IF(N253="","",IF(N270="","",IF(SUM(N271:N329)&lt;&gt;0,SUM(N271:N329),"")))</f>
        <v/>
      </c>
      <c r="O330" s="32" t="str">
        <f t="shared" ref="O330" si="77">IF(O253="","",IF(O270="","",IF(SUM(O271:O329)&lt;&gt;0,SUM(O271:O329),"")))</f>
        <v/>
      </c>
      <c r="P330" s="32" t="str">
        <f t="shared" ref="P330" si="78">IF(P253="","",IF(P270="","",IF(SUM(P271:P329)&lt;&gt;0,SUM(P271:P329),"")))</f>
        <v/>
      </c>
      <c r="Q330" s="32" t="str">
        <f t="shared" ref="Q330" si="79">IF(Q253="","",IF(Q270="","",IF(SUM(Q271:Q329)&lt;&gt;0,SUM(Q271:Q329),"")))</f>
        <v/>
      </c>
      <c r="R330" s="32" t="str">
        <f t="shared" ref="R330" si="80">IF(R253="","",IF(R270="","",IF(SUM(R271:R329)&lt;&gt;0,SUM(R271:R329),"")))</f>
        <v/>
      </c>
      <c r="S330" s="32" t="str">
        <f t="shared" ref="S330" si="81">IF(S253="","",IF(S270="","",IF(SUM(S271:S329)&lt;&gt;0,SUM(S271:S329),"")))</f>
        <v/>
      </c>
      <c r="T330" s="32"/>
      <c r="U330" s="32" t="str">
        <f t="shared" ref="U330" si="82">IF(U253="","",IF(U270="","",IF(SUM(U271:U329)&lt;&gt;0,SUM(U271:U329),"")))</f>
        <v/>
      </c>
      <c r="V330" s="32" t="str">
        <f t="shared" ref="V330" si="83">IF(V253="","",IF(V270="","",IF(SUM(V271:V329)&lt;&gt;0,SUM(V271:V329),"")))</f>
        <v/>
      </c>
      <c r="W330" s="32" t="str">
        <f t="shared" ref="W330" si="84">IF(W253="","",IF(W270="","",IF(SUM(W271:W329)&lt;&gt;0,SUM(W271:W329),"")))</f>
        <v/>
      </c>
      <c r="X330" s="32" t="str">
        <f t="shared" ref="X330" si="85">IF(X253="","",IF(X270="","",IF(SUM(X271:X329)&lt;&gt;0,SUM(X271:X329),"")))</f>
        <v/>
      </c>
      <c r="Y330" s="32" t="str">
        <f t="shared" ref="Y330" si="86">IF(Y253="","",IF(Y270="","",IF(SUM(Y271:Y329)&lt;&gt;0,SUM(Y271:Y329),"")))</f>
        <v/>
      </c>
      <c r="Z330" s="32" t="str">
        <f t="shared" ref="Z330" si="87">IF(Z253="","",IF(Z270="","",IF(SUM(Z271:Z329)&lt;&gt;0,SUM(Z271:Z329),"")))</f>
        <v/>
      </c>
      <c r="AA330" s="32" t="str">
        <f t="shared" ref="AA330" si="88">IF(AA253="","",IF(AA270="","",IF(SUM(AA271:AA329)&lt;&gt;0,SUM(AA271:AA329),"")))</f>
        <v/>
      </c>
      <c r="AB330" s="32" t="str">
        <f t="shared" ref="AB330" si="89">IF(AB253="","",IF(AB270="","",IF(SUM(AB271:AB329)&lt;&gt;0,SUM(AB271:AB329),"")))</f>
        <v/>
      </c>
      <c r="AC330" s="32" t="str">
        <f t="shared" ref="AC330" si="90">IF(AC253="","",IF(AC270="","",IF(SUM(AC271:AC329)&lt;&gt;0,SUM(AC271:AC329),"")))</f>
        <v/>
      </c>
    </row>
    <row r="331" spans="2:29" ht="12.75" customHeight="1" x14ac:dyDescent="0.25">
      <c r="B331" s="6" t="s">
        <v>17</v>
      </c>
      <c r="E331" s="511" t="s">
        <v>5</v>
      </c>
      <c r="F331" s="512"/>
      <c r="G331" s="512"/>
      <c r="H331" s="512"/>
      <c r="I331" s="512"/>
      <c r="J331" s="513"/>
      <c r="K331" s="33" t="str">
        <f>IF(K253="","",IF(K270="",IF(SUM(COUNTIF(K271:K329,"LS")+COUNTIF(K271:K329,"LUMP"))&gt;0,"LS",""),IF(K330&lt;&gt;"",ROUNDUP(K330,0),"")))</f>
        <v/>
      </c>
      <c r="L331" s="33" t="str">
        <f t="shared" ref="L331" si="91">IF(L253="","",IF(L270="",IF(SUM(COUNTIF(L271:L329,"LS")+COUNTIF(L271:L329,"LUMP"))&gt;0,"LS",""),IF(L330&lt;&gt;"",ROUNDUP(L330,0),"")))</f>
        <v/>
      </c>
      <c r="M331" s="33" t="str">
        <f t="shared" ref="M331" si="92">IF(M253="","",IF(M270="",IF(SUM(COUNTIF(M271:M329,"LS")+COUNTIF(M271:M329,"LUMP"))&gt;0,"LS",""),IF(M330&lt;&gt;"",ROUNDUP(M330,0),"")))</f>
        <v/>
      </c>
      <c r="N331" s="33" t="str">
        <f t="shared" ref="N331" si="93">IF(N253="","",IF(N270="",IF(SUM(COUNTIF(N271:N329,"LS")+COUNTIF(N271:N329,"LUMP"))&gt;0,"LS",""),IF(N330&lt;&gt;"",ROUNDUP(N330,0),"")))</f>
        <v/>
      </c>
      <c r="O331" s="33" t="str">
        <f t="shared" ref="O331" si="94">IF(O253="","",IF(O270="",IF(SUM(COUNTIF(O271:O329,"LS")+COUNTIF(O271:O329,"LUMP"))&gt;0,"LS",""),IF(O330&lt;&gt;"",ROUNDUP(O330,0),"")))</f>
        <v/>
      </c>
      <c r="P331" s="33" t="str">
        <f t="shared" ref="P331" si="95">IF(P253="","",IF(P270="",IF(SUM(COUNTIF(P271:P329,"LS")+COUNTIF(P271:P329,"LUMP"))&gt;0,"LS",""),IF(P330&lt;&gt;"",ROUNDUP(P330,0),"")))</f>
        <v/>
      </c>
      <c r="Q331" s="33" t="str">
        <f t="shared" ref="Q331" si="96">IF(Q253="","",IF(Q270="",IF(SUM(COUNTIF(Q271:Q329,"LS")+COUNTIF(Q271:Q329,"LUMP"))&gt;0,"LS",""),IF(Q330&lt;&gt;"",ROUNDUP(Q330,0),"")))</f>
        <v/>
      </c>
      <c r="R331" s="33" t="str">
        <f t="shared" ref="R331" si="97">IF(R253="","",IF(R270="",IF(SUM(COUNTIF(R271:R329,"LS")+COUNTIF(R271:R329,"LUMP"))&gt;0,"LS",""),IF(R330&lt;&gt;"",ROUNDUP(R330,0),"")))</f>
        <v/>
      </c>
      <c r="S331" s="33" t="str">
        <f t="shared" ref="S331" si="98">IF(S253="","",IF(S270="",IF(SUM(COUNTIF(S271:S329,"LS")+COUNTIF(S271:S329,"LUMP"))&gt;0,"LS",""),IF(S330&lt;&gt;"",ROUNDUP(S330,0),"")))</f>
        <v/>
      </c>
      <c r="T331" s="33"/>
      <c r="U331" s="33" t="str">
        <f t="shared" ref="U331" si="99">IF(U253="","",IF(U270="",IF(SUM(COUNTIF(U271:U329,"LS")+COUNTIF(U271:U329,"LUMP"))&gt;0,"LS",""),IF(U330&lt;&gt;"",ROUNDUP(U330,0),"")))</f>
        <v/>
      </c>
      <c r="V331" s="33" t="str">
        <f t="shared" ref="V331" si="100">IF(V253="","",IF(V270="",IF(SUM(COUNTIF(V271:V329,"LS")+COUNTIF(V271:V329,"LUMP"))&gt;0,"LS",""),IF(V330&lt;&gt;"",ROUNDUP(V330,0),"")))</f>
        <v/>
      </c>
      <c r="W331" s="33" t="str">
        <f t="shared" ref="W331" si="101">IF(W253="","",IF(W270="",IF(SUM(COUNTIF(W271:W329,"LS")+COUNTIF(W271:W329,"LUMP"))&gt;0,"LS",""),IF(W330&lt;&gt;"",ROUNDUP(W330,0),"")))</f>
        <v/>
      </c>
      <c r="X331" s="33" t="str">
        <f t="shared" ref="X331" si="102">IF(X253="","",IF(X270="",IF(SUM(COUNTIF(X271:X329,"LS")+COUNTIF(X271:X329,"LUMP"))&gt;0,"LS",""),IF(X330&lt;&gt;"",ROUNDUP(X330,0),"")))</f>
        <v/>
      </c>
      <c r="Y331" s="33" t="str">
        <f t="shared" ref="Y331" si="103">IF(Y253="","",IF(Y270="",IF(SUM(COUNTIF(Y271:Y329,"LS")+COUNTIF(Y271:Y329,"LUMP"))&gt;0,"LS",""),IF(Y330&lt;&gt;"",ROUNDUP(Y330,0),"")))</f>
        <v/>
      </c>
      <c r="Z331" s="33" t="str">
        <f t="shared" ref="Z331" si="104">IF(Z253="","",IF(Z270="",IF(SUM(COUNTIF(Z271:Z329,"LS")+COUNTIF(Z271:Z329,"LUMP"))&gt;0,"LS",""),IF(Z330&lt;&gt;"",ROUNDUP(Z330,0),"")))</f>
        <v/>
      </c>
      <c r="AA331" s="33" t="str">
        <f t="shared" ref="AA331" si="105">IF(AA253="","",IF(AA270="",IF(SUM(COUNTIF(AA271:AA329,"LS")+COUNTIF(AA271:AA329,"LUMP"))&gt;0,"LS",""),IF(AA330&lt;&gt;"",ROUNDUP(AA330,0),"")))</f>
        <v/>
      </c>
      <c r="AB331" s="33" t="str">
        <f t="shared" ref="AB331" si="106">IF(AB253="","",IF(AB270="",IF(SUM(COUNTIF(AB271:AB329,"LS")+COUNTIF(AB271:AB329,"LUMP"))&gt;0,"LS",""),IF(AB330&lt;&gt;"",ROUNDUP(AB330,0),"")))</f>
        <v/>
      </c>
      <c r="AC331" s="33" t="str">
        <f t="shared" ref="AC331" si="107">IF(AC253="","",IF(AC270="",IF(SUM(COUNTIF(AC271:AC329,"LS")+COUNTIF(AC271:AC329,"LUMP"))&gt;0,"LS",""),IF(AC330&lt;&gt;"",ROUNDUP(AC330,0),"")))</f>
        <v/>
      </c>
    </row>
  </sheetData>
  <mergeCells count="121">
    <mergeCell ref="E63:F63"/>
    <mergeCell ref="E110:F110"/>
    <mergeCell ref="E90:AC90"/>
    <mergeCell ref="T15:T26"/>
    <mergeCell ref="T96:T107"/>
    <mergeCell ref="V96:V107"/>
    <mergeCell ref="O96:O107"/>
    <mergeCell ref="P96:P107"/>
    <mergeCell ref="Q96:Q107"/>
    <mergeCell ref="R96:R107"/>
    <mergeCell ref="S96:S107"/>
    <mergeCell ref="K96:K107"/>
    <mergeCell ref="L96:L107"/>
    <mergeCell ref="M96:M107"/>
    <mergeCell ref="N96:N107"/>
    <mergeCell ref="E44:F44"/>
    <mergeCell ref="D88:G88"/>
    <mergeCell ref="H88:I88"/>
    <mergeCell ref="D14:D27"/>
    <mergeCell ref="G14:G27"/>
    <mergeCell ref="E29:F29"/>
    <mergeCell ref="D95:D108"/>
    <mergeCell ref="G95:G108"/>
    <mergeCell ref="X258:X269"/>
    <mergeCell ref="Y258:Y269"/>
    <mergeCell ref="Z258:Z269"/>
    <mergeCell ref="AA258:AA269"/>
    <mergeCell ref="AB258:AB269"/>
    <mergeCell ref="AC258:AC269"/>
    <mergeCell ref="X96:X107"/>
    <mergeCell ref="Y96:Y107"/>
    <mergeCell ref="Z96:Z107"/>
    <mergeCell ref="AA96:AA107"/>
    <mergeCell ref="AB96:AB107"/>
    <mergeCell ref="AC96:AC107"/>
    <mergeCell ref="AC177:AC188"/>
    <mergeCell ref="AA177:AA188"/>
    <mergeCell ref="AB177:AB188"/>
    <mergeCell ref="V177:V188"/>
    <mergeCell ref="U177:U188"/>
    <mergeCell ref="D169:J169"/>
    <mergeCell ref="E95:F107"/>
    <mergeCell ref="J176:J188"/>
    <mergeCell ref="W177:W188"/>
    <mergeCell ref="X177:X188"/>
    <mergeCell ref="Y177:Y188"/>
    <mergeCell ref="Z177:Z188"/>
    <mergeCell ref="K177:K188"/>
    <mergeCell ref="L177:L188"/>
    <mergeCell ref="M177:M188"/>
    <mergeCell ref="N177:N188"/>
    <mergeCell ref="O177:O188"/>
    <mergeCell ref="P177:P188"/>
    <mergeCell ref="Q177:Q188"/>
    <mergeCell ref="R177:R188"/>
    <mergeCell ref="S177:S188"/>
    <mergeCell ref="D168:J168"/>
    <mergeCell ref="D166:G166"/>
    <mergeCell ref="D167:F167"/>
    <mergeCell ref="G167:H167"/>
    <mergeCell ref="E270:F270"/>
    <mergeCell ref="E330:J330"/>
    <mergeCell ref="E331:J331"/>
    <mergeCell ref="E257:F269"/>
    <mergeCell ref="G257:G269"/>
    <mergeCell ref="H257:H269"/>
    <mergeCell ref="I257:I269"/>
    <mergeCell ref="U96:U107"/>
    <mergeCell ref="W258:W269"/>
    <mergeCell ref="K258:K269"/>
    <mergeCell ref="L258:L269"/>
    <mergeCell ref="M258:M269"/>
    <mergeCell ref="N258:N269"/>
    <mergeCell ref="O258:O269"/>
    <mergeCell ref="P258:P269"/>
    <mergeCell ref="Q258:Q269"/>
    <mergeCell ref="R258:R269"/>
    <mergeCell ref="E189:F189"/>
    <mergeCell ref="E249:J249"/>
    <mergeCell ref="E250:J250"/>
    <mergeCell ref="I176:I188"/>
    <mergeCell ref="H95:H107"/>
    <mergeCell ref="I95:I107"/>
    <mergeCell ref="J95:J107"/>
    <mergeCell ref="E9:AC9"/>
    <mergeCell ref="I14:I26"/>
    <mergeCell ref="J14:J26"/>
    <mergeCell ref="E14:F26"/>
    <mergeCell ref="O15:O26"/>
    <mergeCell ref="P15:P26"/>
    <mergeCell ref="Q15:Q26"/>
    <mergeCell ref="R15:R26"/>
    <mergeCell ref="K15:K26"/>
    <mergeCell ref="L15:L26"/>
    <mergeCell ref="M15:M26"/>
    <mergeCell ref="N15:N26"/>
    <mergeCell ref="U15:U26"/>
    <mergeCell ref="B95:B108"/>
    <mergeCell ref="B176:B189"/>
    <mergeCell ref="B257:B270"/>
    <mergeCell ref="V15:V26"/>
    <mergeCell ref="W15:W26"/>
    <mergeCell ref="X15:X26"/>
    <mergeCell ref="AC15:AC26"/>
    <mergeCell ref="Y15:Y26"/>
    <mergeCell ref="Z15:Z26"/>
    <mergeCell ref="AA15:AA26"/>
    <mergeCell ref="AB15:AB26"/>
    <mergeCell ref="B14:B27"/>
    <mergeCell ref="H14:H26"/>
    <mergeCell ref="S15:S26"/>
    <mergeCell ref="E252:AC252"/>
    <mergeCell ref="W96:W107"/>
    <mergeCell ref="E171:AC171"/>
    <mergeCell ref="E176:F188"/>
    <mergeCell ref="G176:G188"/>
    <mergeCell ref="J257:J269"/>
    <mergeCell ref="H176:H188"/>
    <mergeCell ref="S258:S269"/>
    <mergeCell ref="U258:U269"/>
    <mergeCell ref="V258:V269"/>
  </mergeCells>
  <phoneticPr fontId="1" type="noConversion"/>
  <printOptions verticalCentered="1"/>
  <pageMargins left="0.25" right="0.25" top="0.75" bottom="0.75" header="0.3" footer="0.3"/>
  <pageSetup scale="3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 Pavement Part 1</vt:lpstr>
      <vt:lpstr>SUP Pavement Part 2</vt:lpstr>
      <vt:lpstr>US 6-Perkins Pavement 1</vt:lpstr>
      <vt:lpstr>US 6-Perkins Pavement 2</vt:lpstr>
      <vt:lpstr>US 6-Camp Pavement 1</vt:lpstr>
      <vt:lpstr>US 6-Camp Pavement 2</vt:lpstr>
      <vt:lpstr>Pavement SubSummary</vt:lpstr>
      <vt:lpstr>Example</vt:lpstr>
      <vt:lpstr>PAVEMENT CALCS EXAMPLE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Harper Cromley</cp:lastModifiedBy>
  <cp:lastPrinted>2025-10-14T17:33:17Z</cp:lastPrinted>
  <dcterms:created xsi:type="dcterms:W3CDTF">2004-11-29T18:07:26Z</dcterms:created>
  <dcterms:modified xsi:type="dcterms:W3CDTF">2025-10-21T13:40:07Z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